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080" yWindow="165" windowWidth="15525" windowHeight="138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Chart1" sheetId="83" state="hidden"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汇总）" sheetId="70" r:id="rId24"/>
    <sheet name="收益法-办公" sheetId="15" r:id="rId25"/>
    <sheet name="收益法-酒店" sheetId="80" state="hidden" r:id="rId26"/>
    <sheet name="收益法 (元)" sheetId="67" state="hidden" r:id="rId27"/>
    <sheet name="收益法-酒店模型" sheetId="77"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1" r:id="rId48"/>
    <sheet name="面积指标" sheetId="82" r:id="rId49"/>
    <sheet name="酒店" sheetId="84"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3">'收益法（汇总）'!$A$1:$F$13</definedName>
    <definedName name="_xlnm.Print_Area" localSheetId="24">'收益法-办公'!$A$1:$F$43,'收益法-办公'!$H$3:$M$29,'收益法-办公'!$A$46:$F$71,'收益法-办公'!$I$46:$N$65</definedName>
    <definedName name="_xlnm.Print_Area" localSheetId="25">'收益法-酒店'!$A$1:$F$43,'收益法-酒店'!$H$3:$M$29,'收益法-酒店'!$A$46:$F$71,'收益法-酒店'!$I$46:$N$65</definedName>
    <definedName name="_xlnm.Print_Area" localSheetId="13">'数据-汇总表'!$A$1:$P$32</definedName>
    <definedName name="_xlnm.Print_Area" localSheetId="34">'土地比较法-工业'!$A$1:$K$61,'土地比较法-工业'!$A$64:$M$121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34" i="77" l="1"/>
  <c r="D34" i="77"/>
  <c r="C36" i="77"/>
  <c r="M37" i="77"/>
  <c r="L37" i="77"/>
  <c r="L4" i="77" l="1"/>
  <c r="L3" i="77"/>
  <c r="B5" i="77"/>
  <c r="B4" i="77"/>
  <c r="C10" i="39"/>
  <c r="U6" i="1" l="1"/>
  <c r="W19" i="1"/>
  <c r="W18" i="1"/>
  <c r="Q7" i="1"/>
  <c r="N6" i="1"/>
  <c r="I7" i="1"/>
  <c r="H7" i="1"/>
  <c r="F19" i="6"/>
  <c r="F20" i="6"/>
  <c r="G20" i="6"/>
  <c r="G19" i="6"/>
  <c r="D10" i="82"/>
  <c r="E10" i="82"/>
  <c r="C10" i="82"/>
  <c r="D70" i="39" l="1"/>
  <c r="E70" i="39" s="1"/>
  <c r="F70" i="39" s="1"/>
  <c r="G70" i="39" s="1"/>
  <c r="H70" i="39" s="1"/>
  <c r="I70" i="39" s="1"/>
  <c r="J70" i="39" s="1"/>
  <c r="K70" i="39" s="1"/>
  <c r="L70" i="39" s="1"/>
  <c r="M70" i="39" s="1"/>
  <c r="N70" i="39" s="1"/>
  <c r="O70" i="39" s="1"/>
  <c r="D117" i="39"/>
  <c r="E117" i="39" s="1"/>
  <c r="F117" i="39" s="1"/>
  <c r="G117" i="39" s="1"/>
  <c r="H117" i="39" s="1"/>
  <c r="E116" i="39" l="1"/>
  <c r="F116" i="39" s="1"/>
  <c r="G116" i="39" s="1"/>
  <c r="H116" i="39" s="1"/>
  <c r="D116" i="39"/>
  <c r="I38" i="39"/>
  <c r="G38" i="39"/>
  <c r="E38" i="39"/>
  <c r="C38" i="39"/>
  <c r="I7" i="39"/>
  <c r="G7" i="39"/>
  <c r="E7" i="39"/>
  <c r="I5" i="39"/>
  <c r="G5" i="39"/>
  <c r="E5" i="39"/>
  <c r="I46" i="39"/>
  <c r="G46" i="39"/>
  <c r="E46" i="39"/>
  <c r="D42" i="43"/>
  <c r="D40" i="43"/>
  <c r="D33" i="43"/>
  <c r="Q72" i="80"/>
  <c r="Q59" i="80"/>
  <c r="K59" i="80"/>
  <c r="P74" i="80" s="1"/>
  <c r="F59" i="80"/>
  <c r="Q58" i="80"/>
  <c r="Q51" i="80"/>
  <c r="J50" i="80"/>
  <c r="M47" i="80"/>
  <c r="D46" i="80"/>
  <c r="F33" i="80"/>
  <c r="F61" i="80" s="1"/>
  <c r="F31" i="80"/>
  <c r="F23" i="80"/>
  <c r="D24" i="80" s="1"/>
  <c r="D22" i="80"/>
  <c r="F21" i="80"/>
  <c r="F20" i="80"/>
  <c r="M19" i="80"/>
  <c r="F18" i="80"/>
  <c r="M17" i="80"/>
  <c r="F17" i="80"/>
  <c r="F15" i="80"/>
  <c r="Y6" i="1"/>
  <c r="Y7" i="1" s="1"/>
  <c r="N14" i="1"/>
  <c r="N7" i="1"/>
  <c r="L14" i="1"/>
  <c r="D23" i="80" l="1"/>
  <c r="P61" i="80"/>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S20" i="79" s="1"/>
  <c r="I23" i="79"/>
  <c r="AD23" i="79" s="1"/>
  <c r="AB22" i="79"/>
  <c r="AB20" i="79" s="1"/>
  <c r="AA22" i="79"/>
  <c r="Z22" i="79"/>
  <c r="N22" i="79"/>
  <c r="M22" i="79"/>
  <c r="T22" i="79" s="1"/>
  <c r="W22" i="79" s="1"/>
  <c r="L22" i="79"/>
  <c r="I22" i="79"/>
  <c r="AD22" i="79" s="1"/>
  <c r="AA20" i="79"/>
  <c r="AD20" i="79" s="1"/>
  <c r="T20" i="79"/>
  <c r="W20" i="79" s="1"/>
  <c r="N20" i="79"/>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T5" i="79" s="1"/>
  <c r="W5" i="79" s="1"/>
  <c r="L5" i="79"/>
  <c r="K5" i="79"/>
  <c r="R5" i="79" s="1"/>
  <c r="I5" i="79"/>
  <c r="AC3" i="79"/>
  <c r="AA3" i="79"/>
  <c r="AD3" i="79" s="1"/>
  <c r="Y3" i="79"/>
  <c r="U3" i="79"/>
  <c r="S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AH9" i="71"/>
  <c r="AG9" i="71"/>
  <c r="AE9" i="71"/>
  <c r="AF9" i="71" s="1"/>
  <c r="AD9" i="71"/>
  <c r="Q9" i="71"/>
  <c r="P9" i="71"/>
  <c r="O9" i="71"/>
  <c r="N9" i="71"/>
  <c r="R24" i="77" l="1"/>
  <c r="L38" i="77"/>
  <c r="R25" i="77"/>
  <c r="M38" i="77" s="1"/>
  <c r="R38" i="77" s="1"/>
  <c r="R40" i="77" s="1"/>
  <c r="R19" i="77"/>
  <c r="AH10" i="71"/>
  <c r="AG10" i="71"/>
  <c r="AE10" i="71"/>
  <c r="AF10" i="71" s="1"/>
  <c r="AD10" i="71"/>
  <c r="Q10" i="71"/>
  <c r="P10" i="71"/>
  <c r="O10" i="71"/>
  <c r="N10" i="71"/>
  <c r="R41" i="77" l="1"/>
  <c r="R35" i="77" s="1"/>
  <c r="R5" i="77"/>
  <c r="U5" i="77" s="1"/>
  <c r="U34" i="77" l="1"/>
  <c r="D6" i="77"/>
  <c r="E24" i="43"/>
  <c r="D18" i="77" l="1"/>
  <c r="D16" i="77"/>
  <c r="D10" i="77"/>
  <c r="C23" i="77"/>
  <c r="D15" i="77"/>
  <c r="D17"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E23" i="77" l="1"/>
  <c r="D29" i="77"/>
  <c r="D26" i="77"/>
  <c r="AH13" i="71"/>
  <c r="AG13" i="71"/>
  <c r="AE13" i="71"/>
  <c r="AF13" i="71" s="1"/>
  <c r="AD13" i="71"/>
  <c r="Q13" i="71"/>
  <c r="P13" i="71"/>
  <c r="O13" i="71"/>
  <c r="N13" i="71"/>
  <c r="D32" i="77" l="1"/>
  <c r="D38" i="77" s="1"/>
  <c r="D39" i="77" s="1"/>
  <c r="E29" i="77"/>
  <c r="E26" i="77"/>
  <c r="H16" i="49"/>
  <c r="D16" i="49"/>
  <c r="D15" i="49"/>
  <c r="B2" i="49"/>
  <c r="F15" i="49" s="1"/>
  <c r="H15" i="49" s="1"/>
  <c r="E32" i="77" l="1"/>
  <c r="E38" i="77" s="1"/>
  <c r="E39" i="77"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1" i="71" s="1"/>
  <c r="D30" i="71"/>
  <c r="D34" i="71"/>
  <c r="C39" i="71"/>
  <c r="D38" i="71"/>
  <c r="D42" i="71"/>
  <c r="C51" i="71"/>
  <c r="P28" i="71"/>
  <c r="AA3"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C26" i="71"/>
  <c r="D26" i="71" s="1"/>
  <c r="D27" i="71"/>
  <c r="P65" i="71"/>
  <c r="P66" i="71"/>
  <c r="O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0" s="1"/>
  <c r="E15" i="4"/>
  <c r="F8" i="1" s="1"/>
  <c r="A7" i="1"/>
  <c r="B7" i="1" s="1"/>
  <c r="E7" i="1" s="1"/>
  <c r="A8" i="1"/>
  <c r="B8" i="1" s="1"/>
  <c r="E8" i="1" s="1"/>
  <c r="A9" i="1"/>
  <c r="A10" i="1"/>
  <c r="A11" i="1"/>
  <c r="B11" i="1" s="1"/>
  <c r="E11" i="1" s="1"/>
  <c r="A12" i="1"/>
  <c r="A13" i="1"/>
  <c r="A6" i="1"/>
  <c r="G1" i="80"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G94" i="39" s="1"/>
  <c r="D92" i="39"/>
  <c r="E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AC31" i="39" s="1"/>
  <c r="F100" i="39"/>
  <c r="H27" i="39"/>
  <c r="U27" i="39" s="1"/>
  <c r="J17" i="39"/>
  <c r="J27" i="39"/>
  <c r="AC27"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U46" i="33"/>
  <c r="AA14" i="33"/>
  <c r="J36" i="37"/>
  <c r="AC36" i="37"/>
  <c r="G105" i="37"/>
  <c r="J10" i="36"/>
  <c r="AC10" i="36" s="1"/>
  <c r="AB30" i="21"/>
  <c r="AA14" i="37"/>
  <c r="W31" i="34"/>
  <c r="AC13" i="36"/>
  <c r="W13"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AA12" i="35"/>
  <c r="W23" i="35"/>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AC43" i="39"/>
  <c r="W43" i="39"/>
  <c r="U45" i="39"/>
  <c r="AB45" i="39"/>
  <c r="G100" i="39"/>
  <c r="H37" i="39"/>
  <c r="AB37" i="39" s="1"/>
  <c r="AC37" i="39"/>
  <c r="W37" i="39"/>
  <c r="H25" i="39"/>
  <c r="AB25" i="39" s="1"/>
  <c r="J25" i="39"/>
  <c r="F25" i="39"/>
  <c r="AA25" i="39" s="1"/>
  <c r="F15" i="39"/>
  <c r="AA15" i="39" s="1"/>
  <c r="H15" i="39"/>
  <c r="U15" i="39" s="1"/>
  <c r="J15" i="39"/>
  <c r="W15" i="39" s="1"/>
  <c r="H41" i="39"/>
  <c r="AB41" i="39" s="1"/>
  <c r="AA41"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4"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C24" i="12" s="1"/>
  <c r="AC34" i="33"/>
  <c r="B41" i="1"/>
  <c r="F30" i="11" s="1"/>
  <c r="C48" i="11" s="1"/>
  <c r="AB37" i="40"/>
  <c r="S35" i="40"/>
  <c r="AC36" i="40"/>
  <c r="AA32" i="40"/>
  <c r="S17" i="40"/>
  <c r="S23" i="40"/>
  <c r="AC17" i="40"/>
  <c r="AC15" i="40"/>
  <c r="AB27" i="40"/>
  <c r="S30" i="40"/>
  <c r="AA19" i="40"/>
  <c r="S28" i="40"/>
  <c r="AA27" i="40"/>
  <c r="U21" i="40"/>
  <c r="AB19" i="40"/>
  <c r="U37" i="39"/>
  <c r="S43" i="39"/>
  <c r="S37" i="39"/>
  <c r="U35" i="39"/>
  <c r="F32" i="39"/>
  <c r="AA32" i="39" s="1"/>
  <c r="U31" i="39"/>
  <c r="J21" i="39"/>
  <c r="W21" i="39" s="1"/>
  <c r="F21" i="39"/>
  <c r="S21" i="39" s="1"/>
  <c r="H21"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W17" i="39"/>
  <c r="AC17" i="39"/>
  <c r="W31" i="39"/>
  <c r="AA45" i="39"/>
  <c r="AB39" i="39"/>
  <c r="W34"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W32" i="39" s="1"/>
  <c r="H32" i="39"/>
  <c r="AB32" i="39" s="1"/>
  <c r="S32" i="39"/>
  <c r="AB21" i="39"/>
  <c r="U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AA23" i="21"/>
  <c r="AB15" i="21"/>
  <c r="J23" i="21"/>
  <c r="AC23" i="21" s="1"/>
  <c r="H23" i="21"/>
  <c r="S13" i="21"/>
  <c r="AP7" i="1"/>
  <c r="AB9" i="21"/>
  <c r="AA32" i="21"/>
  <c r="S32" i="21"/>
  <c r="W9" i="21"/>
  <c r="AC9" i="21"/>
  <c r="AB32" i="21"/>
  <c r="U32" i="21"/>
  <c r="AC32" i="39"/>
  <c r="W19" i="37"/>
  <c r="AC19" i="37"/>
  <c r="W23" i="37"/>
  <c r="H63" i="37"/>
  <c r="I63" i="37" s="1"/>
  <c r="J63" i="37" s="1"/>
  <c r="K63" i="37" s="1"/>
  <c r="L63" i="37" s="1"/>
  <c r="M63" i="37" s="1"/>
  <c r="J11" i="37"/>
  <c r="AC11" i="37" s="1"/>
  <c r="H70" i="34"/>
  <c r="I70" i="34"/>
  <c r="J70" i="34" s="1"/>
  <c r="K70" i="34" s="1"/>
  <c r="L70" i="34" s="1"/>
  <c r="M70" i="34" s="1"/>
  <c r="J11" i="34"/>
  <c r="W11" i="34" s="1"/>
  <c r="AB36" i="33"/>
  <c r="AC27" i="33"/>
  <c r="AC25" i="33"/>
  <c r="AA23" i="33"/>
  <c r="S23" i="33"/>
  <c r="U19" i="33"/>
  <c r="S17" i="33"/>
  <c r="U17" i="33"/>
  <c r="AB17" i="33"/>
  <c r="U23" i="21"/>
  <c r="AB23" i="21"/>
  <c r="H109" i="9"/>
  <c r="H112" i="9"/>
  <c r="H111" i="9"/>
  <c r="D126" i="9" s="1"/>
  <c r="AD3" i="71"/>
  <c r="J1" i="7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1" i="76"/>
  <c r="D3" i="73"/>
  <c r="E2" i="69"/>
  <c r="E2" i="68"/>
  <c r="E8" i="76"/>
  <c r="F4" i="73"/>
  <c r="D6" i="73"/>
  <c r="D5" i="73"/>
  <c r="E12" i="76"/>
  <c r="B8" i="76"/>
  <c r="E9" i="76"/>
  <c r="L48" i="15"/>
  <c r="F3" i="73"/>
  <c r="M6" i="15"/>
  <c r="D7" i="73"/>
  <c r="M6" i="67"/>
  <c r="F40" i="67"/>
  <c r="B11" i="76"/>
  <c r="F42" i="67"/>
  <c r="M26" i="15"/>
  <c r="L47" i="15"/>
  <c r="F8" i="67"/>
  <c r="F37" i="67"/>
  <c r="F36" i="15"/>
  <c r="E13" i="76"/>
  <c r="F43" i="15"/>
  <c r="F5" i="73"/>
  <c r="F20" i="31"/>
  <c r="B13" i="76"/>
  <c r="M28" i="15"/>
  <c r="L47" i="67"/>
  <c r="F16" i="67"/>
  <c r="F37" i="15"/>
  <c r="M29" i="15"/>
  <c r="F26" i="67"/>
  <c r="L48" i="67"/>
  <c r="F7" i="73"/>
  <c r="E7" i="76"/>
  <c r="E10" i="76"/>
  <c r="AO13" i="1"/>
  <c r="B12" i="76"/>
  <c r="B7" i="76"/>
  <c r="F9" i="67"/>
  <c r="M29" i="67"/>
  <c r="F6" i="73"/>
  <c r="D4" i="73"/>
  <c r="B9" i="76"/>
  <c r="F13" i="67"/>
  <c r="B10" i="76"/>
  <c r="M8" i="15"/>
  <c r="F7" i="15"/>
  <c r="F43" i="67"/>
  <c r="D68" i="9" l="1"/>
  <c r="M18" i="15"/>
  <c r="F30" i="69"/>
  <c r="F48" i="69" s="1"/>
  <c r="M18" i="67"/>
  <c r="F31" i="12"/>
  <c r="U38" i="39"/>
  <c r="F28" i="6"/>
  <c r="G20" i="3"/>
  <c r="BL16" i="3"/>
  <c r="AZ16" i="3" s="1"/>
  <c r="AZ557" i="3"/>
  <c r="U31" i="21"/>
  <c r="AB31" i="21"/>
  <c r="W45" i="21"/>
  <c r="AC45" i="21"/>
  <c r="AC26" i="33"/>
  <c r="W26" i="33"/>
  <c r="E19" i="71"/>
  <c r="E18" i="71" s="1"/>
  <c r="E17" i="71" s="1"/>
  <c r="E16" i="71" s="1"/>
  <c r="V20" i="71"/>
  <c r="AB9" i="33"/>
  <c r="U9" i="33"/>
  <c r="W23" i="21"/>
  <c r="F48" i="9"/>
  <c r="O52" i="9" s="1"/>
  <c r="F32" i="80"/>
  <c r="F60" i="80" s="1"/>
  <c r="F28" i="80"/>
  <c r="C28" i="80" s="1"/>
  <c r="M18" i="80"/>
  <c r="J34" i="35"/>
  <c r="H34" i="35"/>
  <c r="F34" i="35"/>
  <c r="J23" i="36"/>
  <c r="H23" i="36"/>
  <c r="F23" i="36"/>
  <c r="H44" i="39"/>
  <c r="F44" i="39"/>
  <c r="AZ424" i="3"/>
  <c r="AZ439" i="3"/>
  <c r="AZ475" i="3"/>
  <c r="AZ483" i="3"/>
  <c r="AZ489" i="3"/>
  <c r="AZ385" i="3"/>
  <c r="AZ210" i="3"/>
  <c r="AZ225" i="3"/>
  <c r="AZ239" i="3"/>
  <c r="D17" i="71"/>
  <c r="C16" i="71"/>
  <c r="AB45" i="21"/>
  <c r="D6" i="52"/>
  <c r="S37" i="21"/>
  <c r="AB33" i="34"/>
  <c r="S43" i="34"/>
  <c r="AA33" i="34"/>
  <c r="U32" i="37"/>
  <c r="U12" i="39"/>
  <c r="U35" i="40"/>
  <c r="AA34" i="33"/>
  <c r="AZ14" i="3"/>
  <c r="AA25" i="21"/>
  <c r="W14" i="37"/>
  <c r="U14" i="40"/>
  <c r="U43" i="33"/>
  <c r="AA41" i="34"/>
  <c r="S11" i="36"/>
  <c r="AB26" i="33"/>
  <c r="AC11" i="35"/>
  <c r="H36" i="35"/>
  <c r="J36" i="35"/>
  <c r="AZ398" i="3"/>
  <c r="AZ405" i="3"/>
  <c r="AZ407" i="3"/>
  <c r="AZ410" i="3"/>
  <c r="AZ415" i="3"/>
  <c r="AZ420" i="3"/>
  <c r="AZ426" i="3"/>
  <c r="AZ431" i="3"/>
  <c r="AZ448" i="3"/>
  <c r="AZ452" i="3"/>
  <c r="AZ461" i="3"/>
  <c r="AZ463" i="3"/>
  <c r="AZ468" i="3"/>
  <c r="AZ470" i="3"/>
  <c r="AZ479" i="3"/>
  <c r="AZ485" i="3"/>
  <c r="AZ316" i="3"/>
  <c r="AZ397" i="3"/>
  <c r="AZ220" i="3"/>
  <c r="H38" i="40"/>
  <c r="J38" i="40"/>
  <c r="H39" i="40"/>
  <c r="M20" i="15"/>
  <c r="F34" i="80"/>
  <c r="F62" i="80" s="1"/>
  <c r="M20" i="80"/>
  <c r="G14" i="3"/>
  <c r="F7" i="1"/>
  <c r="G7" i="1" s="1"/>
  <c r="G16" i="1" s="1"/>
  <c r="F10" i="39" s="1"/>
  <c r="A15" i="62"/>
  <c r="B61" i="72" s="1"/>
  <c r="AZ264" i="3"/>
  <c r="BL15" i="3"/>
  <c r="AZ15" i="3" s="1"/>
  <c r="G6" i="1"/>
  <c r="AZ247" i="3"/>
  <c r="AZ255" i="3"/>
  <c r="AZ270" i="3"/>
  <c r="AZ274" i="3"/>
  <c r="AZ277" i="3"/>
  <c r="AZ298" i="3"/>
  <c r="AZ301" i="3"/>
  <c r="AZ122" i="3"/>
  <c r="AZ125" i="3"/>
  <c r="AZ161" i="3"/>
  <c r="AZ177" i="3"/>
  <c r="AZ193" i="3"/>
  <c r="AZ25" i="3"/>
  <c r="AZ30" i="3"/>
  <c r="AZ46" i="3"/>
  <c r="AZ49" i="3"/>
  <c r="BL18" i="3"/>
  <c r="AZ99" i="3"/>
  <c r="G18" i="3"/>
  <c r="AZ54" i="3"/>
  <c r="AZ65" i="3"/>
  <c r="AZ70" i="3"/>
  <c r="AZ76" i="3"/>
  <c r="AZ90" i="3"/>
  <c r="AZ106" i="3"/>
  <c r="AZ112" i="3"/>
  <c r="V28" i="71"/>
  <c r="AA28" i="71"/>
  <c r="AA26" i="71"/>
  <c r="F3" i="35"/>
  <c r="C47" i="71"/>
  <c r="D47" i="71" s="1"/>
  <c r="D46" i="71"/>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Y27" i="71"/>
  <c r="Z27" i="71" s="1"/>
  <c r="Y26" i="71"/>
  <c r="Z26" i="71" s="1"/>
  <c r="Y25" i="71"/>
  <c r="Z25" i="71" s="1"/>
  <c r="X35" i="71"/>
  <c r="X34" i="71"/>
  <c r="AA32" i="71"/>
  <c r="AA31" i="71"/>
  <c r="AA37" i="71"/>
  <c r="X9" i="71"/>
  <c r="X10" i="71"/>
  <c r="Y39" i="71"/>
  <c r="Z39" i="71" s="1"/>
  <c r="AA39" i="71"/>
  <c r="AB9" i="71"/>
  <c r="AB10" i="71"/>
  <c r="AB24" i="71"/>
  <c r="AA23" i="71"/>
  <c r="AA22" i="71"/>
  <c r="Y18" i="71"/>
  <c r="Z18" i="71" s="1"/>
  <c r="X18" i="71"/>
  <c r="AA18" i="71"/>
  <c r="X14" i="71"/>
  <c r="AA13" i="71"/>
  <c r="X24" i="71"/>
  <c r="Y24" i="71"/>
  <c r="Z24" i="71" s="1"/>
  <c r="AB15" i="71"/>
  <c r="AB17" i="71"/>
  <c r="AB11" i="71"/>
  <c r="AB14" i="71"/>
  <c r="Y12" i="71"/>
  <c r="Z12" i="71" s="1"/>
  <c r="Y13" i="71"/>
  <c r="Z13" i="71" s="1"/>
  <c r="X11" i="71"/>
  <c r="AA11" i="71"/>
  <c r="Y23" i="71"/>
  <c r="Z23" i="71" s="1"/>
  <c r="Y22" i="71"/>
  <c r="Z22" i="71" s="1"/>
  <c r="X15" i="71"/>
  <c r="AA15" i="71"/>
  <c r="AB12" i="71"/>
  <c r="AB13" i="71"/>
  <c r="Y11" i="71"/>
  <c r="Z11" i="71" s="1"/>
  <c r="X13" i="71"/>
  <c r="X12" i="71"/>
  <c r="AA12" i="71"/>
  <c r="AA14" i="71"/>
  <c r="AA21" i="39"/>
  <c r="S42" i="39"/>
  <c r="S40" i="39"/>
  <c r="U40" i="39"/>
  <c r="U41" i="39"/>
  <c r="W40" i="39"/>
  <c r="U32" i="39"/>
  <c r="AB34" i="39"/>
  <c r="U36" i="39"/>
  <c r="W36" i="39"/>
  <c r="W27" i="39"/>
  <c r="AB27" i="39"/>
  <c r="S27" i="39"/>
  <c r="U25" i="39"/>
  <c r="J23" i="39"/>
  <c r="S23" i="39"/>
  <c r="F92" i="39"/>
  <c r="G92" i="39" s="1"/>
  <c r="J19" i="39"/>
  <c r="U19" i="39"/>
  <c r="C21" i="68"/>
  <c r="C40" i="69"/>
  <c r="G5" i="3"/>
  <c r="B3" i="3" s="1"/>
  <c r="E85" i="3" s="1"/>
  <c r="BA18" i="3"/>
  <c r="AZ18" i="3" s="1"/>
  <c r="BA5" i="3"/>
  <c r="G28" i="6"/>
  <c r="F29" i="6"/>
  <c r="E29" i="6" s="1"/>
  <c r="K15" i="1" s="1"/>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41" i="3"/>
  <c r="E14" i="6"/>
  <c r="E63" i="39" s="1"/>
  <c r="I4" i="6"/>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W20" i="1" s="1"/>
  <c r="X20" i="1" s="1"/>
  <c r="E12" i="6"/>
  <c r="E57" i="40" s="1"/>
  <c r="E153" i="3"/>
  <c r="E574" i="3"/>
  <c r="E311" i="3"/>
  <c r="E570" i="3"/>
  <c r="V6" i="3"/>
  <c r="E407" i="3"/>
  <c r="E320" i="3"/>
  <c r="E294" i="3"/>
  <c r="E230" i="3"/>
  <c r="E130" i="3"/>
  <c r="E114" i="3"/>
  <c r="E415" i="3"/>
  <c r="E395" i="3"/>
  <c r="E260" i="3"/>
  <c r="E550" i="3"/>
  <c r="E117" i="3"/>
  <c r="E290" i="3"/>
  <c r="E61" i="3"/>
  <c r="E245" i="3"/>
  <c r="E382" i="3"/>
  <c r="E578" i="3"/>
  <c r="E518" i="3"/>
  <c r="E293" i="3"/>
  <c r="E336" i="3"/>
  <c r="E583"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71" i="15"/>
  <c r="L59" i="15"/>
  <c r="N59" i="15"/>
  <c r="L58" i="15"/>
  <c r="M59" i="15"/>
  <c r="F64" i="15"/>
  <c r="C27" i="67"/>
  <c r="F71" i="67"/>
  <c r="F65" i="15"/>
  <c r="N59" i="67"/>
  <c r="L59" i="67"/>
  <c r="L58" i="67"/>
  <c r="M59" i="67"/>
  <c r="B13" i="70"/>
  <c r="F68" i="67"/>
  <c r="C36" i="68"/>
  <c r="D9" i="69"/>
  <c r="F27" i="69"/>
  <c r="C36" i="69"/>
  <c r="D9" i="68"/>
  <c r="C76" i="67"/>
  <c r="M24" i="15"/>
  <c r="M9" i="67"/>
  <c r="F6" i="67"/>
  <c r="F6" i="15"/>
  <c r="C76" i="15"/>
  <c r="F13" i="15"/>
  <c r="F42" i="15"/>
  <c r="F16" i="15"/>
  <c r="F9" i="15"/>
  <c r="F38" i="67"/>
  <c r="F38" i="15"/>
  <c r="M22" i="15"/>
  <c r="F26" i="15"/>
  <c r="C76" i="80"/>
  <c r="F13" i="80"/>
  <c r="L47" i="80"/>
  <c r="F38" i="80"/>
  <c r="F43" i="80"/>
  <c r="F8" i="80"/>
  <c r="M26" i="80"/>
  <c r="L48" i="80"/>
  <c r="F26" i="80"/>
  <c r="M9" i="80"/>
  <c r="F9" i="80"/>
  <c r="M8" i="80"/>
  <c r="F42" i="80"/>
  <c r="F36" i="80"/>
  <c r="C16" i="67"/>
  <c r="M22" i="67"/>
  <c r="F40" i="15"/>
  <c r="F36" i="67"/>
  <c r="M24" i="67"/>
  <c r="M23" i="67"/>
  <c r="M8" i="67"/>
  <c r="J15" i="67"/>
  <c r="F7" i="67"/>
  <c r="M9" i="15"/>
  <c r="J15" i="15"/>
  <c r="M23" i="15"/>
  <c r="M28" i="67"/>
  <c r="F8" i="15"/>
  <c r="M26" i="67"/>
  <c r="M22" i="80"/>
  <c r="F37" i="80"/>
  <c r="F16" i="80"/>
  <c r="F40" i="80"/>
  <c r="J15" i="80"/>
  <c r="M6" i="80"/>
  <c r="F7" i="80"/>
  <c r="F6" i="80"/>
  <c r="M28" i="80"/>
  <c r="M29" i="80"/>
  <c r="M23" i="80"/>
  <c r="M24" i="80"/>
  <c r="G1" i="73"/>
  <c r="I24" i="43" l="1"/>
  <c r="X6" i="3"/>
  <c r="E246" i="3"/>
  <c r="E385" i="3"/>
  <c r="AI6" i="3"/>
  <c r="E423" i="3"/>
  <c r="E263" i="3"/>
  <c r="E191" i="3"/>
  <c r="E135" i="3"/>
  <c r="E161" i="3"/>
  <c r="E535" i="3"/>
  <c r="E445" i="3"/>
  <c r="E172" i="3"/>
  <c r="E563" i="3"/>
  <c r="E278" i="3"/>
  <c r="E69" i="3"/>
  <c r="E189" i="3"/>
  <c r="E215" i="3"/>
  <c r="E335" i="3"/>
  <c r="E387" i="3"/>
  <c r="AB6" i="3"/>
  <c r="M6" i="3"/>
  <c r="E514" i="3"/>
  <c r="E285" i="3"/>
  <c r="E328" i="3"/>
  <c r="E319" i="3"/>
  <c r="E253" i="3"/>
  <c r="E551" i="3"/>
  <c r="E559" i="3"/>
  <c r="E358" i="3"/>
  <c r="E97" i="3"/>
  <c r="E359" i="3"/>
  <c r="O6" i="3"/>
  <c r="E426" i="3"/>
  <c r="E501" i="3"/>
  <c r="E53" i="3"/>
  <c r="E585" i="3"/>
  <c r="BL5" i="3"/>
  <c r="E447" i="3"/>
  <c r="E433" i="3"/>
  <c r="E210" i="3"/>
  <c r="E477" i="3"/>
  <c r="E567" i="3"/>
  <c r="E519" i="3"/>
  <c r="E384" i="3"/>
  <c r="E162" i="3"/>
  <c r="AS6" i="3"/>
  <c r="E478" i="3"/>
  <c r="E271" i="3"/>
  <c r="E279" i="3"/>
  <c r="E457" i="3"/>
  <c r="E511" i="3"/>
  <c r="C6" i="80"/>
  <c r="F50" i="80"/>
  <c r="M7" i="80"/>
  <c r="J6" i="80" s="1"/>
  <c r="F68" i="80"/>
  <c r="F65" i="80"/>
  <c r="F51" i="15"/>
  <c r="C49" i="15" s="1"/>
  <c r="F50" i="67"/>
  <c r="C49" i="67" s="1"/>
  <c r="M7" i="67"/>
  <c r="J6" i="67" s="1"/>
  <c r="F64" i="67"/>
  <c r="F68" i="15"/>
  <c r="F64" i="80"/>
  <c r="C27" i="80"/>
  <c r="L56" i="80"/>
  <c r="L60" i="80"/>
  <c r="L57" i="80"/>
  <c r="J60" i="80"/>
  <c r="Q48" i="80" s="1"/>
  <c r="J59" i="80"/>
  <c r="J57" i="80"/>
  <c r="J55" i="80" s="1"/>
  <c r="J58" i="80" s="1"/>
  <c r="Q50" i="80" s="1"/>
  <c r="J53" i="80"/>
  <c r="I54" i="80"/>
  <c r="F51" i="80"/>
  <c r="F71" i="80"/>
  <c r="F66" i="80"/>
  <c r="N59" i="80"/>
  <c r="L58" i="80"/>
  <c r="L59" i="80"/>
  <c r="M59" i="80"/>
  <c r="Q71" i="80"/>
  <c r="C27" i="15"/>
  <c r="F66" i="15"/>
  <c r="F66" i="67"/>
  <c r="Q71" i="15"/>
  <c r="C6" i="15"/>
  <c r="C32" i="15" s="1"/>
  <c r="C6" i="67"/>
  <c r="C32" i="67" s="1"/>
  <c r="Q71" i="67"/>
  <c r="M23" i="43"/>
  <c r="U16" i="71"/>
  <c r="B15" i="71"/>
  <c r="B14" i="71" s="1"/>
  <c r="B13" i="71" s="1"/>
  <c r="B12" i="71" s="1"/>
  <c r="S16" i="71"/>
  <c r="AZ5" i="3"/>
  <c r="AB39" i="40"/>
  <c r="U39" i="40"/>
  <c r="U38" i="40"/>
  <c r="AB38" i="40"/>
  <c r="AC36" i="35"/>
  <c r="W36" i="35"/>
  <c r="AA44" i="39"/>
  <c r="S44" i="39"/>
  <c r="AA23" i="36"/>
  <c r="S23" i="36"/>
  <c r="AC23" i="36"/>
  <c r="W23" i="36"/>
  <c r="U34" i="35"/>
  <c r="AB34" i="35"/>
  <c r="E15" i="71"/>
  <c r="E14" i="71" s="1"/>
  <c r="E13" i="71" s="1"/>
  <c r="E12" i="71" s="1"/>
  <c r="V16" i="71"/>
  <c r="J6" i="15"/>
  <c r="J18" i="15" s="1"/>
  <c r="K16" i="1"/>
  <c r="G3" i="43"/>
  <c r="F26" i="43" s="1"/>
  <c r="C11" i="39"/>
  <c r="B66" i="71"/>
  <c r="N67" i="71"/>
  <c r="AC38" i="40"/>
  <c r="W38" i="40"/>
  <c r="AB36" i="35"/>
  <c r="U36" i="35"/>
  <c r="C15" i="71"/>
  <c r="T16" i="71"/>
  <c r="AB44" i="39"/>
  <c r="U44" i="39"/>
  <c r="U23" i="36"/>
  <c r="AB23" i="36"/>
  <c r="AA34" i="35"/>
  <c r="S34" i="35"/>
  <c r="AC34" i="35"/>
  <c r="W34" i="35"/>
  <c r="AC23" i="39"/>
  <c r="W23" i="39"/>
  <c r="AC19" i="39"/>
  <c r="W19" i="39"/>
  <c r="N94" i="46"/>
  <c r="J26" i="43"/>
  <c r="F11" i="80"/>
  <c r="M11" i="80"/>
  <c r="J10" i="80" s="1"/>
  <c r="E44" i="3"/>
  <c r="E331" i="3"/>
  <c r="E186" i="3"/>
  <c r="E27" i="3"/>
  <c r="E476" i="3"/>
  <c r="E505" i="3"/>
  <c r="E414" i="3"/>
  <c r="E515" i="3"/>
  <c r="E107" i="3"/>
  <c r="E269" i="3"/>
  <c r="E318" i="3"/>
  <c r="E111" i="3"/>
  <c r="E571" i="3"/>
  <c r="E458" i="3"/>
  <c r="E45" i="3"/>
  <c r="E77"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26" i="43"/>
  <c r="H26" i="43"/>
  <c r="P6" i="1"/>
  <c r="C13" i="12" s="1"/>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143" i="3"/>
  <c r="E337" i="3"/>
  <c r="E410" i="3"/>
  <c r="E555" i="3"/>
  <c r="E388" i="3"/>
  <c r="E508" i="3"/>
  <c r="E305" i="3"/>
  <c r="E343" i="3"/>
  <c r="E530" i="3"/>
  <c r="E175" i="3"/>
  <c r="E29" i="3"/>
  <c r="AM6" i="3"/>
  <c r="E317" i="3"/>
  <c r="E291" i="3"/>
  <c r="E272" i="3"/>
  <c r="E126" i="3"/>
  <c r="E92" i="3"/>
  <c r="E71" i="3"/>
  <c r="E546" i="3"/>
  <c r="E403" i="3"/>
  <c r="E547" i="3"/>
  <c r="E367" i="3"/>
  <c r="E432" i="3"/>
  <c r="E548" i="3"/>
  <c r="E411" i="3"/>
  <c r="U6" i="3"/>
  <c r="E379" i="3"/>
  <c r="E145" i="3"/>
  <c r="E207" i="3"/>
  <c r="E549" i="3"/>
  <c r="E31" i="3"/>
  <c r="E351" i="3"/>
  <c r="E150" i="3"/>
  <c r="E72" i="3"/>
  <c r="E450" i="3"/>
  <c r="E562" i="3"/>
  <c r="E527" i="3"/>
  <c r="E573" i="3"/>
  <c r="E193" i="3"/>
  <c r="E99" i="3"/>
  <c r="E314" i="3"/>
  <c r="E453"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96"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26" i="3"/>
  <c r="E524" i="3"/>
  <c r="E101" i="3"/>
  <c r="E79" i="3"/>
  <c r="E38" i="3"/>
  <c r="E100" i="3"/>
  <c r="E170" i="3"/>
  <c r="E137" i="3"/>
  <c r="E194" i="3"/>
  <c r="E234" i="3"/>
  <c r="E219" i="3"/>
  <c r="E299" i="3"/>
  <c r="E339" i="3"/>
  <c r="E325" i="3"/>
  <c r="E392" i="3"/>
  <c r="AQ6" i="3"/>
  <c r="E52" i="3"/>
  <c r="E36" i="3"/>
  <c r="E112" i="3"/>
  <c r="E123" i="3"/>
  <c r="E147" i="3"/>
  <c r="E289" i="3"/>
  <c r="E340" i="3"/>
  <c r="E364" i="3"/>
  <c r="Y6" i="3"/>
  <c r="E68" i="3"/>
  <c r="E51" i="3"/>
  <c r="E63" i="3"/>
  <c r="E19" i="3"/>
  <c r="E81" i="3"/>
  <c r="E154" i="3"/>
  <c r="E118" i="3"/>
  <c r="E179" i="3"/>
  <c r="E264" i="3"/>
  <c r="E222" i="3"/>
  <c r="E283" i="3"/>
  <c r="E323" i="3"/>
  <c r="E309" i="3"/>
  <c r="E373" i="3"/>
  <c r="E513" i="3"/>
  <c r="E82" i="3"/>
  <c r="E21" i="3"/>
  <c r="E365" i="3"/>
  <c r="E22" i="3"/>
  <c r="E83" i="3"/>
  <c r="N370" i="46"/>
  <c r="G26" i="43"/>
  <c r="D18" i="53"/>
  <c r="B35" i="72"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0"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8" i="1"/>
  <c r="AE12" i="1"/>
  <c r="AE10" i="1"/>
  <c r="C16" i="80"/>
  <c r="C16" i="15"/>
  <c r="AE6" i="1"/>
  <c r="F41" i="67"/>
  <c r="G44" i="43" l="1"/>
  <c r="C44" i="43" s="1"/>
  <c r="C24" i="43"/>
  <c r="AC6" i="3"/>
  <c r="E6" i="3" s="1"/>
  <c r="D26" i="43"/>
  <c r="C25" i="43" s="1"/>
  <c r="J5" i="15"/>
  <c r="J24" i="15" s="1"/>
  <c r="J5" i="80"/>
  <c r="J24" i="80" s="1"/>
  <c r="C49" i="80"/>
  <c r="C61" i="80" s="1"/>
  <c r="F11" i="39"/>
  <c r="H11" i="39"/>
  <c r="J11" i="39"/>
  <c r="B11" i="71"/>
  <c r="B10" i="71" s="1"/>
  <c r="B9" i="71" s="1"/>
  <c r="B8" i="71" s="1"/>
  <c r="B7" i="71" s="1"/>
  <c r="B6" i="71" s="1"/>
  <c r="B5" i="71" s="1"/>
  <c r="S12" i="71"/>
  <c r="Q60" i="80"/>
  <c r="Q73" i="80"/>
  <c r="D15" i="71"/>
  <c r="C14" i="71"/>
  <c r="N66" i="71"/>
  <c r="N65" i="71"/>
  <c r="E11" i="71"/>
  <c r="E10" i="71" s="1"/>
  <c r="E9" i="71" s="1"/>
  <c r="E8" i="71" s="1"/>
  <c r="E7" i="71" s="1"/>
  <c r="E6" i="71" s="1"/>
  <c r="E5" i="71" s="1"/>
  <c r="V12" i="71"/>
  <c r="Q61" i="80"/>
  <c r="Q74" i="80"/>
  <c r="F1" i="80"/>
  <c r="Q52" i="80"/>
  <c r="L46" i="80"/>
  <c r="Q66" i="80"/>
  <c r="Q57" i="80"/>
  <c r="J19" i="80"/>
  <c r="J18" i="80"/>
  <c r="C33" i="80"/>
  <c r="C32" i="80"/>
  <c r="J26" i="80"/>
  <c r="C24" i="80"/>
  <c r="C53" i="80"/>
  <c r="C10" i="80"/>
  <c r="C5" i="8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80"/>
  <c r="F41" i="15"/>
  <c r="M27" i="15"/>
  <c r="C48" i="80" l="1"/>
  <c r="C66" i="80" s="1"/>
  <c r="U11" i="39"/>
  <c r="AB11" i="39"/>
  <c r="B14" i="74"/>
  <c r="B1" i="74" s="1"/>
  <c r="D14" i="71"/>
  <c r="C13" i="71"/>
  <c r="W11" i="39"/>
  <c r="AC11" i="39"/>
  <c r="AA11" i="39"/>
  <c r="S11" i="39"/>
  <c r="C38" i="80"/>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0"/>
  <c r="C17" i="15"/>
  <c r="C14" i="67"/>
  <c r="C17" i="67"/>
  <c r="C60" i="80" l="1"/>
  <c r="C12" i="71"/>
  <c r="D13" i="71"/>
  <c r="C14" i="74"/>
  <c r="B2" i="74" s="1"/>
  <c r="E7" i="70"/>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0"/>
  <c r="C14" i="15"/>
  <c r="B6" i="76"/>
  <c r="E6" i="76"/>
  <c r="D8" i="74" l="1"/>
  <c r="D7" i="74"/>
  <c r="C18" i="80"/>
  <c r="C15" i="80"/>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0" l="1"/>
  <c r="C20" i="80" s="1"/>
  <c r="C26" i="80" s="1"/>
  <c r="F7" i="21"/>
  <c r="C10" i="71"/>
  <c r="D11" i="71"/>
  <c r="C21" i="12"/>
  <c r="C22" i="12"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0" l="1"/>
  <c r="C29" i="80" s="1"/>
  <c r="C36" i="80" s="1"/>
  <c r="D10" i="71"/>
  <c r="C9" i="71"/>
  <c r="C27" i="12"/>
  <c r="C25" i="12" s="1"/>
  <c r="C30" i="12"/>
  <c r="C28" i="1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80"/>
  <c r="F35" i="67"/>
  <c r="F35" i="80"/>
  <c r="M21" i="67"/>
  <c r="M21" i="15"/>
  <c r="C57" i="80" l="1"/>
  <c r="C64" i="80" s="1"/>
  <c r="Q49" i="80"/>
  <c r="J14" i="80"/>
  <c r="J13" i="80" s="1"/>
  <c r="J23" i="80" s="1"/>
  <c r="C13" i="80"/>
  <c r="C56" i="80" s="1"/>
  <c r="C65" i="80" s="1"/>
  <c r="C8" i="71"/>
  <c r="D9" i="71"/>
  <c r="J20" i="80"/>
  <c r="J17" i="80" s="1"/>
  <c r="F63" i="80"/>
  <c r="C62" i="80" s="1"/>
  <c r="C59" i="80" s="1"/>
  <c r="C34" i="80"/>
  <c r="C31" i="80" s="1"/>
  <c r="C32" i="12"/>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75" i="80"/>
  <c r="J22" i="80"/>
  <c r="C37" i="80"/>
  <c r="C30" i="80" s="1"/>
  <c r="C39" i="80" s="1"/>
  <c r="C58" i="80"/>
  <c r="C67" i="80" s="1"/>
  <c r="Q70" i="80"/>
  <c r="J16" i="80"/>
  <c r="J25" i="80"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L51" i="80"/>
  <c r="D2" i="21"/>
  <c r="E11" i="77" l="1"/>
  <c r="E7" i="77" s="1"/>
  <c r="D7" i="77"/>
  <c r="C26" i="77" s="1"/>
  <c r="C32" i="77" s="1"/>
  <c r="C38" i="77" s="1"/>
  <c r="C39" i="77" s="1"/>
  <c r="C40" i="77" s="1"/>
  <c r="Q69" i="80"/>
  <c r="Q68" i="80" s="1"/>
  <c r="C80" i="80"/>
  <c r="C79" i="80" s="1"/>
  <c r="D7" i="71"/>
  <c r="C6" i="71"/>
  <c r="Q67" i="80"/>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AE7" i="1"/>
  <c r="F41" i="80" s="1"/>
  <c r="D2" i="33"/>
  <c r="F69" i="80" l="1"/>
  <c r="C68" i="80" s="1"/>
  <c r="J29" i="80"/>
  <c r="C40" i="80"/>
  <c r="C27" i="77"/>
  <c r="B2" i="77"/>
  <c r="B3" i="77" s="1"/>
  <c r="C41" i="77"/>
  <c r="C5" i="71"/>
  <c r="D5" i="71" s="1"/>
  <c r="M24" i="43" s="1"/>
  <c r="D6"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6"/>
  <c r="D2" i="34"/>
  <c r="B2" i="80" l="1"/>
  <c r="B3" i="80" s="1"/>
  <c r="Q56" i="80"/>
  <c r="Q62" i="80" s="1"/>
  <c r="C83" i="80"/>
  <c r="C82" i="80" s="1"/>
  <c r="Q47" i="80"/>
  <c r="Q53" i="80" s="1"/>
  <c r="Q65" i="80"/>
  <c r="Q75" i="80" s="1"/>
  <c r="C43" i="80"/>
  <c r="C71" i="80"/>
  <c r="C46" i="80"/>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7" i="1"/>
  <c r="AO9" i="1"/>
  <c r="AO11" i="1"/>
  <c r="AO12"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6" i="68"/>
  <c r="C7" i="68" l="1"/>
  <c r="C5" i="68" s="1"/>
  <c r="C23" i="68" l="1"/>
  <c r="C20" i="68"/>
  <c r="C28" i="68" l="1"/>
  <c r="C27" i="68" s="1"/>
  <c r="C25" i="68"/>
  <c r="C22" i="68" s="1"/>
  <c r="C31" i="68" l="1"/>
  <c r="C52" i="68" s="1"/>
  <c r="B2" i="68" l="1"/>
  <c r="C57" i="68"/>
  <c r="C56" i="68" s="1"/>
  <c r="C19" i="9"/>
  <c r="C21" i="9" l="1"/>
  <c r="C102" i="9"/>
  <c r="D22" i="9"/>
  <c r="G19" i="9"/>
  <c r="G21" i="9" s="1"/>
  <c r="B3" i="68"/>
  <c r="C20" i="9"/>
  <c r="D35" i="9"/>
  <c r="D34" i="9"/>
  <c r="C103" i="9" l="1"/>
  <c r="G20" i="9"/>
  <c r="C32" i="9" s="1"/>
  <c r="C35" i="9" s="1"/>
  <c r="C34" i="9" s="1"/>
  <c r="D118" i="9" l="1"/>
  <c r="D4" i="52" s="1"/>
  <c r="B47" i="72" s="1"/>
  <c r="F118" i="9"/>
  <c r="F4" i="52" s="1"/>
  <c r="B51" i="72" s="1"/>
  <c r="H118" i="9"/>
  <c r="H4" i="52" l="1"/>
  <c r="D14" i="74"/>
  <c r="H101" i="9"/>
  <c r="H107" i="9" s="1"/>
  <c r="M49" i="9" s="1"/>
  <c r="I118" i="9"/>
  <c r="I4" i="52" s="1"/>
  <c r="D119" i="9"/>
  <c r="D5" i="52" s="1"/>
  <c r="B49" i="72" s="1"/>
  <c r="F119" i="9"/>
  <c r="F5" i="52" s="1"/>
  <c r="B53" i="72" s="1"/>
  <c r="G118" i="9"/>
  <c r="G4" i="52" s="1"/>
  <c r="B52" i="72" s="1"/>
  <c r="H102" i="9"/>
  <c r="H119" i="9"/>
  <c r="H5" i="52" s="1"/>
  <c r="C104" i="9"/>
  <c r="C105" i="9" l="1"/>
  <c r="E14" i="74"/>
  <c r="B5" i="74"/>
  <c r="D5" i="74" s="1"/>
  <c r="F14" i="74"/>
  <c r="D5" i="53"/>
  <c r="D6" i="53" s="1"/>
  <c r="B22" i="72" s="1"/>
  <c r="D122" i="9"/>
  <c r="E118" i="9"/>
  <c r="E4" i="52" s="1"/>
  <c r="B48" i="72" s="1"/>
  <c r="M48" i="9"/>
  <c r="D45" i="9"/>
  <c r="D52" i="9" s="1"/>
  <c r="D13" i="53"/>
  <c r="B30" i="72" s="1"/>
  <c r="C5" i="74"/>
  <c r="D7" i="53"/>
  <c r="B21" i="72" s="1"/>
  <c r="B20" i="72"/>
  <c r="D8" i="52"/>
  <c r="H108" i="9"/>
  <c r="L65" i="9"/>
  <c r="M65" i="9" s="1"/>
  <c r="L68" i="9"/>
  <c r="M68" i="9" s="1"/>
  <c r="L66" i="9"/>
  <c r="M66" i="9" s="1"/>
  <c r="L63" i="9"/>
  <c r="M63" i="9" s="1"/>
  <c r="L67" i="9"/>
  <c r="M67" i="9" s="1"/>
  <c r="L64" i="9"/>
  <c r="M64" i="9" s="1"/>
  <c r="D123" i="9" l="1"/>
  <c r="D9" i="52" s="1"/>
  <c r="G14" i="74"/>
  <c r="B6" i="74" s="1"/>
  <c r="D6" i="74" s="1"/>
  <c r="C64" i="9"/>
  <c r="C63" i="9" s="1"/>
  <c r="C67" i="9" s="1"/>
  <c r="D59" i="9" s="1"/>
  <c r="M55" i="9" s="1"/>
  <c r="D14" i="53"/>
  <c r="B32" i="72" s="1"/>
  <c r="D55" i="9"/>
  <c r="M53" i="9" s="1"/>
  <c r="C93" i="9"/>
  <c r="C86" i="9" s="1"/>
  <c r="D53" i="9"/>
  <c r="C85" i="9"/>
  <c r="C78" i="9"/>
  <c r="C73" i="9" s="1"/>
  <c r="C72" i="9"/>
  <c r="M69" i="9"/>
  <c r="N69" i="9" s="1"/>
  <c r="C6" i="74"/>
  <c r="D15" i="53"/>
  <c r="B31" i="72" s="1"/>
  <c r="C68" i="9" l="1"/>
  <c r="D54" i="9" s="1"/>
  <c r="C95" i="9"/>
  <c r="C96" i="9" s="1"/>
  <c r="E96" i="9" s="1"/>
  <c r="E97" i="9" s="1"/>
  <c r="C79" i="9"/>
  <c r="C80" i="9" s="1"/>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<sst xmlns="http://schemas.openxmlformats.org/spreadsheetml/2006/main" count="8986" uniqueCount="3793">
  <si>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</si>
  <si>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</si>
  <si>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</si>
  <si>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</si>
  <si>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</si>
  <si>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</si>
  <si>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</si>
  <si>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</si>
  <si>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</si>
  <si>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</si>
  <si>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</si>
  <si>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</si>
  <si>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</si>
  <si>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</si>
  <si>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</si>
  <si>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</si>
  <si>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</si>
  <si>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</si>
  <si>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</si>
  <si>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</si>
  <si>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</si>
  <si>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</si>
  <si>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</si>
  <si>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</si>
  <si>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</si>
  <si>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</si>
  <si>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</si>
  <si>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</si>
  <si>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</si>
  <si>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</si>
  <si>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</si>
  <si>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</si>
  <si>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</si>
  <si>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</si>
  <si>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</si>
  <si>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</si>
  <si>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</si>
  <si>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</si>
  <si>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</si>
  <si>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</si>
  <si>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</si>
  <si>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</si>
  <si>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</si>
  <si>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</si>
  <si>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</si>
  <si>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</si>
  <si>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</si>
  <si>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</si>
  <si>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</si>
  <si>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</si>
  <si>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</si>
  <si>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</si>
  <si>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</si>
  <si>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</si>
  <si>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</si>
  <si>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</si>
  <si>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</si>
  <si>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</si>
  <si>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</si>
  <si>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</si>
  <si>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</si>
  <si>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</si>
  <si>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</si>
  <si>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</si>
  <si>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</si>
  <si>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</si>
  <si>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</si>
  <si>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</si>
  <si>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</si>
  <si>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</si>
  <si>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</si>
  <si>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</si>
  <si>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</si>
  <si>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</si>
  <si>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</si>
  <si>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</si>
  <si>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</si>
  <si>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</si>
  <si>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</si>
  <si>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</si>
  <si>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</si>
  <si>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</si>
  <si>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</si>
  <si>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</si>
  <si>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</si>
  <si>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</si>
  <si>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</si>
  <si>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</si>
  <si>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</si>
  <si>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</si>
  <si>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</si>
  <si>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</si>
  <si>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</si>
  <si>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</si>
  <si>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</si>
  <si>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</si>
  <si>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</si>
  <si>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</si>
  <si>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</si>
  <si>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</si>
  <si>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</si>
  <si>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</si>
  <si>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</si>
  <si>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</si>
  <si>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</si>
  <si>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</si>
  <si>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</si>
  <si>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</si>
  <si>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</si>
  <si>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</si>
  <si>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</si>
  <si>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</si>
  <si>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</si>
  <si>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</si>
  <si>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</si>
  <si>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</si>
  <si>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</si>
  <si>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</si>
  <si>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</si>
  <si>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</si>
  <si>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</si>
  <si>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</si>
  <si>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</si>
  <si>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</si>
  <si>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</si>
  <si>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</si>
  <si>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</si>
  <si>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</si>
  <si>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</si>
  <si>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</si>
  <si>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</si>
  <si>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</si>
  <si>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</si>
  <si>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</si>
  <si>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</si>
  <si>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</si>
  <si>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</si>
  <si>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</si>
  <si>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</si>
  <si>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</si>
  <si>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</si>
  <si>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</si>
  <si>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</si>
  <si>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</si>
  <si>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</si>
  <si>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</si>
  <si>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</si>
  <si>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</si>
  <si>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</si>
  <si>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</si>
  <si>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</si>
  <si>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</si>
  <si>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</si>
  <si>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</si>
  <si>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</si>
  <si>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</si>
  <si>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</si>
  <si>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</si>
  <si>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</si>
  <si>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</si>
  <si>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</si>
  <si>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</si>
  <si>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</si>
  <si>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</si>
  <si>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</si>
  <si>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</si>
  <si>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</si>
  <si>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</si>
  <si>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</si>
  <si>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</si>
  <si>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</si>
  <si>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</si>
  <si>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</si>
  <si>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</si>
  <si>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</si>
  <si>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</si>
  <si>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</si>
  <si>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</si>
  <si>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</si>
  <si>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</si>
  <si>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</si>
  <si>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</si>
  <si>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</si>
  <si>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</si>
  <si>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</si>
  <si>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</si>
  <si>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</si>
  <si>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</si>
  <si>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</si>
  <si>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</si>
  <si>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</si>
  <si>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</si>
  <si>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</si>
  <si>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</si>
  <si>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</si>
  <si>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</si>
  <si>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</si>
  <si>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</si>
  <si>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</si>
  <si>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</si>
  <si>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</si>
  <si>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</si>
  <si>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</si>
  <si>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</si>
  <si>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</si>
  <si>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</si>
  <si>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</si>
  <si>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</si>
  <si>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</si>
  <si>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</si>
  <si>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</si>
  <si>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</si>
  <si>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</si>
  <si>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</si>
  <si>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</si>
  <si>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</si>
  <si>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</si>
  <si>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</si>
  <si>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</si>
  <si>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</si>
  <si>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</si>
  <si>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</si>
  <si>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</si>
  <si>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</si>
  <si>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</si>
  <si>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</si>
  <si>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</si>
  <si>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</si>
  <si>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</si>
  <si>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</si>
  <si>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</si>
  <si>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</si>
  <si>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</si>
  <si>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</si>
  <si>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</si>
  <si>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</si>
  <si>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</si>
  <si>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</si>
  <si>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</si>
  <si>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</si>
  <si>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</si>
  <si>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</si>
  <si>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</si>
  <si>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</si>
  <si>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</si>
  <si>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</si>
  <si>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</si>
  <si>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</si>
  <si>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</si>
  <si>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</si>
  <si>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</si>
  <si>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</si>
  <si>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</si>
  <si>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</si>
  <si>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</si>
  <si>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</si>
  <si>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</si>
  <si>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</si>
  <si>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</si>
  <si>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</si>
  <si>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</si>
  <si>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</si>
  <si>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</si>
  <si>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</si>
  <si>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</si>
  <si>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</si>
  <si>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</si>
  <si>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</si>
  <si>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</si>
  <si>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</si>
  <si>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</si>
  <si>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</si>
  <si>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</si>
  <si>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</si>
  <si>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</si>
  <si>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</si>
  <si>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</si>
  <si>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</si>
  <si>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</si>
  <si>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</si>
  <si>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</si>
  <si>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</si>
  <si>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</si>
  <si>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</si>
  <si>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</si>
  <si>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</si>
  <si>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</si>
  <si>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</si>
  <si>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</si>
  <si>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</si>
  <si>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</si>
  <si>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</si>
  <si>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</si>
  <si>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</si>
  <si>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</si>
  <si>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</si>
  <si>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</si>
  <si>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</si>
  <si>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</si>
  <si>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</si>
  <si>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</si>
  <si>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</si>
  <si>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</si>
  <si>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</si>
  <si>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</si>
  <si>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</si>
  <si>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</si>
  <si>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</si>
  <si>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</si>
  <si>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</si>
  <si>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</si>
  <si>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</si>
  <si>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</si>
  <si>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</si>
  <si>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</si>
  <si>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</si>
  <si>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</si>
  <si>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</si>
  <si>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</si>
  <si>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</si>
  <si>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</si>
  <si>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</si>
  <si>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</si>
  <si>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</si>
  <si>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</si>
  <si>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</si>
  <si>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</si>
  <si>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</si>
  <si>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</si>
  <si>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</si>
  <si>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</si>
  <si>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</si>
  <si>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</si>
  <si>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</si>
  <si>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</si>
  <si>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</si>
  <si>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</si>
  <si>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</si>
  <si>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</si>
  <si>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</si>
  <si>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</si>
  <si>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</si>
  <si>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</si>
  <si>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</si>
  <si>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</si>
  <si>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</si>
  <si>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</si>
  <si>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</si>
  <si>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</si>
  <si>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</si>
  <si>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</si>
  <si>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</si>
  <si>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</si>
  <si>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</si>
  <si>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</si>
  <si>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</si>
  <si>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</si>
  <si>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</si>
  <si>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</si>
  <si>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</si>
  <si>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</si>
  <si>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</si>
  <si>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</si>
  <si>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</si>
  <si>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</si>
  <si>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</si>
  <si>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</si>
  <si>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</si>
  <si>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</si>
  <si>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</si>
  <si>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</si>
  <si>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</si>
  <si>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</si>
  <si>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</si>
  <si>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</si>
  <si>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</si>
  <si>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</si>
  <si>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</si>
  <si>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</si>
  <si>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</si>
  <si>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</si>
  <si>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</si>
  <si>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</si>
  <si>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</si>
  <si>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</si>
  <si>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</si>
  <si>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</si>
  <si>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</si>
  <si>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</si>
  <si>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</si>
  <si>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</si>
  <si>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</si>
  <si>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</si>
  <si>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</si>
  <si>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</si>
  <si>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</si>
  <si>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</si>
  <si>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</si>
  <si>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</si>
  <si>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</si>
  <si>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</si>
  <si>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</si>
  <si>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</si>
  <si>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</si>
  <si>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</si>
  <si>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</si>
  <si>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</si>
  <si>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</si>
  <si>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</si>
  <si>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</si>
  <si>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</si>
  <si>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</si>
  <si>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</si>
  <si>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</si>
  <si>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</si>
  <si>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</si>
  <si>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</si>
  <si>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</si>
  <si>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</si>
  <si>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</si>
  <si>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</si>
  <si>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</si>
  <si>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</si>
  <si>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</si>
  <si>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</si>
  <si>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</si>
  <si>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</si>
  <si>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</si>
  <si>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</si>
  <si>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</si>
  <si>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</si>
  <si>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</si>
  <si>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</si>
  <si>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</si>
  <si>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</si>
  <si>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</si>
  <si>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</si>
  <si>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</si>
  <si>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</si>
  <si>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</si>
  <si>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</si>
  <si>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</si>
  <si>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</si>
  <si>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</si>
  <si>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</si>
  <si>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</si>
  <si>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</si>
  <si>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</si>
  <si>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</si>
  <si>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</si>
  <si>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</si>
  <si>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</si>
  <si>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</si>
  <si>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</si>
  <si>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</si>
  <si>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</si>
  <si>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</si>
  <si>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</si>
  <si>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</si>
  <si>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</si>
  <si>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</si>
  <si>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</si>
  <si>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</si>
  <si>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</si>
  <si>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</si>
  <si>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</si>
  <si>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</si>
  <si>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</si>
  <si>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</si>
  <si>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</si>
  <si>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</si>
  <si>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</si>
  <si>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</si>
  <si>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</si>
  <si>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</si>
  <si>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</si>
  <si>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</si>
  <si>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</si>
  <si>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</si>
  <si>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</si>
  <si>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</si>
  <si>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</si>
  <si>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</si>
  <si>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</si>
  <si>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</si>
  <si>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</si>
  <si>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</si>
  <si>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</si>
  <si>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</si>
  <si>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</si>
  <si>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</si>
  <si>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</si>
  <si>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</si>
  <si>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</si>
  <si>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</si>
  <si>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</si>
  <si>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</si>
  <si>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</si>
  <si>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</si>
  <si>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</si>
  <si>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</si>
  <si>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</si>
  <si>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</si>
  <si>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</si>
  <si>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</si>
  <si>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</si>
  <si>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</si>
  <si>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</si>
  <si>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</si>
  <si>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</si>
  <si>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</si>
  <si>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</si>
  <si>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</si>
  <si>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</si>
  <si>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</si>
  <si>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</si>
  <si>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</si>
  <si>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</si>
  <si>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</si>
  <si>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</si>
  <si>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</si>
  <si>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</si>
  <si>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</si>
  <si>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</si>
  <si>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</si>
  <si>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</si>
  <si>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</si>
  <si>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</si>
  <si>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</si>
  <si>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</si>
  <si>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</si>
  <si>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</si>
  <si>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</si>
  <si>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</si>
  <si>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</si>
  <si>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</si>
  <si>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</si>
  <si>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</si>
  <si>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</si>
  <si>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</si>
  <si>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</si>
  <si>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</si>
  <si>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</si>
  <si>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</si>
  <si>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</si>
  <si>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</si>
  <si>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</si>
  <si>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</si>
  <si>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</si>
  <si>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</si>
  <si>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</si>
  <si>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</si>
  <si>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</si>
  <si>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</si>
  <si>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</si>
  <si>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</si>
  <si>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</si>
  <si>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</si>
  <si>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</si>
  <si>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</si>
  <si>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</si>
  <si>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</si>
  <si>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</si>
  <si>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</si>
  <si>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</si>
  <si>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</si>
  <si>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</si>
  <si>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</si>
  <si>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</si>
  <si>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</si>
  <si>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</si>
  <si>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</si>
  <si>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</si>
  <si>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</si>
  <si>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</si>
  <si>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</si>
  <si>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</si>
  <si>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</si>
  <si>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</si>
  <si>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</si>
  <si>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</si>
  <si>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</si>
  <si>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</si>
  <si>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</si>
  <si>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</si>
  <si>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</si>
  <si>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</si>
  <si>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</si>
  <si>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</si>
  <si>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</si>
  <si>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</si>
  <si>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</si>
  <si>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</si>
  <si>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</si>
  <si>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</si>
  <si>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</si>
  <si>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</si>
  <si>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</si>
  <si>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</si>
  <si>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</si>
  <si>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</si>
  <si>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</si>
  <si>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</si>
  <si>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</si>
  <si>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</si>
  <si>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</si>
  <si>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</si>
  <si>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</si>
  <si>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</si>
  <si>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</si>
  <si>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</si>
  <si>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</si>
  <si>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</si>
  <si>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</si>
  <si>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</si>
  <si>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</si>
  <si>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</si>
  <si>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</si>
  <si>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</si>
  <si>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</si>
  <si>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</si>
  <si>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</si>
  <si>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</si>
  <si>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</si>
  <si>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</si>
  <si>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</si>
  <si>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</si>
  <si>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</si>
  <si>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</si>
  <si>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</si>
  <si>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</si>
  <si>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</si>
  <si>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</si>
  <si>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</si>
  <si>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</si>
  <si>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</si>
  <si>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</si>
  <si>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</si>
  <si>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</si>
  <si>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</si>
  <si>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</si>
  <si>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</si>
  <si>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</si>
  <si>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</si>
  <si>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</si>
  <si>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</si>
  <si>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</si>
  <si>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</si>
  <si>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</si>
  <si>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</si>
  <si>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</si>
  <si>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</si>
  <si>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</si>
  <si>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</si>
  <si>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</si>
  <si>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</si>
  <si>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</si>
  <si>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</si>
  <si>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</si>
  <si>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</si>
  <si>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</si>
  <si>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</si>
  <si>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</si>
  <si>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</si>
  <si>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</si>
  <si>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</si>
  <si>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</si>
  <si>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</si>
  <si>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</si>
  <si>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</si>
  <si>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</si>
  <si>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</si>
  <si>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</si>
  <si>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</si>
  <si>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</si>
  <si>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</si>
  <si>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</si>
  <si>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</si>
  <si>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</si>
  <si>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</si>
  <si>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</si>
  <si>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</si>
  <si>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</si>
  <si>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</si>
  <si>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</si>
  <si>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</si>
  <si>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</si>
  <si>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</si>
  <si>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</si>
  <si>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</si>
  <si>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</si>
  <si>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</si>
  <si>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</si>
  <si>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</si>
  <si>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</si>
  <si>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</si>
  <si>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</si>
  <si>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</si>
  <si>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</si>
  <si>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</si>
  <si>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</si>
  <si>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</si>
  <si>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</si>
  <si>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</si>
  <si>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</si>
  <si>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</si>
  <si>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</si>
  <si>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</si>
  <si>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</si>
  <si>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</si>
  <si>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</si>
  <si>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</si>
  <si>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</si>
  <si>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</si>
  <si>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</si>
  <si>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</si>
  <si>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</si>
  <si>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</si>
  <si>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</si>
  <si>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</si>
  <si>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</si>
  <si>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</si>
  <si>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</si>
  <si>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</si>
  <si>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</si>
  <si>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</si>
  <si>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</si>
  <si>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</si>
  <si>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</si>
  <si>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</si>
  <si>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</si>
  <si>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</si>
  <si>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</si>
  <si>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</si>
  <si>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</si>
  <si>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</si>
  <si>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</si>
  <si>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</si>
  <si>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</si>
  <si>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</si>
  <si>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</si>
  <si>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</si>
  <si>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</si>
  <si>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</si>
  <si>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</si>
  <si>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</si>
  <si>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</si>
  <si>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</si>
  <si>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</si>
  <si>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</si>
  <si>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</si>
  <si>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</si>
  <si>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</si>
  <si>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</si>
  <si>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</si>
  <si>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</si>
  <si>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</si>
  <si>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</si>
  <si>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</si>
  <si>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</si>
  <si>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</si>
  <si>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</si>
  <si>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</si>
  <si>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</si>
  <si>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</si>
  <si>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</si>
  <si>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</si>
  <si>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</si>
  <si>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</si>
  <si>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</si>
  <si>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</si>
  <si>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</si>
  <si>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</si>
  <si>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</si>
  <si>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</si>
  <si>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</si>
  <si>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</si>
  <si>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</si>
  <si>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</si>
  <si>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</si>
  <si>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</si>
  <si>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</si>
  <si>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</si>
  <si>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</si>
  <si>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</si>
  <si>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</si>
  <si>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</si>
  <si>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</si>
  <si>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</si>
  <si>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</si>
  <si>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</si>
  <si>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</si>
  <si>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</si>
  <si>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</si>
  <si>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</si>
  <si>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</si>
  <si>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</si>
  <si>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</si>
  <si>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</si>
  <si>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</si>
  <si>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</si>
  <si>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</si>
  <si>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</si>
  <si>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</si>
  <si>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</si>
  <si>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</si>
  <si>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</si>
  <si>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</si>
  <si>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</si>
  <si>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</si>
  <si>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</si>
  <si>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</si>
  <si>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</si>
  <si>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</si>
  <si>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</si>
  <si>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</si>
  <si>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</si>
  <si>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</si>
  <si>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</si>
  <si>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</si>
  <si>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</si>
  <si>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</si>
  <si>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</si>
  <si>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</si>
  <si>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</si>
  <si>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</si>
  <si>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</si>
  <si>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</si>
  <si>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</si>
  <si>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</si>
  <si>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</si>
  <si>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</si>
  <si>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</si>
  <si>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</si>
  <si>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</si>
  <si>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</si>
  <si>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</si>
  <si>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</si>
  <si>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</si>
  <si>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</si>
  <si>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</si>
  <si>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</si>
  <si>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</si>
  <si>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</si>
  <si>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</si>
  <si>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</si>
  <si>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</si>
  <si>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</si>
  <si>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</si>
  <si>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</si>
  <si>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</si>
  <si>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</si>
  <si>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</si>
  <si>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</si>
  <si>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</si>
  <si>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</si>
  <si>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</si>
  <si>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</si>
  <si>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</si>
  <si>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</si>
  <si>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</si>
  <si>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</si>
  <si>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</si>
  <si>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</si>
  <si>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</si>
  <si>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</si>
  <si>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</si>
  <si>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</si>
  <si>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</si>
  <si>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</si>
  <si>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</si>
  <si>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</si>
  <si>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</si>
  <si>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</si>
  <si>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</si>
  <si>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</si>
  <si>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</si>
  <si>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</si>
  <si>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</si>
  <si>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</si>
  <si>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</si>
  <si>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</si>
  <si>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</si>
  <si>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</si>
  <si>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</si>
  <si>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</si>
  <si>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</si>
  <si>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</si>
  <si>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</si>
  <si>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</si>
  <si>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</si>
  <si>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</si>
  <si>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</si>
  <si>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</si>
  <si>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</si>
  <si>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</si>
  <si>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</si>
  <si>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</si>
  <si>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</si>
  <si>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</si>
  <si>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</si>
  <si>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</si>
  <si>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</si>
  <si>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</si>
  <si>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</si>
  <si>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</si>
  <si>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</si>
  <si>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</si>
  <si>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</si>
  <si>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</si>
  <si>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</si>
  <si>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</si>
  <si>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</si>
  <si>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</si>
  <si>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</si>
  <si>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</si>
  <si>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</si>
  <si>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</si>
  <si>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</si>
  <si>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</si>
  <si>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</si>
  <si>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</si>
  <si>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</si>
  <si>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</si>
  <si>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</si>
  <si>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</si>
  <si>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</si>
  <si>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</si>
  <si>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</si>
  <si>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</si>
  <si>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</si>
  <si>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</si>
  <si>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</si>
  <si>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</si>
  <si>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</si>
  <si>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</si>
  <si>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</si>
  <si>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</si>
  <si>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</si>
  <si>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</si>
  <si>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</si>
  <si>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</si>
  <si>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</si>
  <si>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</si>
  <si>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</si>
  <si>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</si>
  <si>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</si>
  <si>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</si>
  <si>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</si>
  <si>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</si>
  <si>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</si>
  <si>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</si>
  <si>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</si>
  <si>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</si>
  <si>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</si>
  <si>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</si>
  <si>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</si>
  <si>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</si>
  <si>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</si>
  <si>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</si>
  <si>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</si>
  <si>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</si>
  <si>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</si>
  <si>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</si>
  <si>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</si>
  <si>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</si>
  <si>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</si>
  <si>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</si>
  <si>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</si>
  <si>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</si>
  <si>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</si>
  <si>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</si>
  <si>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</si>
  <si>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</si>
  <si>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</si>
  <si>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</si>
  <si>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</si>
  <si>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</si>
  <si>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</si>
  <si>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</si>
  <si>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</si>
  <si>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</si>
  <si>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</si>
  <si>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</si>
  <si>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</si>
  <si>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</si>
  <si>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</si>
  <si>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</si>
  <si>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</si>
  <si>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</si>
  <si>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</si>
  <si>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</si>
  <si>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</si>
  <si>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</si>
  <si>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</si>
  <si>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</si>
  <si>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</si>
  <si>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</si>
  <si>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</si>
  <si>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</si>
  <si>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</si>
  <si>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</si>
  <si>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</si>
  <si>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</si>
  <si>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</si>
  <si>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</si>
  <si>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</si>
  <si>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</si>
  <si>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</si>
  <si>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</si>
  <si>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</si>
  <si>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</si>
  <si>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</si>
  <si>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</si>
  <si>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</si>
  <si>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</si>
  <si>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</si>
  <si>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</si>
  <si>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</si>
  <si>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</si>
  <si>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</si>
  <si>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</si>
  <si>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</si>
  <si>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</si>
  <si>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</si>
  <si>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</si>
  <si>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</si>
  <si>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</si>
  <si>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</si>
  <si>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</si>
  <si>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</si>
  <si>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</si>
  <si>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</si>
  <si>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</si>
  <si>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</si>
  <si>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</si>
  <si>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</si>
  <si>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</si>
  <si>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</si>
  <si>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</si>
  <si>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</si>
  <si>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</si>
  <si>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</si>
  <si>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</si>
  <si>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</si>
  <si>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</si>
  <si>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</si>
  <si>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</si>
  <si>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</si>
  <si>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</si>
  <si>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</si>
  <si>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</si>
  <si>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</si>
  <si>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</si>
  <si>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</si>
  <si>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</si>
  <si>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</si>
  <si>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</si>
  <si>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</si>
  <si>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</si>
  <si>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</si>
  <si>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</si>
  <si>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</si>
  <si>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</si>
  <si>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</si>
  <si>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</si>
  <si>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</si>
  <si>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</si>
  <si>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</si>
  <si>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</si>
  <si>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</si>
  <si>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</si>
  <si>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</si>
  <si>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</si>
  <si>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</si>
  <si>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</si>
  <si>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</si>
  <si>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</si>
  <si>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</si>
  <si>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</si>
  <si>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</si>
  <si>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</si>
  <si>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</si>
  <si>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</si>
  <si>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</si>
  <si>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</si>
  <si>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</si>
  <si>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</si>
  <si>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</si>
  <si>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</si>
  <si>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</si>
  <si>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</si>
  <si>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</si>
  <si>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</si>
  <si>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</si>
  <si>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</si>
  <si>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</si>
  <si>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</si>
  <si>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</si>
  <si>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</si>
  <si>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</si>
  <si>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</si>
  <si>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</si>
  <si>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</si>
  <si>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</si>
  <si>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</si>
  <si>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</si>
  <si>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</si>
  <si>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</si>
  <si>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</si>
  <si>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</si>
  <si>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</si>
  <si>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</si>
  <si>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</si>
  <si>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</si>
  <si>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</si>
  <si>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</si>
  <si>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</si>
  <si>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</si>
  <si>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</si>
  <si>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</si>
  <si>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</si>
  <si>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</si>
  <si>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</si>
  <si>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</si>
  <si>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</si>
  <si>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</si>
  <si>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</si>
  <si>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</si>
  <si>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</si>
  <si>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</si>
  <si>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</si>
  <si>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</si>
  <si>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</si>
  <si>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</si>
  <si>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</si>
  <si>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</si>
  <si>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</si>
  <si>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</si>
  <si>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</si>
  <si>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</si>
  <si>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</si>
  <si>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</si>
  <si>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</si>
  <si>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</si>
  <si>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</si>
  <si>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</si>
  <si>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</si>
  <si>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</si>
  <si>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</si>
  <si>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</si>
  <si>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</si>
  <si>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</si>
  <si>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</si>
  <si>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</si>
  <si>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</si>
  <si>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</si>
  <si>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</si>
  <si>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</si>
  <si>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</si>
  <si>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</si>
  <si>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</si>
  <si>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</si>
  <si>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</si>
  <si>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</si>
  <si>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</si>
  <si>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</si>
  <si>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</si>
  <si>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</si>
  <si>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</si>
  <si>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</si>
  <si>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</si>
  <si>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</si>
  <si>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</si>
  <si>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</si>
  <si>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</si>
  <si>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</si>
  <si>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</si>
  <si>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</si>
  <si>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</si>
  <si>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</si>
  <si>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</si>
  <si>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</si>
  <si>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</si>
  <si>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</si>
  <si>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</si>
  <si>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</si>
  <si>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</si>
  <si>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</si>
  <si>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</si>
  <si>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</si>
  <si>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</si>
  <si>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</si>
  <si>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</si>
  <si>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</si>
  <si>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</si>
  <si>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</si>
  <si>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</si>
  <si>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</si>
  <si>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</si>
  <si>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</si>
  <si>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</si>
  <si>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</si>
  <si>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</si>
  <si>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</si>
  <si>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</si>
  <si>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</si>
  <si>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</si>
  <si>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</si>
  <si>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</si>
  <si>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</si>
  <si>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</si>
  <si>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</si>
  <si>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</si>
  <si>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</si>
  <si>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</si>
  <si>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</si>
  <si>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</si>
  <si>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</si>
  <si>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</si>
  <si>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</si>
  <si>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</si>
  <si>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</si>
  <si>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</si>
  <si>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</si>
  <si>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</si>
  <si>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</si>
  <si>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</si>
  <si>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</si>
  <si>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</si>
  <si>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</si>
  <si>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</si>
  <si>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</si>
  <si>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</si>
  <si>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</si>
  <si>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</si>
  <si>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</si>
  <si>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</si>
  <si>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</si>
  <si>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</si>
  <si>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</si>
  <si>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</si>
  <si>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</si>
  <si>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</si>
  <si>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</si>
  <si>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</si>
  <si>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</si>
  <si>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</si>
  <si>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</si>
  <si>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</si>
  <si>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</si>
  <si>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</si>
  <si>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</si>
  <si>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</si>
  <si>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</si>
  <si>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</si>
  <si>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</si>
  <si>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</si>
  <si>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</si>
  <si>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</si>
  <si>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</si>
  <si>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</si>
  <si>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</si>
  <si>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</si>
  <si>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</si>
  <si>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</si>
  <si>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</si>
  <si>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</si>
  <si>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</si>
  <si>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</si>
  <si>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</si>
  <si>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</si>
  <si>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</si>
  <si>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</si>
  <si>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</si>
  <si>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</si>
  <si>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</si>
  <si>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</si>
  <si>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</si>
  <si>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</si>
  <si>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</si>
  <si>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</si>
  <si>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</si>
  <si>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</si>
  <si>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</si>
  <si>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</si>
  <si>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</si>
  <si>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</si>
  <si>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</si>
  <si>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</si>
  <si>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</si>
  <si>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</si>
  <si>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</si>
  <si>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</si>
  <si>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</si>
  <si>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</si>
  <si>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</si>
  <si>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</si>
  <si>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</si>
  <si>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</si>
  <si>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</si>
  <si>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</si>
  <si>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</si>
  <si>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</si>
  <si>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</si>
  <si>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</si>
  <si>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</si>
  <si>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</si>
  <si>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</si>
  <si>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</si>
  <si>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</si>
  <si>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</si>
  <si>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</si>
  <si>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</si>
  <si>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</si>
  <si>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</si>
  <si>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</si>
  <si>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</si>
  <si>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</si>
  <si>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</si>
  <si>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</si>
  <si>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</si>
  <si>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</si>
  <si>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</si>
  <si>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</si>
  <si>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</si>
  <si>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</si>
  <si>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</si>
  <si>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</si>
  <si>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</si>
  <si>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</si>
  <si>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</si>
  <si>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</si>
  <si>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</si>
  <si>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</si>
  <si>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</si>
  <si>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</si>
  <si>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</si>
  <si>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</si>
  <si>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</si>
  <si>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</si>
  <si>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</si>
  <si>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</si>
  <si>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</si>
  <si>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</si>
  <si>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</si>
  <si>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</si>
  <si>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</si>
  <si>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</si>
  <si>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</si>
  <si>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</si>
  <si>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</si>
  <si>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</si>
  <si>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</si>
  <si>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</si>
  <si>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</si>
  <si>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</si>
  <si>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</si>
  <si>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</si>
  <si>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</si>
  <si>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</si>
  <si>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</si>
  <si>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</si>
  <si>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</si>
  <si>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</si>
  <si>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</si>
  <si>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</si>
  <si>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</si>
  <si>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</si>
  <si>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</si>
  <si>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</si>
  <si>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</si>
  <si>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</si>
  <si>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</si>
  <si>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</si>
  <si>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</si>
  <si>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</si>
  <si>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</si>
  <si>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</si>
  <si>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</si>
  <si>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</si>
  <si>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</si>
  <si>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</si>
  <si>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</si>
  <si>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</si>
  <si>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</si>
  <si>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</si>
  <si>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</si>
  <si>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</si>
  <si>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</si>
  <si>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</si>
  <si>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</si>
  <si>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</si>
  <si>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</si>
  <si>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</si>
  <si>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</si>
  <si>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</si>
  <si>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</si>
  <si>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</si>
  <si>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</si>
  <si>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</si>
  <si>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</si>
  <si>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</si>
  <si>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</si>
  <si>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</si>
  <si>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</si>
  <si>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</si>
  <si>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</si>
  <si>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</si>
  <si>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</si>
  <si>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</si>
  <si>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</si>
  <si>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</si>
  <si>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</si>
  <si>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</si>
  <si>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</si>
  <si>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</si>
  <si>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</si>
  <si>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</si>
  <si>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</si>
  <si>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</si>
  <si>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</si>
  <si>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</si>
  <si>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</si>
  <si>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</si>
  <si>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</si>
  <si>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</si>
  <si>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</si>
  <si>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</si>
  <si>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</si>
  <si>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</si>
  <si>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</si>
  <si>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</si>
  <si>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</si>
  <si>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</si>
  <si>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</si>
  <si>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</si>
  <si>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</si>
  <si>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</si>
  <si>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</si>
  <si>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</si>
  <si>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</si>
  <si>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</si>
  <si>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</si>
  <si>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</si>
  <si>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</si>
  <si>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</si>
  <si>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</si>
  <si>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</si>
  <si>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</si>
  <si>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</si>
  <si>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</si>
  <si>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</si>
  <si>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</si>
  <si>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</si>
  <si>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</si>
  <si>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</si>
  <si>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</si>
  <si>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</si>
  <si>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</si>
  <si>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</si>
  <si>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</si>
  <si>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</si>
  <si>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</si>
  <si>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</si>
  <si>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</si>
  <si>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</si>
  <si>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</si>
  <si>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</si>
  <si>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</si>
  <si>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</si>
  <si>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</si>
  <si>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</si>
  <si>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</si>
  <si>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</si>
  <si>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</si>
  <si>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</si>
  <si>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</si>
  <si>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</si>
  <si>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</si>
  <si>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</si>
  <si>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</si>
  <si>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</si>
  <si>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</si>
  <si>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</si>
  <si>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</si>
  <si>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</si>
  <si>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</si>
  <si>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</si>
  <si>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</si>
  <si>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</si>
  <si>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</si>
  <si>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</si>
  <si>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</si>
  <si>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</si>
  <si>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</si>
  <si>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</si>
  <si>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</si>
  <si>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</si>
  <si>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</si>
  <si>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</si>
  <si>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</si>
  <si>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</si>
  <si>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</si>
  <si>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</si>
  <si>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</si>
  <si>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</si>
  <si>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</si>
  <si>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</si>
  <si>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</si>
  <si>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</si>
  <si>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</si>
  <si>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</si>
  <si>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</si>
  <si>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</si>
  <si>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</si>
  <si>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</si>
  <si>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</si>
  <si>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</si>
  <si>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</si>
  <si>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</si>
  <si>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</si>
  <si>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</si>
  <si>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</si>
  <si>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</si>
  <si>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</si>
  <si>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</si>
  <si>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</si>
  <si>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</si>
  <si>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</si>
  <si>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</si>
  <si>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</si>
  <si>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</si>
  <si>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</si>
  <si>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</si>
  <si>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</si>
  <si>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</si>
  <si>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</si>
  <si>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</si>
  <si>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</si>
  <si>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</si>
  <si>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</si>
  <si>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</si>
  <si>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</si>
  <si>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</si>
  <si>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</si>
  <si>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</si>
  <si>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</si>
  <si>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</si>
  <si>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</si>
  <si>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</si>
  <si>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</si>
  <si>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</si>
  <si>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</si>
  <si>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</si>
  <si>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</si>
  <si>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</si>
  <si>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</si>
  <si>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</si>
  <si>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</si>
  <si>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</si>
  <si>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</si>
  <si>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</si>
  <si>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</si>
  <si>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</si>
  <si>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</si>
  <si>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</si>
  <si>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</si>
  <si>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</si>
  <si>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</si>
  <si>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</si>
  <si>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</si>
  <si>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</si>
  <si>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</si>
  <si>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</si>
  <si>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</si>
  <si>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</si>
  <si>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</si>
  <si>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</si>
  <si>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</si>
  <si>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</si>
  <si>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</si>
  <si>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</si>
  <si>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</si>
  <si>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</si>
  <si>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</si>
  <si>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</si>
  <si>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</si>
  <si>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</si>
  <si>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</si>
  <si>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</si>
  <si>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</si>
  <si>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</si>
  <si>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</si>
  <si>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</si>
  <si>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</si>
  <si>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</si>
  <si>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</si>
  <si>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</si>
  <si>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</si>
  <si>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</si>
  <si>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</si>
  <si>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</si>
  <si>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</si>
  <si>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</si>
  <si>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</si>
  <si>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</si>
  <si>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</si>
  <si>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</si>
  <si>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</si>
  <si>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</si>
  <si>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</si>
  <si>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</si>
  <si>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</si>
  <si>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</si>
  <si>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</si>
  <si>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</si>
  <si>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</si>
  <si>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</si>
  <si>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</si>
  <si>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</si>
  <si>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</si>
  <si>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</si>
  <si>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</si>
  <si>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</si>
  <si>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</si>
  <si>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</si>
  <si>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</si>
  <si>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</si>
  <si>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</si>
  <si>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</si>
  <si>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</si>
  <si>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</si>
  <si>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</si>
  <si>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</si>
  <si>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</si>
  <si>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</si>
  <si>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</si>
  <si>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</si>
  <si>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</si>
  <si>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</si>
  <si>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</si>
  <si>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</si>
  <si>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</si>
  <si>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</si>
  <si>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</si>
  <si>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</si>
  <si>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</si>
  <si>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</si>
  <si>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</si>
  <si>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</si>
  <si>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</si>
  <si>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</si>
  <si>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</si>
  <si>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</si>
  <si>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</si>
  <si>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</si>
  <si>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</si>
  <si>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</si>
  <si>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</si>
  <si>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</si>
  <si>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</si>
  <si>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</si>
  <si>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</si>
  <si>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</si>
  <si>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</si>
  <si>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</si>
  <si>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</si>
  <si>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</si>
  <si>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</si>
  <si>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</si>
  <si>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</si>
  <si>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</si>
  <si>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</si>
  <si>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</si>
  <si>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</si>
  <si>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</si>
  <si>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</si>
  <si>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</si>
  <si>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</si>
  <si>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</si>
  <si>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</si>
  <si>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</si>
  <si>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</si>
  <si>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</si>
  <si>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</si>
  <si>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</si>
  <si>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</si>
  <si>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</si>
  <si>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</si>
  <si>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</si>
  <si>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</si>
  <si>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</si>
  <si>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</si>
  <si>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</si>
  <si>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</si>
  <si>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</si>
  <si>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</si>
  <si>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</si>
  <si>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</si>
  <si>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</si>
  <si>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</si>
  <si>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</si>
  <si>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</si>
  <si>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</si>
  <si>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</si>
  <si>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</si>
  <si>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</si>
  <si>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</si>
  <si>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</si>
  <si>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</si>
  <si>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</si>
  <si>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</si>
  <si>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</si>
  <si>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</si>
  <si>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</si>
  <si>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</si>
  <si>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</si>
  <si>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</si>
  <si>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</si>
  <si>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</si>
  <si>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</si>
  <si>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</si>
  <si>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</si>
  <si>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</si>
  <si>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</si>
  <si>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</si>
  <si>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</si>
  <si>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</si>
  <si>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</si>
  <si>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</si>
  <si>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</si>
  <si>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</si>
  <si>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</si>
  <si>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</si>
  <si>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</si>
  <si>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</si>
  <si>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</si>
  <si>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</si>
  <si>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</si>
  <si>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</si>
  <si>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</si>
  <si>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</si>
  <si>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</si>
  <si>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</si>
  <si>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</si>
  <si>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</si>
  <si>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</si>
  <si>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</si>
  <si>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</si>
  <si>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</si>
  <si>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</si>
  <si>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</si>
  <si>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</si>
  <si>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</si>
  <si>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</si>
  <si>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</si>
  <si>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</si>
  <si>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</si>
  <si>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</si>
  <si>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</si>
  <si>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</si>
  <si>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</si>
  <si>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</si>
  <si>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</si>
  <si>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</si>
  <si>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</si>
  <si>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</si>
  <si>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</si>
  <si>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</si>
  <si>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</si>
  <si>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</si>
  <si>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</si>
  <si>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</si>
  <si>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</si>
  <si>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</si>
  <si>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</si>
  <si>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</si>
  <si>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</si>
  <si>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</si>
  <si>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</si>
  <si>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</si>
  <si>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</si>
  <si>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</si>
  <si>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</si>
  <si>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</si>
  <si>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</si>
  <si>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</si>
  <si>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</si>
  <si>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</si>
  <si>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</si>
  <si>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</si>
  <si>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</si>
  <si>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</si>
  <si>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</si>
  <si>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</si>
  <si>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</si>
  <si>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</si>
  <si>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</si>
  <si>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</si>
  <si>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</si>
  <si>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</si>
  <si>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</si>
  <si>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</si>
  <si>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</si>
  <si>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</si>
  <si>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</si>
  <si>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</si>
  <si>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</si>
  <si>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</si>
  <si>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</si>
  <si>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</si>
  <si>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</si>
  <si>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</si>
  <si>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</si>
  <si>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</si>
  <si>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</si>
  <si>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</si>
  <si>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</si>
  <si>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</si>
  <si>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</si>
  <si>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</si>
  <si>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</si>
  <si>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</si>
  <si>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</si>
  <si>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</si>
  <si>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</si>
  <si>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</si>
  <si>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</si>
  <si>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</si>
  <si>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</si>
  <si>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</si>
  <si>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</si>
  <si>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</si>
  <si>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</si>
  <si>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</si>
  <si>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</si>
  <si>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</si>
  <si>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</si>
  <si>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</si>
  <si>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</si>
  <si>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</si>
  <si>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</si>
  <si>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</si>
  <si>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</si>
  <si>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</si>
  <si>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</si>
  <si>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</si>
  <si>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</si>
  <si>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</si>
  <si>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</si>
  <si>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</si>
  <si>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</si>
  <si>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</si>
  <si>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</si>
  <si>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</si>
  <si>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</si>
  <si>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</si>
  <si>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</si>
  <si>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</si>
  <si>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</si>
  <si>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</si>
  <si>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</si>
  <si>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</si>
  <si>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</si>
  <si>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</si>
  <si>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</si>
  <si>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</si>
  <si>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</si>
  <si>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</si>
  <si>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</si>
  <si>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</si>
  <si>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</si>
  <si>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</si>
  <si>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</si>
  <si>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</si>
  <si>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</si>
  <si>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</si>
  <si>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</si>
  <si>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</si>
  <si>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</si>
  <si>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</si>
  <si>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</si>
  <si>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</si>
  <si>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</si>
  <si>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</si>
  <si>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</si>
  <si>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</si>
  <si>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</si>
  <si>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</si>
  <si>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</si>
  <si>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</si>
  <si>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</si>
  <si>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</si>
  <si>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</si>
  <si>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</si>
  <si>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</si>
  <si>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</si>
  <si>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</si>
  <si>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</si>
  <si>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</si>
  <si>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</si>
  <si>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</si>
  <si>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</si>
  <si>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</si>
  <si>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</si>
  <si>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</si>
  <si>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</si>
  <si>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</si>
  <si>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</si>
  <si>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</si>
  <si>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</si>
  <si>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</si>
  <si>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</si>
  <si>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</si>
  <si>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</si>
  <si>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</si>
  <si>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</si>
  <si>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</si>
  <si>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</si>
  <si>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</si>
  <si>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</si>
  <si>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</si>
  <si>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</si>
  <si>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</si>
  <si>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</si>
  <si>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</si>
  <si>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</si>
  <si>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</si>
  <si>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</si>
  <si>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</si>
  <si>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</si>
  <si>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</si>
  <si>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</si>
  <si>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</si>
  <si>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</si>
  <si>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</si>
  <si>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</si>
  <si>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</si>
  <si>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</si>
  <si>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</si>
  <si>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</si>
  <si>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</si>
  <si>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</si>
  <si>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</si>
  <si>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</si>
  <si>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</si>
  <si>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</si>
  <si>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</si>
  <si>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</si>
  <si>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</si>
  <si>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</si>
  <si>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</si>
  <si>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</si>
  <si>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</si>
  <si>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</si>
  <si>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</si>
  <si>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</si>
  <si>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</si>
  <si>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</si>
  <si>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</si>
  <si>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</si>
  <si>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</si>
  <si>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</si>
  <si>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</si>
  <si>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</si>
  <si>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</si>
  <si>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</si>
  <si>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</si>
  <si>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</si>
  <si>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</si>
  <si>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</si>
  <si>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</si>
  <si>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</si>
  <si>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</si>
  <si>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</si>
  <si>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</si>
  <si>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</si>
  <si>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</si>
  <si>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</si>
  <si>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</si>
  <si>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</si>
  <si>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</si>
  <si>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</si>
  <si>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</si>
  <si>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</si>
  <si>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</si>
  <si>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</si>
  <si>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</si>
  <si>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</si>
  <si>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</si>
  <si>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</si>
  <si>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</si>
  <si>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</si>
  <si>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</si>
  <si>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</si>
  <si>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</si>
  <si>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</si>
  <si>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</si>
  <si>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</si>
  <si>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</si>
  <si>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</si>
  <si>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</si>
  <si>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</si>
  <si>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</si>
  <si>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</si>
  <si>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</si>
  <si>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</si>
  <si>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</si>
  <si>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</si>
  <si>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</si>
  <si>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</si>
  <si>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</si>
  <si>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</si>
  <si>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</si>
  <si>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</si>
  <si>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</si>
  <si>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</si>
  <si>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</si>
  <si>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</si>
  <si>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</si>
  <si>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</si>
  <si>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</si>
  <si>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</si>
  <si>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</si>
  <si>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</si>
  <si>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</si>
  <si>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</si>
  <si>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</si>
  <si>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</si>
  <si>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</si>
  <si>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</si>
  <si>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</si>
  <si>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</si>
  <si>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</si>
  <si>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</si>
  <si>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</si>
  <si>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</si>
  <si>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</si>
  <si>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</si>
  <si>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</si>
  <si>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</si>
  <si>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</si>
  <si>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</si>
  <si>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</si>
  <si>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</si>
  <si>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</si>
  <si>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</si>
  <si>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</si>
  <si>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</si>
  <si>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</si>
  <si>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</si>
  <si>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</si>
  <si>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</si>
  <si>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</si>
  <si>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</si>
  <si>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</si>
  <si>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</si>
  <si>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</si>
  <si>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</si>
  <si>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</si>
  <si>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</si>
  <si>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</si>
  <si>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</si>
  <si>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</si>
  <si>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</si>
  <si>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</si>
  <si>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</si>
  <si>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</si>
  <si>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</si>
  <si>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</si>
  <si>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</si>
  <si>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</si>
  <si>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</si>
  <si>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</si>
  <si>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</si>
  <si>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</si>
  <si>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</si>
  <si>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</si>
  <si>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</si>
  <si>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</si>
  <si>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</si>
  <si>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</si>
  <si>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</si>
  <si>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</si>
  <si>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</si>
  <si>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</si>
  <si>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</si>
  <si>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</si>
  <si>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</si>
  <si>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</si>
  <si>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</si>
  <si>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</si>
  <si>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</si>
  <si>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</si>
  <si>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</si>
  <si>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</si>
  <si>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</si>
  <si>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</si>
  <si>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</si>
  <si>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</si>
  <si>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</si>
  <si>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</si>
  <si>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</si>
  <si>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</si>
  <si>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</si>
  <si>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</si>
  <si>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</si>
  <si>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</si>
  <si>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</si>
  <si>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</si>
  <si>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</si>
  <si>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</si>
  <si>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</si>
  <si>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</si>
  <si>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</si>
  <si>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</si>
  <si>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</si>
  <si>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</si>
  <si>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</si>
  <si>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</si>
  <si>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</si>
  <si>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</si>
  <si>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</si>
  <si>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</si>
  <si>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</si>
  <si>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</si>
  <si>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</si>
  <si>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</si>
  <si>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</si>
  <si>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</si>
  <si>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</si>
  <si>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</si>
  <si>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</si>
  <si>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</si>
  <si>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</si>
  <si>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</si>
  <si>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</si>
  <si>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</si>
  <si>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</si>
  <si>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</si>
  <si>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</si>
  <si>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</si>
  <si>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</si>
  <si>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</si>
  <si>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</si>
  <si>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</si>
  <si>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</si>
  <si>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</si>
  <si>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</si>
  <si>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</si>
  <si>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</si>
  <si>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</si>
  <si>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</si>
  <si>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</si>
  <si>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</si>
  <si>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</si>
  <si>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</si>
  <si>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</si>
  <si>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</si>
  <si>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</si>
  <si>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</si>
  <si>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</si>
  <si>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</si>
  <si>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</si>
  <si>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</si>
  <si>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</si>
  <si>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</si>
  <si>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</si>
  <si>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</si>
  <si>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</si>
  <si>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</si>
  <si>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</si>
  <si>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</si>
  <si>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</si>
  <si>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</si>
  <si>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</si>
  <si>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</si>
  <si>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</si>
  <si>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</si>
  <si>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</si>
  <si>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</si>
  <si>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</si>
  <si>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</si>
  <si>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</si>
  <si>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</si>
  <si>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</si>
  <si>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</si>
  <si>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</si>
  <si>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</si>
  <si>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</si>
  <si>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</si>
  <si>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</si>
  <si>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</si>
  <si>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</si>
  <si>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</si>
  <si>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</si>
  <si>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</si>
  <si>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</si>
  <si>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</si>
  <si>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</si>
  <si>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</si>
  <si>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</si>
  <si>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</si>
  <si>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</si>
  <si>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</si>
  <si>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</si>
  <si>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</si>
  <si>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</si>
  <si>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</si>
  <si>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</si>
  <si>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</si>
  <si>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</si>
  <si>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</si>
  <si>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</si>
  <si>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</si>
  <si>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</si>
  <si>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</si>
  <si>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</si>
  <si>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</si>
  <si>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</si>
  <si>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</si>
  <si>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</si>
  <si>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</si>
  <si>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</si>
  <si>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</si>
  <si>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</si>
  <si>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</si>
  <si>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</si>
  <si>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</si>
  <si>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</si>
  <si>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</si>
  <si>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</si>
  <si>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</si>
  <si>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</si>
  <si>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</si>
  <si>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</si>
  <si>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</si>
  <si>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</si>
  <si>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</si>
  <si>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</si>
  <si>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</si>
  <si>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</si>
  <si>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</si>
  <si>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</si>
  <si>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</si>
  <si>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</si>
  <si>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</si>
  <si>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</si>
  <si>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</si>
  <si>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</si>
  <si>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</si>
  <si>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</si>
  <si>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</si>
  <si>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</si>
  <si>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</si>
  <si>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</si>
  <si>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</si>
  <si>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</si>
  <si>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</si>
  <si>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</si>
  <si>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</si>
  <si>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</si>
  <si>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</si>
  <si>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</si>
  <si>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</si>
  <si>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</si>
  <si>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</si>
  <si>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</si>
  <si>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</si>
  <si>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</si>
  <si>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</si>
  <si>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</si>
  <si>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</si>
  <si>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</si>
  <si>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</si>
  <si>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</si>
  <si>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</si>
  <si>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</si>
  <si>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</si>
  <si>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</si>
  <si>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</si>
  <si>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</si>
  <si>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</si>
  <si>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</si>
  <si>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</si>
  <si>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</si>
  <si>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</si>
  <si>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</si>
  <si>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</si>
  <si>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</si>
  <si>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</si>
  <si>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</si>
  <si>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</si>
  <si>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</si>
  <si>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</si>
  <si>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</si>
  <si>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</si>
  <si>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</si>
  <si>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</si>
  <si>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</si>
  <si>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</si>
  <si>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</si>
  <si>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</si>
  <si>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</si>
  <si>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</si>
  <si>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</si>
  <si>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</si>
  <si>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</si>
  <si>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</si>
  <si>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</si>
  <si>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</si>
  <si>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</si>
  <si>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</si>
  <si>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</si>
  <si>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</si>
  <si>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</si>
  <si>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</si>
  <si>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</si>
  <si>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</si>
  <si>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</si>
  <si>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</si>
  <si>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</si>
  <si>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</si>
  <si>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</si>
  <si>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</si>
  <si>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</si>
  <si>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</si>
  <si>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</si>
  <si>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</si>
  <si>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</si>
  <si>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</si>
  <si>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</si>
  <si>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</si>
  <si>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</si>
  <si>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</si>
  <si>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</si>
  <si>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</si>
  <si>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</si>
  <si>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</si>
  <si>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</si>
  <si>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</si>
  <si>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</si>
  <si>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</si>
  <si>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</si>
  <si>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</si>
  <si>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</si>
  <si>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</si>
  <si>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</si>
  <si>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</si>
  <si>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</si>
  <si>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</si>
  <si>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</si>
  <si>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</si>
  <si>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</si>
  <si>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</si>
  <si>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</si>
  <si>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</si>
  <si>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</si>
  <si>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</si>
  <si>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</si>
  <si>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</si>
  <si>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</si>
  <si>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</si>
  <si>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</si>
  <si>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</si>
  <si>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</si>
  <si>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</si>
  <si>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</si>
  <si>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</si>
  <si>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</si>
  <si>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</si>
  <si>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</si>
  <si>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</si>
  <si>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</si>
  <si>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</si>
  <si>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</si>
  <si>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</si>
  <si>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</si>
  <si>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</si>
  <si>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</si>
  <si>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</si>
  <si>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</si>
  <si>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</si>
  <si>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</si>
  <si>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</si>
  <si>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</si>
  <si>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</si>
  <si>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</si>
  <si>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</si>
  <si>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</si>
  <si>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</si>
  <si>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</si>
  <si>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</si>
  <si>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</si>
  <si>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</si>
  <si>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</si>
  <si>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</si>
  <si>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</si>
  <si>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</si>
  <si>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</si>
  <si>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</si>
  <si>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</si>
  <si>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</si>
  <si>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</si>
  <si>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</si>
  <si>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</si>
  <si>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</si>
  <si>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</si>
  <si>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</si>
  <si>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</si>
  <si>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</si>
  <si>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</si>
  <si>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</si>
  <si>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</si>
  <si>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</si>
  <si>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</si>
  <si>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</si>
  <si>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</si>
  <si>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</si>
  <si>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</si>
  <si>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</si>
  <si>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</si>
  <si>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</si>
  <si>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</si>
  <si>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</si>
  <si>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</si>
  <si>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</si>
  <si>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</si>
  <si>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</si>
  <si>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</si>
  <si>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</si>
  <si>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</si>
  <si>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</si>
  <si>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</si>
  <si>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</si>
  <si>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</si>
  <si>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</si>
  <si>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</si>
  <si>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</si>
  <si>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</si>
  <si>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</si>
  <si>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</si>
  <si>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</si>
  <si>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</si>
  <si>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</si>
  <si>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</si>
  <si>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</si>
  <si>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</si>
  <si>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</si>
  <si>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</si>
  <si>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</si>
  <si>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</si>
  <si>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</si>
  <si>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</si>
  <si>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</si>
  <si>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</si>
  <si>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</si>
  <si>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</si>
  <si>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</si>
  <si>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</si>
  <si>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</si>
  <si>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</si>
  <si>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</si>
  <si>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</si>
  <si>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</si>
  <si>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</si>
  <si>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</si>
  <si>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</si>
  <si>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</si>
  <si>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</si>
  <si>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</si>
  <si>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</si>
  <si>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</si>
  <si>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</si>
  <si>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</si>
  <si>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</si>
  <si>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</si>
  <si>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</si>
  <si>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</si>
  <si>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</si>
  <si>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</si>
  <si>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</si>
  <si>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</si>
  <si>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</si>
  <si>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</si>
  <si>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</si>
  <si>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</si>
  <si>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</si>
  <si>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</si>
  <si>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</si>
  <si>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</si>
  <si>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</si>
  <si>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</si>
  <si>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</si>
  <si>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</si>
  <si>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</si>
  <si>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</si>
  <si>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</si>
  <si>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</si>
  <si>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</si>
  <si>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</si>
  <si>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</si>
  <si>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</si>
  <si>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</si>
  <si>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</si>
  <si>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</si>
  <si>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</si>
  <si>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</si>
  <si>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</si>
  <si>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</si>
  <si>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</si>
  <si>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</si>
  <si>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</si>
  <si>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</si>
  <si>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</si>
  <si>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</si>
  <si>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</si>
  <si>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</si>
  <si>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</si>
  <si>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</si>
  <si>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</si>
  <si>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</si>
  <si>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</si>
  <si>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</si>
  <si>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</si>
  <si>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</si>
  <si>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</si>
  <si>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</si>
  <si>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</si>
  <si>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</si>
  <si>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</si>
  <si>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</si>
  <si>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</si>
  <si>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</si>
  <si>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</si>
  <si>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</si>
  <si>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</si>
  <si>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</si>
  <si>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</si>
  <si>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</si>
  <si>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</si>
  <si>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</si>
  <si>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</si>
  <si>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</si>
  <si>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</si>
  <si>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</si>
  <si>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</si>
  <si>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</si>
  <si>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</si>
  <si>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</si>
  <si>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</si>
  <si>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</si>
  <si>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</si>
  <si>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</si>
  <si>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</si>
  <si>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</si>
  <si>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</si>
  <si>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</si>
  <si>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</si>
  <si>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</si>
  <si>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</si>
  <si>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</si>
  <si>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</si>
  <si>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</si>
  <si>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</si>
  <si>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</si>
  <si>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</si>
  <si>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</si>
  <si>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</si>
  <si>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</si>
  <si>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</si>
  <si>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</si>
  <si>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</si>
  <si>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</si>
  <si>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</si>
  <si>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</si>
  <si>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</si>
  <si>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</si>
  <si>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</si>
  <si>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</si>
  <si>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</si>
  <si>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</si>
  <si>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</si>
  <si>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</si>
  <si>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</si>
  <si>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</si>
  <si>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</si>
  <si>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</si>
  <si>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</si>
  <si>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</si>
  <si>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</si>
  <si>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</si>
  <si>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</si>
  <si>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</si>
  <si>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</si>
  <si>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</si>
  <si>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</si>
  <si>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</si>
  <si>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</si>
  <si>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</si>
  <si>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</si>
  <si>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</si>
  <si>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</si>
  <si>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</si>
  <si>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</si>
  <si>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</si>
  <si>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</si>
  <si>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</si>
  <si>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</si>
  <si>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</si>
  <si>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</si>
  <si>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</si>
  <si>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</si>
  <si>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</si>
  <si>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</si>
  <si>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</si>
  <si>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</si>
  <si>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</si>
  <si>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</si>
  <si>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</si>
  <si>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</si>
  <si>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</si>
  <si>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</si>
  <si>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</si>
  <si>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</si>
  <si>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</si>
  <si>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</si>
  <si>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</si>
  <si>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</si>
  <si>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</si>
  <si>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</si>
  <si>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</si>
  <si>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</si>
  <si>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</si>
  <si>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</si>
  <si>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</si>
  <si>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</si>
  <si>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</si>
  <si>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</si>
  <si>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</si>
  <si>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</si>
  <si>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</si>
  <si>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</si>
  <si>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</si>
  <si>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</si>
  <si>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</si>
  <si>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</si>
  <si>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</si>
  <si>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</si>
  <si>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</si>
  <si>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</si>
  <si>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</si>
  <si>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</si>
  <si>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</si>
  <si>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</si>
  <si>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</si>
  <si>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</si>
  <si>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</si>
  <si>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</si>
  <si>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</si>
  <si>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</si>
  <si>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</si>
  <si>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</si>
  <si>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</si>
  <si>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</si>
  <si>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</si>
  <si>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</si>
  <si>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</si>
  <si>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</si>
  <si>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</si>
  <si>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</si>
  <si>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</si>
  <si>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</si>
  <si>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</si>
  <si>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</si>
  <si>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</si>
  <si>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</si>
  <si>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</si>
  <si>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</si>
  <si>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</si>
  <si>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</si>
  <si>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</si>
  <si>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</si>
  <si>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</si>
  <si>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</si>
  <si>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</si>
  <si>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</si>
  <si>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</si>
  <si>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</si>
  <si>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</si>
  <si>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</si>
  <si>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</si>
  <si>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</si>
  <si>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</si>
  <si>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</si>
  <si>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</si>
  <si>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</si>
  <si>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</si>
  <si>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</si>
  <si>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</si>
  <si>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</si>
  <si>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</si>
  <si>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</si>
  <si>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</si>
  <si>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</si>
  <si>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</si>
  <si>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</si>
  <si>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</si>
  <si>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</si>
  <si>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</si>
  <si>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</si>
  <si>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</si>
  <si>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</si>
  <si>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</si>
  <si>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</si>
  <si>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</si>
  <si>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</si>
  <si>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</si>
  <si>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</si>
  <si>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</si>
  <si>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</si>
  <si>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</si>
  <si>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</si>
  <si>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</si>
  <si>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</si>
  <si>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</si>
  <si>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</si>
  <si>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</si>
  <si>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</si>
  <si>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</si>
  <si>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</si>
  <si>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</si>
  <si>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</si>
  <si>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</si>
  <si>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</si>
  <si>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</si>
  <si>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</si>
  <si>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</si>
  <si>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</si>
  <si>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</si>
  <si>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</si>
  <si>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</si>
  <si>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</si>
  <si>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</si>
  <si>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</si>
  <si>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</si>
  <si>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</si>
  <si>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</si>
  <si>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</si>
  <si>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</si>
  <si>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</si>
  <si>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</si>
  <si>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</si>
  <si>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</si>
  <si>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</si>
  <si>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</si>
  <si>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</si>
  <si>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</si>
  <si>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</si>
  <si>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</si>
  <si>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</si>
  <si>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</si>
  <si>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</si>
  <si>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</si>
  <si>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</si>
  <si>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</si>
  <si>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</si>
  <si>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</si>
  <si>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</si>
  <si>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</si>
  <si>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</si>
  <si>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</si>
  <si>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</si>
  <si>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</si>
  <si>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</si>
  <si>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</si>
  <si>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</si>
  <si>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</si>
  <si>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</si>
  <si>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</si>
  <si>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</si>
  <si>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</si>
  <si>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</si>
  <si>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</si>
  <si>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</si>
  <si>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</si>
  <si>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</si>
  <si>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</si>
  <si>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</si>
  <si>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</si>
  <si>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</si>
  <si>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</si>
  <si>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</si>
  <si>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</si>
  <si>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</si>
  <si>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</si>
  <si>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</si>
  <si>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</si>
  <si>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</si>
  <si>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</si>
  <si>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</si>
  <si>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</si>
  <si>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</si>
  <si>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</si>
  <si>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</si>
  <si>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</si>
  <si>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</si>
  <si>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</si>
  <si>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</si>
  <si>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</si>
  <si>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</si>
  <si>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</si>
  <si>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</si>
  <si>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</si>
  <si>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</si>
  <si>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</si>
  <si>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</si>
  <si>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</si>
  <si>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</si>
  <si>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</si>
  <si>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</si>
  <si>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</si>
  <si>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</si>
  <si>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</si>
  <si>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</si>
  <si>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</si>
  <si>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</si>
  <si>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</si>
  <si>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</si>
  <si>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</si>
  <si>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</si>
  <si>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</si>
  <si>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</si>
  <si>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</si>
  <si>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</si>
  <si>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</si>
  <si>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</si>
  <si>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</si>
  <si>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</si>
  <si>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</si>
  <si>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</si>
  <si>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</si>
  <si>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</si>
  <si>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</si>
  <si>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</si>
  <si>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</si>
  <si>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</si>
  <si>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</si>
  <si>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</si>
  <si>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</si>
  <si>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</si>
  <si>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</si>
  <si>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</si>
  <si>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</si>
  <si>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</si>
  <si>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</si>
  <si>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</si>
  <si>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</si>
  <si>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</si>
  <si>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</si>
  <si>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</si>
  <si>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</si>
  <si>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</si>
  <si>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</si>
  <si>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</si>
  <si>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</si>
  <si>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</si>
  <si>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</si>
  <si>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</si>
  <si>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</si>
  <si>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</si>
  <si>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</si>
  <si>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</si>
  <si>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</si>
  <si>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</si>
  <si>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</si>
  <si>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</si>
  <si>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</si>
  <si>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</si>
  <si>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</si>
  <si>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</si>
  <si>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</si>
  <si>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</si>
  <si>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</si>
  <si>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</si>
  <si>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</si>
  <si>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</si>
  <si>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</si>
  <si>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</si>
  <si>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</si>
  <si>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</si>
  <si>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</si>
  <si>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</si>
  <si>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</si>
  <si>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</si>
  <si>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</si>
  <si>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</si>
  <si>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</si>
  <si>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</si>
  <si>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</si>
  <si>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</si>
  <si>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</si>
  <si>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</si>
  <si>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</si>
  <si>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</si>
  <si>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</si>
  <si>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</si>
  <si>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</si>
  <si>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</si>
  <si>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</si>
  <si>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</si>
  <si>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</si>
  <si>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</si>
  <si>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</si>
  <si>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</si>
  <si>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</si>
  <si>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</si>
  <si>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</si>
  <si>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</si>
  <si>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</si>
  <si>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</si>
  <si>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</si>
  <si>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</si>
  <si>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</si>
  <si>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</si>
  <si>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</si>
  <si>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</si>
  <si>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</si>
  <si>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</si>
  <si>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</si>
  <si>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</si>
  <si>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</si>
  <si>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</si>
  <si>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</si>
  <si>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</si>
  <si>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</si>
  <si>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</si>
  <si>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</si>
  <si>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</si>
  <si>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</si>
  <si>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</si>
  <si>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</si>
  <si>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</si>
  <si>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</si>
  <si>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</si>
  <si>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</si>
  <si>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</si>
  <si>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</si>
  <si>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</si>
  <si>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</si>
  <si>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</si>
  <si>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</si>
  <si>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</si>
  <si>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</si>
  <si>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</si>
  <si>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</si>
  <si>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</si>
  <si>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</si>
  <si>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</si>
  <si>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</si>
  <si>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</si>
  <si>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</si>
  <si>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</si>
  <si>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</si>
  <si>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</si>
  <si>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</si>
  <si>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</si>
  <si>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</si>
  <si>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</si>
  <si>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</si>
  <si>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</si>
  <si>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</si>
  <si>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</si>
  <si>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</si>
  <si>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</si>
  <si>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</si>
  <si>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</si>
  <si>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</si>
  <si>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</si>
  <si>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</si>
  <si>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</si>
  <si>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</si>
  <si>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</si>
  <si>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</si>
  <si>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</si>
  <si>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</si>
  <si>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</si>
  <si>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</si>
  <si>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</si>
  <si>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</si>
  <si>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</si>
  <si>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</si>
  <si>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</si>
  <si>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</si>
  <si>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</si>
  <si>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</si>
  <si>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</si>
  <si>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</si>
  <si>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</si>
  <si>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</si>
  <si>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</si>
  <si>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</si>
  <si>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</si>
  <si>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</si>
  <si>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</si>
  <si>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</si>
  <si>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</si>
  <si>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</si>
  <si>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</si>
  <si>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</si>
  <si>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</si>
  <si>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</si>
  <si>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</si>
  <si>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</si>
  <si>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</si>
  <si>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</si>
  <si>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</si>
  <si>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</si>
  <si>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</si>
  <si>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</si>
  <si>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</si>
  <si>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</si>
  <si>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</si>
  <si>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</si>
  <si>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</si>
  <si>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</si>
  <si>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</si>
  <si>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</si>
  <si>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</si>
  <si>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</si>
  <si>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</si>
  <si>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</si>
  <si>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</si>
  <si>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</si>
  <si>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</si>
  <si>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</si>
  <si>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</si>
  <si>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</si>
  <si>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</si>
  <si>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</si>
  <si>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</si>
  <si>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</si>
  <si>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</si>
  <si>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</si>
  <si>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</si>
  <si>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</si>
  <si>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</si>
  <si>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</si>
  <si>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</si>
  <si>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</si>
  <si>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</si>
  <si>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</si>
  <si>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</si>
  <si>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</si>
  <si>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</si>
  <si>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</si>
  <si>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</si>
  <si>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</si>
  <si>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</si>
  <si>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</si>
  <si>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</si>
  <si>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</si>
  <si>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</si>
  <si>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</si>
  <si>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</si>
  <si>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</si>
  <si>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</si>
  <si>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</si>
  <si>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</si>
  <si>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</si>
  <si>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</si>
  <si>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</si>
  <si>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</si>
  <si>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</si>
  <si>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</si>
  <si>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</si>
  <si>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</si>
  <si>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</si>
  <si>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</si>
  <si>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</si>
  <si>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</si>
  <si>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</si>
  <si>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</si>
  <si>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</si>
  <si>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</si>
  <si>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</si>
  <si>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</si>
  <si>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</si>
  <si>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</si>
  <si>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</si>
  <si>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</si>
  <si>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</si>
  <si>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</si>
  <si>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</si>
  <si>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</si>
  <si>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</si>
  <si>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</si>
  <si>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</si>
  <si>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</si>
  <si>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</si>
  <si>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</si>
  <si>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</si>
  <si>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</si>
  <si>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</si>
  <si>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</si>
  <si>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</si>
  <si>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</si>
  <si>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</si>
  <si>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</si>
  <si>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</si>
  <si>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</si>
  <si>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</si>
  <si>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</si>
  <si>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</si>
  <si>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</si>
  <si>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</si>
  <si>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</si>
  <si>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</si>
  <si>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</si>
  <si>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</si>
  <si>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</si>
  <si>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</si>
  <si>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</si>
  <si>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</si>
  <si>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</si>
  <si>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</si>
  <si>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</si>
  <si>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</si>
  <si>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</si>
  <si>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</si>
  <si>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</si>
  <si>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</si>
  <si>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</si>
  <si>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</si>
  <si>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</si>
  <si>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</si>
  <si>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</si>
  <si>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</si>
  <si>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</si>
  <si>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</si>
  <si>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</si>
  <si>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</si>
  <si>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</si>
  <si>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</si>
  <si>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</si>
  <si>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</si>
  <si>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</si>
  <si>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</si>
  <si>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</si>
  <si>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</si>
  <si>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</si>
  <si>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</si>
  <si>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</si>
  <si>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</si>
  <si>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</si>
  <si>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</si>
  <si>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</si>
  <si>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</si>
  <si>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</si>
  <si>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</si>
  <si>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</si>
  <si>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</si>
  <si>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</si>
  <si>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</si>
  <si>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</si>
  <si>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</si>
  <si>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</si>
  <si>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</si>
  <si>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</si>
  <si>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</si>
  <si>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</si>
  <si>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</si>
  <si>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</si>
  <si>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</si>
  <si>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</si>
  <si>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</si>
  <si>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</si>
  <si>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</si>
  <si>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</si>
  <si>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</si>
  <si>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</si>
  <si>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</si>
  <si>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</si>
  <si>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</si>
  <si>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</si>
  <si>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</si>
  <si>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</si>
  <si>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</si>
  <si>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</si>
  <si>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</si>
  <si>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</si>
  <si>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</si>
  <si>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</si>
  <si>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</si>
  <si>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</si>
  <si>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</si>
  <si>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</si>
  <si>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</si>
  <si>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</si>
  <si>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</si>
  <si>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</si>
  <si>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</si>
  <si>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</si>
  <si>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</si>
  <si>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</si>
  <si>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</si>
  <si>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</si>
  <si>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</si>
  <si>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</si>
  <si>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</si>
  <si>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</si>
  <si>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</si>
  <si>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</si>
  <si>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</si>
  <si>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</si>
  <si>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</si>
  <si>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</si>
  <si>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</si>
  <si>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</si>
  <si>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</si>
  <si>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</si>
  <si>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</si>
  <si>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</si>
  <si>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</si>
  <si>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</si>
  <si>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</si>
  <si>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</si>
  <si>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</si>
  <si>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</si>
  <si>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</si>
  <si>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</si>
  <si>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</si>
  <si>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</si>
  <si>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</si>
  <si>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</si>
  <si>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</si>
  <si>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</si>
  <si>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</si>
  <si>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</si>
  <si>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</si>
  <si>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</si>
  <si>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</si>
  <si>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</si>
  <si>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</si>
  <si>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</si>
  <si>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</si>
  <si>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</si>
  <si>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</si>
  <si>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</si>
  <si>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</si>
  <si>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</si>
  <si>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</si>
  <si>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</si>
  <si>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</si>
  <si>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</si>
  <si>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</si>
  <si>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</si>
  <si>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</si>
  <si>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</si>
  <si>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</si>
  <si>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</si>
  <si>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</si>
  <si>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</si>
  <si>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</si>
  <si>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</si>
  <si>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</si>
  <si>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</si>
  <si>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</si>
  <si>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</si>
  <si>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</si>
  <si>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</si>
  <si>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</si>
  <si>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</si>
  <si>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</si>
  <si>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</si>
  <si>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</si>
  <si>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</si>
  <si>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</si>
  <si>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</si>
  <si>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</si>
  <si>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</si>
  <si>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</si>
  <si>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</si>
  <si>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</si>
  <si>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</si>
  <si>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</si>
  <si>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</si>
  <si>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</si>
  <si>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</si>
  <si>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</si>
  <si>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</si>
  <si>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</si>
  <si>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</si>
  <si>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</si>
  <si>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</si>
  <si>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</si>
  <si>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</si>
  <si>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</si>
  <si>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</si>
  <si>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</si>
  <si>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</si>
  <si>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</si>
  <si>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</si>
  <si>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</si>
  <si>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</si>
  <si>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</si>
  <si>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</si>
  <si>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</si>
  <si>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</si>
  <si>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</si>
  <si>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</si>
  <si>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</si>
  <si>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</si>
  <si>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</si>
  <si>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</si>
  <si>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</si>
  <si>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</si>
  <si>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</si>
  <si>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</si>
  <si>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</si>
  <si>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</si>
  <si>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</si>
  <si>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</si>
  <si>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</si>
  <si>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</si>
  <si>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</si>
  <si>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</si>
  <si>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</si>
  <si>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</si>
  <si>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</si>
  <si>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</si>
  <si>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</si>
  <si>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</si>
  <si>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</si>
  <si>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</si>
  <si>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</si>
  <si>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</si>
  <si>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</si>
  <si>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</si>
  <si>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</si>
  <si>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</si>
  <si>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</si>
  <si>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</si>
  <si>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</si>
  <si>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</si>
  <si>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</si>
  <si>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</si>
  <si>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</si>
  <si>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</si>
  <si>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</si>
  <si>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</si>
  <si>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</si>
  <si>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</si>
  <si>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</si>
  <si>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</si>
  <si>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</si>
  <si>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</si>
  <si>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</si>
  <si>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</si>
  <si>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</si>
  <si>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</si>
  <si>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</si>
  <si>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</si>
  <si>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</si>
  <si>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</si>
  <si>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</si>
  <si>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</si>
  <si>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</si>
  <si>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</si>
  <si>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</si>
  <si>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</si>
  <si>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</si>
  <si>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</si>
  <si>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</si>
  <si>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</si>
  <si>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</si>
  <si>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</si>
  <si>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否</t>
  </si>
  <si>
    <t>地上</t>
  </si>
  <si>
    <t>办公楼</t>
  </si>
  <si>
    <t>地下</t>
  </si>
  <si>
    <t>办公</t>
    <phoneticPr fontId="3" type="noConversion"/>
  </si>
  <si>
    <t>利息：取LPR加浮动点数</t>
  </si>
  <si>
    <t>成新度</t>
  </si>
  <si>
    <t>收益法-办公</t>
  </si>
  <si>
    <t>收益法-办公</t>
    <phoneticPr fontId="16" type="noConversion"/>
  </si>
  <si>
    <t>收益法-车库</t>
    <phoneticPr fontId="16" type="noConversion"/>
  </si>
  <si>
    <t>押一</t>
  </si>
  <si>
    <t>钢混</t>
  </si>
  <si>
    <t>非生产用房</t>
  </si>
  <si>
    <t>自定义</t>
  </si>
  <si>
    <t>成本法</t>
  </si>
  <si>
    <t>收益法（汇总）</t>
  </si>
  <si>
    <t>宗地容积率</t>
  </si>
  <si>
    <t>不临65条商业街</t>
  </si>
  <si>
    <t>与级别开发程度不一致</t>
  </si>
  <si>
    <t>通路</t>
  </si>
  <si>
    <t>通电</t>
  </si>
  <si>
    <t>通讯</t>
  </si>
  <si>
    <t>通上水</t>
  </si>
  <si>
    <t>通下水</t>
  </si>
  <si>
    <t>通热</t>
  </si>
  <si>
    <t>平整</t>
  </si>
  <si>
    <t>地块名称</t>
  </si>
  <si>
    <t>地块编号</t>
  </si>
  <si>
    <t>区县</t>
  </si>
  <si>
    <t>板块</t>
  </si>
  <si>
    <t>土地位置</t>
  </si>
  <si>
    <t>用地性质</t>
  </si>
  <si>
    <t>建设用地面积(㎡)</t>
  </si>
  <si>
    <t>规划建筑面积(㎡)</t>
  </si>
  <si>
    <t>容积率</t>
  </si>
  <si>
    <t>详细规划</t>
  </si>
  <si>
    <t>限制高度</t>
  </si>
  <si>
    <t>推出特殊政策</t>
  </si>
  <si>
    <t>成交日期</t>
  </si>
  <si>
    <t>受让单位</t>
  </si>
  <si>
    <t>拿地企业</t>
  </si>
  <si>
    <t>成交价(万元)</t>
  </si>
  <si>
    <t>成交每亩价(万元/亩)</t>
  </si>
  <si>
    <t>成交楼面价(元/㎡)</t>
  </si>
  <si>
    <t>溢价率(%)</t>
  </si>
  <si>
    <t>出让年限(年)</t>
  </si>
  <si>
    <t>北京市海淀区西北旺镇永丰产业基地(新)HD00-0403-009地块F3其他类多功能用地</t>
  </si>
  <si>
    <t>京土储挂(海)[2022]063号</t>
  </si>
  <si>
    <t xml:space="preserve"> 海淀区</t>
  </si>
  <si>
    <t xml:space="preserve"> 温泉</t>
  </si>
  <si>
    <t xml:space="preserve"> 海淀区永丰产业基地</t>
  </si>
  <si>
    <t xml:space="preserve"> 商业/办公用地</t>
  </si>
  <si>
    <t xml:space="preserve"> F3其他类多功能用地</t>
  </si>
  <si>
    <t xml:space="preserve"> --</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</si>
  <si>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</si>
  <si>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</si>
  <si>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</si>
  <si>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</si>
  <si>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</si>
  <si>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</si>
  <si>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北京市通州经济开发区西区南扩区 三、五、六期棚户区改造项目 FZX-1102-6002地块 F3其他类多功能用地</t>
  </si>
  <si>
    <t>京土储挂(通)〔2022〕041号</t>
  </si>
  <si>
    <t xml:space="preserve"> 通州区</t>
  </si>
  <si>
    <t xml:space="preserve"> 张家湾</t>
  </si>
  <si>
    <t xml:space="preserve"> 通州区张家湾镇</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</si>
  <si>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</si>
  <si>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</si>
  <si>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</si>
  <si>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</si>
  <si>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</si>
  <si>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</si>
  <si>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</si>
  <si>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</si>
  <si>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</si>
  <si>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</si>
  <si>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</si>
  <si>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≤2.8</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</si>
  <si>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</si>
  <si>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</si>
  <si>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</si>
  <si>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</si>
  <si>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</si>
  <si>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</si>
  <si>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</si>
  <si>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华夏银行股份有限公司  </t>
  </si>
  <si>
    <t xml:space="preserve"> 商业40年,办公50年</t>
  </si>
  <si>
    <t>北京市海淀区西北旺镇永丰产业基地(新)HD00-0403-024地块F3其他类多功能用地</t>
  </si>
  <si>
    <t>京土整储挂(海)[2021] 082号</t>
  </si>
  <si>
    <t xml:space="preserve"> 海淀区永丰产业基地(新)一级开发组团J地块内</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</si>
  <si>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</si>
  <si>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</si>
  <si>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</si>
  <si>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</si>
  <si>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</si>
  <si>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</si>
  <si>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</si>
  <si>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</si>
  <si>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</si>
  <si>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</si>
  <si>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石景山区</t>
  </si>
  <si>
    <t xml:space="preserve"> 苹果园、八角、金顶街</t>
  </si>
  <si>
    <t xml:space="preserve"> 石景山区古城南街东侧</t>
  </si>
  <si>
    <t xml:space="preserve"> B4综合性商业金融服务业用地</t>
  </si>
  <si>
    <t xml:space="preserve"> 北京首鹰置业有限公司  </t>
  </si>
  <si>
    <t xml:space="preserve"> 北京首鹰置业有限公司</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</si>
  <si>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</si>
  <si>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</si>
  <si>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</si>
  <si>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</si>
  <si>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</si>
  <si>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</si>
  <si>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</si>
  <si>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</si>
  <si>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</si>
  <si>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北京城市副中心投资建设集团有限公司  </t>
  </si>
  <si>
    <t xml:space="preserve"> 北投集团</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</si>
  <si>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</si>
  <si>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</si>
  <si>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</si>
  <si>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</si>
  <si>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</si>
  <si>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</si>
  <si>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北京公联鼎成交通枢纽建设发展有限公司  </t>
  </si>
  <si>
    <t xml:space="preserve"> 首发集团</t>
  </si>
  <si>
    <t>北京市石景山区中关村科技园石景山园北Ⅱ区西井地块土地一级开发项目1606-034地块B1商业用地</t>
  </si>
  <si>
    <t>京土整储挂(石)[2020]045号</t>
  </si>
  <si>
    <t xml:space="preserve"> 石景山区苹果园地区</t>
  </si>
  <si>
    <t xml:space="preserve"> ≤4.0</t>
  </si>
  <si>
    <t xml:space="preserve"> B1商业用地</t>
  </si>
  <si>
    <t xml:space="preserve"> ≤45米</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</si>
  <si>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</si>
  <si>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</si>
  <si>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</si>
  <si>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</si>
  <si>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</si>
  <si>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</si>
  <si>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</si>
  <si>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</si>
  <si>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中国电建地产集团有限公司  </t>
  </si>
  <si>
    <t xml:space="preserve"> 电建地产</t>
  </si>
  <si>
    <t>北京市朝阳区望京花家地西里三组团配套综合楼1006-605地块B4商业金融用地</t>
  </si>
  <si>
    <t>京土整储挂(朝)[2020]004号</t>
  </si>
  <si>
    <t xml:space="preserve"> 朝阳区</t>
  </si>
  <si>
    <t xml:space="preserve"> 望京、酒仙桥</t>
  </si>
  <si>
    <t xml:space="preserve"> 朝阳区望京花家地</t>
  </si>
  <si>
    <t xml:space="preserve"> ≤3</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</si>
  <si>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</si>
  <si>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</si>
  <si>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</si>
  <si>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</si>
  <si>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</si>
  <si>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</si>
  <si>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</si>
  <si>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</si>
  <si>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≤60米</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</si>
  <si>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</si>
  <si>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</si>
  <si>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</si>
  <si>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</si>
  <si>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</si>
  <si>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</si>
  <si>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</si>
  <si>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</si>
  <si>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</si>
  <si>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</si>
  <si>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</si>
  <si>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</si>
  <si>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</si>
  <si>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</si>
  <si>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</si>
  <si>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</si>
  <si>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</si>
  <si>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</si>
  <si>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</si>
  <si>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</si>
  <si>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</si>
  <si>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</si>
  <si>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</si>
  <si>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</si>
  <si>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</si>
  <si>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</si>
  <si>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</si>
  <si>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北京润置商业运营管理有限公司 、北京首都开发股份有限公司联合体  </t>
  </si>
  <si>
    <t xml:space="preserve"> 华润置地,首开股份</t>
  </si>
  <si>
    <t>北京市海淀区西三旗1811-L04地块B4综合性商业金融服务业用地</t>
  </si>
  <si>
    <t>京土整储挂(海)[2019]015号</t>
  </si>
  <si>
    <t xml:space="preserve"> 西三旗</t>
  </si>
  <si>
    <t xml:space="preserve"> 海淀区西三旗</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</si>
  <si>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</si>
  <si>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</si>
  <si>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</si>
  <si>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</si>
  <si>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海淀区西北旺镇</t>
  </si>
  <si>
    <t xml:space="preserve"> &lt;60米</t>
  </si>
  <si>
    <t xml:space="preserve"> 北京实创科技园开发建设股份有限公司  </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</si>
  <si>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</si>
  <si>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</si>
  <si>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</si>
  <si>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</si>
  <si>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</si>
  <si>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</si>
  <si>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</si>
  <si>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</si>
  <si>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</si>
  <si>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</si>
  <si>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详见挂牌文件</t>
  </si>
  <si>
    <t xml:space="preserve"> 北京北辰实业集团有限责任公司  </t>
  </si>
  <si>
    <t xml:space="preserve"> 北辰实业</t>
  </si>
  <si>
    <t>北京市石景山区中关村科技园区石景山园北I区1605-636地块B23研发设计用地</t>
  </si>
  <si>
    <t>京土整储挂(石)[2017]098号</t>
  </si>
  <si>
    <t xml:space="preserve"> 石景山区中关村科技园区石景山园北I区</t>
  </si>
  <si>
    <t xml:space="preserve"> B23研发设计用地</t>
  </si>
  <si>
    <t xml:space="preserve"> ≤18</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</si>
  <si>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</si>
  <si>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</si>
  <si>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</si>
  <si>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</si>
  <si>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</si>
  <si>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≤36</t>
  </si>
  <si>
    <t xml:space="preserve"> 含租赁住房用地</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</si>
  <si>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</si>
  <si>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</si>
  <si>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</si>
  <si>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</si>
  <si>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</si>
  <si>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</si>
  <si>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</si>
  <si>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鲁谷、八宝山</t>
  </si>
  <si>
    <t xml:space="preserve"> 石景山区鲁谷地区</t>
  </si>
  <si>
    <t xml:space="preserve"> ≤80</t>
  </si>
  <si>
    <t xml:space="preserve"> 天安人寿保险股份有限公司 、北京保险产业园投资控股有限责任公司联合体  </t>
  </si>
  <si>
    <t>通州区马驹桥镇YZ00-0606-0014地块</t>
  </si>
  <si>
    <t>京土整储挂(通)[2017]033号</t>
  </si>
  <si>
    <t xml:space="preserve"> 马驹桥</t>
  </si>
  <si>
    <t xml:space="preserve"> 北京通州物流基地内</t>
  </si>
  <si>
    <t xml:space="preserve"> 北京北建通成国际物流有限公司  </t>
  </si>
  <si>
    <t>顺义区高丽营镇02-08-01、02-08-02地块</t>
  </si>
  <si>
    <t>京土整储挂(顺)[2017]032号</t>
  </si>
  <si>
    <t xml:space="preserve"> 顺义区</t>
  </si>
  <si>
    <t xml:space="preserve"> 高丽营</t>
  </si>
  <si>
    <t xml:space="preserve"> 顺义区高丽营镇西北部</t>
  </si>
  <si>
    <t xml:space="preserve"> 北京首都开发股份有限公司 、北京富力通达房地产开发有限公司联合体  </t>
  </si>
  <si>
    <t xml:space="preserve"> 首开股份,富力地产</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</si>
  <si>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</si>
  <si>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</si>
  <si>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</si>
  <si>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</si>
  <si>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</si>
  <si>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</si>
  <si>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</si>
  <si>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</si>
  <si>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</si>
  <si>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</si>
  <si>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</si>
  <si>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天津金地华府置业有限公司  </t>
  </si>
  <si>
    <t xml:space="preserve"> 金地集团</t>
  </si>
  <si>
    <t>朝阳区金盏乡楼梓庄村1113-603地块</t>
  </si>
  <si>
    <t>京土整储挂(朝)[2017]006号</t>
  </si>
  <si>
    <t xml:space="preserve"> 朝阳区金盏乡楼梓庄村</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</si>
  <si>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</si>
  <si>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</si>
  <si>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</si>
  <si>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</si>
  <si>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</si>
  <si>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</si>
  <si>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石景山区实兴大街(中关村科技园区石景山园北I区)1605-639、649地块</t>
  </si>
  <si>
    <t>京土整储挂(石)[2016]025号</t>
  </si>
  <si>
    <t xml:space="preserve"> 石景山区实兴大街范围内</t>
  </si>
  <si>
    <t xml:space="preserve"> 北京保险产业园投资控股有限责任公司  </t>
  </si>
  <si>
    <t>石景山区实兴大街(中关村科技园区石景山园北I区)1605-637、641地块</t>
  </si>
  <si>
    <t>京土整储挂(石)[2016]024号</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</si>
  <si>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</si>
  <si>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</si>
  <si>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</si>
  <si>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</si>
  <si>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</si>
  <si>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</si>
  <si>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</si>
  <si>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“海淀北部地区整体开发”范围内</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</si>
  <si>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</si>
  <si>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</si>
  <si>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</si>
  <si>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</si>
  <si>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</si>
  <si>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</si>
  <si>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北京城建投资发展股份有限公司 、北京新奥集团有限公司联合体  </t>
  </si>
  <si>
    <t>顺义区李桥镇SY00-0029-6012地块</t>
  </si>
  <si>
    <t>京土整储挂(顺)[2015]079号</t>
  </si>
  <si>
    <t xml:space="preserve"> 天竺</t>
  </si>
  <si>
    <t xml:space="preserve"> 顺义区李桥镇</t>
  </si>
  <si>
    <t xml:space="preserve"> 深耕拓展投资(北京)有限公司  </t>
  </si>
  <si>
    <t xml:space="preserve"> 当代置业</t>
  </si>
  <si>
    <t>石景山区苹果园交通枢纽M、N地块</t>
  </si>
  <si>
    <t>京土整储挂(石)[2015]061号</t>
  </si>
  <si>
    <t xml:space="preserve"> 石景山区苹果园</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</si>
  <si>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</si>
  <si>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</si>
  <si>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</si>
  <si>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</si>
  <si>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北七家</t>
  </si>
  <si>
    <t xml:space="preserve"> 昌平区北七家镇</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</si>
  <si>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</si>
  <si>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</si>
  <si>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</si>
  <si>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</si>
  <si>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海淀区“海淀北部地区整体开发”范围内</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</si>
  <si>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</si>
  <si>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</si>
  <si>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</si>
  <si>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</si>
  <si>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</si>
  <si>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</si>
  <si>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</si>
  <si>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</si>
  <si>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 xml:space="preserve"> 石景山区实兴大街</t>
  </si>
  <si>
    <t>朝阳区黑庄户乡黑庄户村32-125地块</t>
  </si>
  <si>
    <t>京土整储挂(朝)[2015]032号</t>
  </si>
  <si>
    <t xml:space="preserve"> 豆各庄、黑庄户</t>
  </si>
  <si>
    <t xml:space="preserve"> 朝阳区黑庄户乡黑庄户村</t>
  </si>
  <si>
    <t xml:space="preserve"> 北京农产品中央物流园有限公司  </t>
  </si>
  <si>
    <t>通州区宋庄镇0301-1201地块</t>
  </si>
  <si>
    <t>京土整储挂(通)[2015]012号</t>
  </si>
  <si>
    <t xml:space="preserve"> 宋庄</t>
  </si>
  <si>
    <t xml:space="preserve"> 通州区宋庄镇</t>
  </si>
  <si>
    <t xml:space="preserve"> F3其它类多功能用地</t>
  </si>
  <si>
    <t xml:space="preserve"> 北京市文化置业有限公司  </t>
  </si>
  <si>
    <t xml:space="preserve"> 商业40年、综合50年</t>
  </si>
  <si>
    <t>顺义区赵全营镇板桥村F2-01地块</t>
  </si>
  <si>
    <t>京土整储挂(顺)[2015]006号</t>
  </si>
  <si>
    <t xml:space="preserve"> 赵全营</t>
  </si>
  <si>
    <t xml:space="preserve"> 顺义区赵全营镇板桥村</t>
  </si>
  <si>
    <t xml:space="preserve"> 北京郎园置业有限公司  </t>
  </si>
  <si>
    <t xml:space="preserve"> 首创置业</t>
  </si>
  <si>
    <t>顺义区顺义新城26街区SY00-0026-6001、6003地块</t>
  </si>
  <si>
    <t>京土整储挂(顺)[2015]005号</t>
  </si>
  <si>
    <t xml:space="preserve"> 南法信</t>
  </si>
  <si>
    <t xml:space="preserve"> 顺义新城第26街区</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</si>
  <si>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</si>
  <si>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</si>
  <si>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</si>
  <si>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r>
      <t>B23</t>
    </r>
    <r>
      <rPr>
        <sz val="11"/>
        <rFont val="宋体"/>
        <family val="3"/>
        <charset val="134"/>
      </rPr>
      <t>研发</t>
    </r>
    <phoneticPr fontId="30" type="noConversion"/>
  </si>
  <si>
    <r>
      <t>F3</t>
    </r>
    <r>
      <rPr>
        <sz val="11"/>
        <rFont val="宋体"/>
        <family val="3"/>
        <charset val="134"/>
      </rPr>
      <t>其他多功能</t>
    </r>
    <phoneticPr fontId="30" type="noConversion"/>
  </si>
  <si>
    <t>B23研发</t>
  </si>
  <si>
    <t>正常</t>
  </si>
  <si>
    <t>F3其他多功能</t>
  </si>
  <si>
    <t>综合</t>
  </si>
  <si>
    <t>较好</t>
  </si>
  <si>
    <t>一般</t>
  </si>
  <si>
    <t>好</t>
  </si>
  <si>
    <t>七通</t>
  </si>
  <si>
    <t>较规则</t>
  </si>
  <si>
    <t>较规则</t>
    <phoneticPr fontId="30" type="noConversion"/>
  </si>
  <si>
    <t>较适宜</t>
  </si>
  <si>
    <t>较适宜</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</si>
  <si>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</si>
  <si>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</si>
  <si>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</si>
  <si>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</si>
  <si>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</si>
  <si>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</si>
  <si>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</si>
  <si>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全部缴纳</t>
  </si>
  <si>
    <t>已包含在土地取得成本中</t>
  </si>
  <si>
    <t>总价</t>
  </si>
  <si>
    <t>成本比率</t>
  </si>
  <si>
    <r>
      <t>2021</t>
    </r>
    <r>
      <rPr>
        <b/>
        <sz val="10"/>
        <color theme="5" tint="0.79998168889431442"/>
        <rFont val="宋体"/>
        <family val="3"/>
        <charset val="134"/>
      </rPr>
      <t>年报告</t>
    </r>
    <phoneticPr fontId="8" type="noConversion"/>
  </si>
  <si>
    <t>地上</t>
    <phoneticPr fontId="3" type="noConversion"/>
  </si>
  <si>
    <t>地下</t>
    <phoneticPr fontId="3" type="noConversion"/>
  </si>
  <si>
    <t>序号</t>
  </si>
  <si>
    <t>房屋坐落</t>
  </si>
  <si>
    <t>建筑面积（平方米）</t>
  </si>
  <si>
    <t>单价（元/平方米）</t>
  </si>
  <si>
    <t>昌平区生命园路20号院1号楼-1至4层101</t>
  </si>
  <si>
    <t>昌平区生命园路20号院2号楼1至4层101</t>
  </si>
  <si>
    <t>昌平区生命园路20号院3号楼-2至5层101</t>
  </si>
  <si>
    <t>昌平区生命园路20号院4号楼1至4层101</t>
  </si>
  <si>
    <t>昌平区生命园路20号院5号楼-1至4层101</t>
  </si>
  <si>
    <t>昌平区生命园路20号院6号楼-1至5层101</t>
  </si>
  <si>
    <t>昌平区生命园路20号院7号楼-1至4层101</t>
  </si>
  <si>
    <t>昌平区生命园路20号院8号楼-1至1层101</t>
  </si>
  <si>
    <t>合计</t>
  </si>
  <si>
    <r>
      <rPr>
        <sz val="10"/>
        <color theme="9" tint="-0.249977111117893"/>
        <rFont val="宋体"/>
        <family val="3"/>
        <charset val="134"/>
      </rPr>
      <t>昌平区生命园路</t>
    </r>
    <r>
      <rPr>
        <sz val="10"/>
        <color theme="9" tint="-0.249977111117893"/>
        <rFont val="Arial"/>
        <family val="2"/>
      </rPr>
      <t>20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8</t>
    </r>
    <r>
      <rPr>
        <sz val="10"/>
        <color theme="9" tint="-0.249977111117893"/>
        <rFont val="宋体"/>
        <family val="3"/>
        <charset val="134"/>
      </rPr>
      <t>幢综合（研发）用房</t>
    </r>
    <phoneticPr fontId="6" type="noConversion"/>
  </si>
  <si>
    <t>办公项目</t>
  </si>
  <si>
    <t>无</t>
  </si>
  <si>
    <t>现房</t>
  </si>
  <si>
    <t>京（2019）昌不动产权第0040930号</t>
  </si>
  <si>
    <t>20号院1号楼</t>
  </si>
  <si>
    <t>京（2019）昌不动产权第0040928号</t>
  </si>
  <si>
    <t>20号院2号楼</t>
  </si>
  <si>
    <t>京（2019）昌不动产权第0040927号</t>
  </si>
  <si>
    <t>20号院4号楼</t>
  </si>
  <si>
    <t>京（2019）昌不动产权第0043143号</t>
  </si>
  <si>
    <t>20号院5号楼</t>
  </si>
  <si>
    <t>京（2019）昌不动产权第0043144号</t>
  </si>
  <si>
    <t>20号院6号楼</t>
  </si>
  <si>
    <t>京（2019）昌不动产权第0040926号</t>
  </si>
  <si>
    <t>20号院7号楼</t>
  </si>
  <si>
    <t>京（2020）昌不动产权第0002546号</t>
  </si>
  <si>
    <t>20号院8号楼</t>
  </si>
  <si>
    <t>酒店</t>
  </si>
  <si>
    <t>京（2020）昌不动产权第0016581号</t>
  </si>
  <si>
    <t>20号院3号楼</t>
  </si>
  <si>
    <t>楼号</t>
  </si>
  <si>
    <t>房屋总层数</t>
  </si>
  <si>
    <t>房屋所在层</t>
  </si>
  <si>
    <t>现状用途</t>
  </si>
  <si>
    <t>-1至4</t>
  </si>
  <si>
    <t>1至4</t>
  </si>
  <si>
    <t>-2至5</t>
  </si>
  <si>
    <t>-1至5</t>
  </si>
  <si>
    <t>-1至1</t>
  </si>
  <si>
    <t>酒店</t>
    <phoneticPr fontId="3" type="noConversion"/>
  </si>
  <si>
    <t>50</t>
    <phoneticPr fontId="30" type="noConversion"/>
  </si>
  <si>
    <t>酒店</t>
    <phoneticPr fontId="3" type="noConversion"/>
  </si>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</sst>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b/>
      <sz val="10"/>
      <color theme="5" tint="0.79998168889431442"/>
      <name val="Arial"/>
      <family val="2"/>
    </font>
    <font>
      <b/>
      <sz val="10"/>
      <color theme="5" tint="0.7999816888943144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0" applyFont="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270" fillId="0" borderId="0" xfId="0" applyNumberFormat="1" applyFont="1" applyAlignment="1"/>
    <xf numFmtId="14" fontId="271" fillId="0" borderId="0" xfId="0" applyNumberFormat="1" applyFont="1" applyAlignment="1"/>
    <xf numFmtId="0" fontId="271" fillId="0" borderId="0" xfId="0" applyNumberFormat="1" applyFont="1" applyAlignment="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2" fillId="7"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80" fillId="0" borderId="1" xfId="4"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'数据-取费表'!$V$18:$X$18</c:f>
              <c:numCache>
                <c:formatCode>General</c:formatCode>
                <c:ptCount val="3"/>
                <c:pt idx="0">
                  <c:v>0</c:v>
                </c:pt>
                <c:pt idx="1">
                  <c:v>41376.520000000004</c:v>
                </c:pt>
                <c:pt idx="2">
                  <c:v>3.6</c:v>
                </c:pt>
              </c:numCache>
            </c:numRef>
          </c:val>
        </c:ser>
        <c:ser>
          <c:idx val="1"/>
          <c:order val="1"/>
          <c:invertIfNegative val="0"/>
          <c:val>
            <c:numRef>
              <c:f>'数据-取费表'!$V$19:$X$19</c:f>
              <c:numCache>
                <c:formatCode>General</c:formatCode>
                <c:ptCount val="3"/>
                <c:pt idx="0">
                  <c:v>0</c:v>
                </c:pt>
                <c:pt idx="1">
                  <c:v>17483.07</c:v>
                </c:pt>
                <c:pt idx="2">
                  <c:v>1.5</c:v>
                </c:pt>
              </c:numCache>
            </c:numRef>
          </c:val>
        </c:ser>
        <c:ser>
          <c:idx val="2"/>
          <c:order val="2"/>
          <c:invertIfNegative val="0"/>
          <c:val>
            <c:numRef>
              <c:f>'数据-取费表'!$V$20:$X$20</c:f>
              <c:numCache>
                <c:formatCode>General</c:formatCode>
                <c:ptCount val="3"/>
                <c:pt idx="1">
                  <c:v>58859.590000000004</c:v>
                </c:pt>
                <c:pt idx="2">
                  <c:v>3</c:v>
                </c:pt>
              </c:numCache>
            </c:numRef>
          </c:val>
        </c:ser>
        <c:dLbls>
          <c:showLegendKey val="0"/>
          <c:showVal val="0"/>
          <c:showCatName val="0"/>
          <c:showSerName val="0"/>
          <c:showPercent val="0"/>
          <c:showBubbleSize val="0"/>
        </c:dLbls>
        <c:gapWidth val="150"/>
        <c:axId val="609811072"/>
        <c:axId val="148803968"/>
      </c:barChart>
      <c:catAx>
        <c:axId val="609811072"/>
        <c:scaling>
          <c:orientation val="minMax"/>
        </c:scaling>
        <c:delete val="0"/>
        <c:axPos val="b"/>
        <c:majorTickMark val="out"/>
        <c:minorTickMark val="none"/>
        <c:tickLblPos val="nextTo"/>
        <c:crossAx val="148803968"/>
        <c:crosses val="autoZero"/>
        <c:auto val="1"/>
        <c:lblAlgn val="ctr"/>
        <c:lblOffset val="100"/>
        <c:noMultiLvlLbl val="0"/>
      </c:catAx>
      <c:valAx>
        <c:axId val="148803968"/>
        <c:scaling>
          <c:orientation val="minMax"/>
        </c:scaling>
        <c:delete val="0"/>
        <c:axPos val="l"/>
        <c:majorGridlines/>
        <c:numFmt formatCode="General" sourceLinked="1"/>
        <c:majorTickMark val="out"/>
        <c:minorTickMark val="none"/>
        <c:tickLblPos val="nextTo"/>
        <c:crossAx val="609811072"/>
        <c:crosses val="autoZero"/>
        <c:crossBetween val="between"/>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10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8094" cy="6073366"/>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85725</xdr:rowOff>
    </xdr:from>
    <xdr:to>
      <xdr:col>2</xdr:col>
      <xdr:colOff>56762</xdr:colOff>
      <xdr:row>64</xdr:row>
      <xdr:rowOff>37916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76925"/>
          <a:ext cx="3104762" cy="1476191"/>
        </a:xfrm>
        <a:prstGeom prst="rect">
          <a:avLst/>
        </a:prstGeom>
      </xdr:spPr>
    </xdr:pic>
    <xdr:clientData/>
  </xdr:twoCellAnchor>
  <xdr:twoCellAnchor editAs="oneCell">
    <xdr:from>
      <xdr:col>3</xdr:col>
      <xdr:colOff>0</xdr:colOff>
      <xdr:row>55</xdr:row>
      <xdr:rowOff>0</xdr:rowOff>
    </xdr:from>
    <xdr:to>
      <xdr:col>17</xdr:col>
      <xdr:colOff>627118</xdr:colOff>
      <xdr:row>98</xdr:row>
      <xdr:rowOff>142039</xdr:rowOff>
    </xdr:to>
    <xdr:pic>
      <xdr:nvPicPr>
        <xdr:cNvPr id="3" name="图片 2"/>
        <xdr:cNvPicPr>
          <a:picLocks noChangeAspect="1"/>
        </xdr:cNvPicPr>
      </xdr:nvPicPr>
      <xdr:blipFill>
        <a:blip xmlns:r="http://schemas.openxmlformats.org/officeDocument/2006/relationships" r:embed="rId2"/>
        <a:stretch>
          <a:fillRect/>
        </a:stretch>
      </xdr:blipFill>
      <xdr:spPr>
        <a:xfrm>
          <a:off x="3581400" y="5943600"/>
          <a:ext cx="12266668" cy="66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457200</xdr:colOff>
      <xdr:row>0</xdr:row>
      <xdr:rowOff>76201</xdr:rowOff>
    </xdr:from>
    <xdr:to>
      <xdr:col>20</xdr:col>
      <xdr:colOff>459902</xdr:colOff>
      <xdr:row>15</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8686800" y="76201"/>
          <a:ext cx="5489102" cy="2609850"/>
        </a:xfrm>
        <a:prstGeom prst="rect">
          <a:avLst/>
        </a:prstGeom>
      </xdr:spPr>
    </xdr:pic>
    <xdr:clientData/>
  </xdr:twoCellAnchor>
  <xdr:twoCellAnchor editAs="oneCell">
    <xdr:from>
      <xdr:col>0</xdr:col>
      <xdr:colOff>0</xdr:colOff>
      <xdr:row>0</xdr:row>
      <xdr:rowOff>1</xdr:rowOff>
    </xdr:from>
    <xdr:to>
      <xdr:col>12</xdr:col>
      <xdr:colOff>635614</xdr:colOff>
      <xdr:row>28</xdr:row>
      <xdr:rowOff>38101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
          <a:ext cx="8865214" cy="4838700"/>
        </a:xfrm>
        <a:prstGeom prst="rect">
          <a:avLst/>
        </a:prstGeom>
      </xdr:spPr>
    </xdr:pic>
    <xdr:clientData/>
  </xdr:twoCellAnchor>
  <xdr:twoCellAnchor editAs="oneCell">
    <xdr:from>
      <xdr:col>0</xdr:col>
      <xdr:colOff>0</xdr:colOff>
      <xdr:row>27</xdr:row>
      <xdr:rowOff>123825</xdr:rowOff>
    </xdr:from>
    <xdr:to>
      <xdr:col>10</xdr:col>
      <xdr:colOff>503905</xdr:colOff>
      <xdr:row>63</xdr:row>
      <xdr:rowOff>151625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752975"/>
          <a:ext cx="7361905" cy="6200000"/>
        </a:xfrm>
        <a:prstGeom prst="rect">
          <a:avLst/>
        </a:prstGeom>
      </xdr:spPr>
    </xdr:pic>
    <xdr:clientData/>
  </xdr:twoCellAnchor>
  <xdr:twoCellAnchor editAs="oneCell">
    <xdr:from>
      <xdr:col>12</xdr:col>
      <xdr:colOff>633413</xdr:colOff>
      <xdr:row>15</xdr:row>
      <xdr:rowOff>161925</xdr:rowOff>
    </xdr:from>
    <xdr:to>
      <xdr:col>20</xdr:col>
      <xdr:colOff>74721</xdr:colOff>
      <xdr:row>78</xdr:row>
      <xdr:rowOff>25375</xdr:rowOff>
    </xdr:to>
    <xdr:pic>
      <xdr:nvPicPr>
        <xdr:cNvPr id="5" name="图片 4"/>
        <xdr:cNvPicPr>
          <a:picLocks noChangeAspect="1"/>
        </xdr:cNvPicPr>
      </xdr:nvPicPr>
      <xdr:blipFill>
        <a:blip xmlns:r="http://schemas.openxmlformats.org/officeDocument/2006/relationships" r:embed="rId4"/>
        <a:stretch>
          <a:fillRect/>
        </a:stretch>
      </xdr:blipFill>
      <xdr:spPr>
        <a:xfrm>
          <a:off x="8863013" y="2733675"/>
          <a:ext cx="4927708" cy="1066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北京市昌平区生命园路20号院1号楼-1至4层101等8幢综合（研发）用房房地产抵押价值预评估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受贵公司委托，我公司对北京市昌平区生命园路20号院1号楼-1至4层101等8幢综合（研发）用房房地产抵押价值进行了预评估。</v>
      </c>
    </row>
    <row r="7" spans="1:2" s="1202" customFormat="1">
      <c r="A7" s="1200" t="s">
        <v>566</v>
      </c>
      <c r="B7" s="1201" t="str">
        <f>'预评函-1'!A7</f>
        <v>估价对象为北京市昌平区生命园路20号院1号楼-1至4层101等8幢综合（研发）用房房地产，为所有。根据《国有土地使用证》[]，估价对象（分摊）出让国有建设用地使用权面积为62378.94平方米，建筑面积为70044.73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生命园路20号院1号楼-1至4层101等8幢综合（研发）用房房地产,属开发建设的办公项目，该项目尚在开发建设中。根据《国有土地使用证》[]，估价对象（分摊）出让国有建设用地使用权面积为62378.94平方米，规划建筑面积为70044.73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生命园路20号院1号楼-1至4层101等8幢综合（研发）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2023年1月3日（评估专业人员实地查勘之日）</v>
      </c>
    </row>
    <row r="13" spans="1:2" s="1202" customFormat="1">
      <c r="A13" s="1200" t="s">
        <v>529</v>
      </c>
      <c r="B13" s="1201" t="str">
        <f>'预评函-1'!A18</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110218</v>
      </c>
    </row>
    <row r="21" spans="1:2" s="1202" customFormat="1">
      <c r="A21" s="1200" t="s">
        <v>537</v>
      </c>
      <c r="B21" s="1201">
        <f ca="1">'预评函-2'!D7</f>
        <v>15735</v>
      </c>
    </row>
    <row r="22" spans="1:2" s="1202" customFormat="1">
      <c r="A22" s="1200" t="s">
        <v>538</v>
      </c>
      <c r="B22" s="1201" t="str">
        <f ca="1">'预评函-2'!D6</f>
        <v>壹拾壹亿零贰佰壹拾捌万元整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110218</v>
      </c>
    </row>
    <row r="31" spans="1:2" s="1202" customFormat="1">
      <c r="A31" s="1200" t="s">
        <v>576</v>
      </c>
      <c r="B31" s="1201">
        <f ca="1">'预评函-2'!D15</f>
        <v>15735</v>
      </c>
    </row>
    <row r="32" spans="1:2" s="1202" customFormat="1">
      <c r="A32" s="1200" t="s">
        <v>543</v>
      </c>
      <c r="B32" s="1201" t="str">
        <f ca="1">'预评函-2'!D14</f>
        <v>壹拾壹亿零贰佰壹拾捌万元整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北京市昌平区生命园路20号院1号楼-1至4层101等8幢综合（研发）用房房地产</v>
      </c>
    </row>
    <row r="42" spans="1:2" s="1202" customFormat="1">
      <c r="A42" s="1200" t="s">
        <v>590</v>
      </c>
      <c r="B42" s="1201" t="str">
        <f>'预评函-3'!B2</f>
        <v>建筑面积</v>
      </c>
    </row>
    <row r="43" spans="1:2" s="1202" customFormat="1">
      <c r="A43" s="1200" t="s">
        <v>591</v>
      </c>
      <c r="B43" s="1201">
        <f>'预评函-3'!B4</f>
        <v>70044.73</v>
      </c>
    </row>
    <row r="44" spans="1:2" s="1202" customFormat="1">
      <c r="A44" s="1200" t="s">
        <v>575</v>
      </c>
      <c r="B44" s="1201" t="str">
        <f>'预评函-3'!C2</f>
        <v>(分摊)土地面积</v>
      </c>
    </row>
    <row r="45" spans="1:2" s="1202" customFormat="1">
      <c r="A45" s="1200" t="s">
        <v>547</v>
      </c>
      <c r="B45" s="1201">
        <f>'预评函-3'!C4</f>
        <v>62378.94</v>
      </c>
    </row>
    <row r="46" spans="1:2" s="1202" customFormat="1">
      <c r="A46" s="1200" t="s">
        <v>573</v>
      </c>
      <c r="B46" s="1201" t="str">
        <f>'预评函-3'!D2</f>
        <v>出让国有建设用地使用权价值</v>
      </c>
    </row>
    <row r="47" spans="1:2" s="1202" customFormat="1">
      <c r="A47" s="1200" t="s">
        <v>548</v>
      </c>
      <c r="B47" s="1201">
        <f ca="1">'预评函-3'!D4</f>
        <v>80900</v>
      </c>
    </row>
    <row r="48" spans="1:2" s="1202" customFormat="1">
      <c r="A48" s="1200" t="s">
        <v>549</v>
      </c>
      <c r="B48" s="1201">
        <f ca="1">'预评函-3'!E4</f>
        <v>11549</v>
      </c>
    </row>
    <row r="49" spans="1:2" s="1202" customFormat="1">
      <c r="A49" s="1200" t="s">
        <v>550</v>
      </c>
      <c r="B49" s="1201" t="str">
        <f ca="1">'预评函-3'!D5</f>
        <v>捌亿零玖佰万元整</v>
      </c>
    </row>
    <row r="50" spans="1:2" s="1202" customFormat="1">
      <c r="A50" s="1200" t="s">
        <v>574</v>
      </c>
      <c r="B50" s="1201" t="str">
        <f>'预评函-3'!F2</f>
        <v>在建建筑物价值</v>
      </c>
    </row>
    <row r="51" spans="1:2" s="1202" customFormat="1">
      <c r="A51" s="1200" t="s">
        <v>551</v>
      </c>
      <c r="B51" s="1201">
        <f ca="1">'预评函-3'!F4</f>
        <v>29318</v>
      </c>
    </row>
    <row r="52" spans="1:2" s="1202" customFormat="1">
      <c r="A52" s="1200" t="s">
        <v>552</v>
      </c>
      <c r="B52" s="1201">
        <f ca="1">'预评函-3'!G4</f>
        <v>4186</v>
      </c>
    </row>
    <row r="53" spans="1:2" s="1202" customFormat="1">
      <c r="A53" s="1200" t="s">
        <v>580</v>
      </c>
      <c r="B53" s="1201" t="str">
        <f ca="1">'预评函-3'!F5</f>
        <v>贰亿玖仟叁佰壹拾捌万元整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41" activeCellId="1" sqref="E26 H4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3386</v>
      </c>
      <c r="C5" s="1546" t="s">
        <v>318</v>
      </c>
      <c r="F5" s="1547" t="s">
        <v>1015</v>
      </c>
      <c r="G5" s="1547">
        <v>70</v>
      </c>
      <c r="H5" s="1547" t="s">
        <v>1016</v>
      </c>
      <c r="I5" s="1547" t="s">
        <v>3347</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3348</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3349</v>
      </c>
    </row>
    <row r="8" spans="1:23">
      <c r="A8" s="1545" t="s">
        <v>1025</v>
      </c>
      <c r="B8" s="1545" t="s">
        <v>1026</v>
      </c>
      <c r="C8" s="1546" t="s">
        <v>319</v>
      </c>
      <c r="F8" s="1547" t="s">
        <v>1027</v>
      </c>
      <c r="H8" s="1547" t="s">
        <v>2578</v>
      </c>
      <c r="I8" s="1547" t="s">
        <v>3350</v>
      </c>
    </row>
    <row r="9" spans="1:23">
      <c r="A9" s="1545" t="s">
        <v>1028</v>
      </c>
      <c r="B9" s="1545" t="s">
        <v>1029</v>
      </c>
      <c r="C9" s="1546" t="s">
        <v>320</v>
      </c>
      <c r="F9" s="1547" t="s">
        <v>1030</v>
      </c>
      <c r="H9" s="1547"/>
      <c r="I9" s="1550" t="s">
        <v>3351</v>
      </c>
    </row>
    <row r="10" spans="1:23">
      <c r="A10" s="1545" t="s">
        <v>1031</v>
      </c>
      <c r="B10" s="1545" t="s">
        <v>1032</v>
      </c>
      <c r="C10" s="1546" t="s">
        <v>321</v>
      </c>
      <c r="F10" s="1547" t="s">
        <v>2579</v>
      </c>
      <c r="I10" s="1550" t="s">
        <v>3352</v>
      </c>
    </row>
    <row r="11" spans="1:23">
      <c r="A11" s="1545" t="s">
        <v>1033</v>
      </c>
      <c r="B11" s="1545" t="s">
        <v>1034</v>
      </c>
      <c r="C11" s="1546" t="s">
        <v>322</v>
      </c>
      <c r="F11" s="1547" t="s">
        <v>13</v>
      </c>
      <c r="I11" s="1550" t="s">
        <v>3353</v>
      </c>
    </row>
    <row r="12" spans="1:23">
      <c r="A12" s="1545" t="s">
        <v>1035</v>
      </c>
      <c r="B12" s="1545" t="s">
        <v>1036</v>
      </c>
      <c r="C12" s="1546" t="s">
        <v>323</v>
      </c>
      <c r="I12" s="1550" t="s">
        <v>3354</v>
      </c>
    </row>
    <row r="13" spans="1:23">
      <c r="A13" s="1545" t="s">
        <v>1037</v>
      </c>
      <c r="B13" s="1545" t="s">
        <v>1038</v>
      </c>
      <c r="C13" s="1546" t="s">
        <v>324</v>
      </c>
      <c r="I13" s="1550" t="s">
        <v>3355</v>
      </c>
    </row>
    <row r="14" spans="1:23">
      <c r="A14" s="1545" t="s">
        <v>1039</v>
      </c>
      <c r="B14" s="1545" t="s">
        <v>1040</v>
      </c>
      <c r="C14" s="1547" t="s">
        <v>13</v>
      </c>
      <c r="I14" s="1550" t="s">
        <v>3356</v>
      </c>
    </row>
    <row r="15" spans="1:23">
      <c r="A15" s="1545" t="s">
        <v>1041</v>
      </c>
      <c r="B15" s="1545" t="s">
        <v>1042</v>
      </c>
      <c r="C15" s="1546"/>
      <c r="I15" s="1550" t="s">
        <v>3357</v>
      </c>
    </row>
    <row r="16" spans="1:23">
      <c r="A16" s="1545" t="s">
        <v>1043</v>
      </c>
      <c r="B16" s="1545" t="s">
        <v>312</v>
      </c>
      <c r="C16" s="1546"/>
    </row>
    <row r="17" spans="1:3">
      <c r="A17" s="1545" t="s">
        <v>1044</v>
      </c>
      <c r="B17" s="1545" t="s">
        <v>2291</v>
      </c>
      <c r="C17" s="1546"/>
    </row>
    <row r="18" spans="1:3">
      <c r="A18" s="1545" t="s">
        <v>1045</v>
      </c>
      <c r="B18" s="1545" t="s">
        <v>2434</v>
      </c>
      <c r="C18" s="1546"/>
    </row>
    <row r="19" spans="1:3">
      <c r="A19" s="1545" t="s">
        <v>1046</v>
      </c>
      <c r="B19" s="1548" t="s">
        <v>3387</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生命园路20号院1号楼-1至4层101等8幢综合（研发）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3" t="s">
        <v>385</v>
      </c>
      <c r="C54" s="1550" t="s">
        <v>583</v>
      </c>
    </row>
    <row r="55" spans="1:4">
      <c r="A55" s="3510"/>
      <c r="B55" s="1553" t="s">
        <v>386</v>
      </c>
      <c r="C55" s="1550" t="s">
        <v>584</v>
      </c>
    </row>
    <row r="56" spans="1:4">
      <c r="A56" s="3510"/>
      <c r="B56" s="1553" t="s">
        <v>387</v>
      </c>
      <c r="C56" s="1550" t="s">
        <v>588</v>
      </c>
    </row>
    <row r="57" spans="1:4">
      <c r="A57" s="351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8" t="s">
        <v>2594</v>
      </c>
      <c r="J1" s="3226"/>
      <c r="K1" s="3226"/>
      <c r="L1" s="3226"/>
      <c r="M1" s="3226"/>
      <c r="N1" s="3439"/>
      <c r="O1" s="3439"/>
      <c r="P1" s="3439"/>
      <c r="Q1" s="3439"/>
      <c r="R1" s="3439"/>
    </row>
    <row r="2" spans="1:18">
      <c r="A2" s="3016"/>
      <c r="B2" s="3017"/>
      <c r="C2" s="3017"/>
      <c r="D2" s="3017"/>
      <c r="E2" s="3017"/>
      <c r="F2" s="3018"/>
      <c r="I2" s="3511" t="s">
        <v>2581</v>
      </c>
      <c r="J2" s="3511"/>
      <c r="K2" s="3511"/>
      <c r="L2" s="3511"/>
      <c r="M2" s="3511"/>
      <c r="N2" s="3511"/>
      <c r="O2" s="3511"/>
      <c r="P2" s="3511"/>
      <c r="Q2" s="3511"/>
      <c r="R2" s="3511"/>
    </row>
    <row r="3" spans="1:18">
      <c r="A3" s="3019" t="s">
        <v>2502</v>
      </c>
      <c r="B3" s="3020">
        <f>项目基本情况!D3</f>
        <v>44929</v>
      </c>
      <c r="C3" s="3022"/>
      <c r="D3" s="3022"/>
      <c r="E3" s="3022"/>
      <c r="F3" s="3018"/>
      <c r="I3" s="3440"/>
      <c r="J3" s="3440" t="s">
        <v>2585</v>
      </c>
      <c r="K3" s="3440" t="s">
        <v>2586</v>
      </c>
      <c r="L3" s="3440" t="s">
        <v>2587</v>
      </c>
      <c r="M3" s="3440" t="s">
        <v>2588</v>
      </c>
      <c r="N3" s="3441" t="s">
        <v>2589</v>
      </c>
      <c r="O3" s="3441" t="s">
        <v>2590</v>
      </c>
      <c r="P3" s="3441" t="s">
        <v>2591</v>
      </c>
      <c r="Q3" s="3441" t="s">
        <v>2592</v>
      </c>
      <c r="R3" s="3441" t="s">
        <v>2593</v>
      </c>
    </row>
    <row r="4" spans="1:18">
      <c r="A4" s="3019" t="s">
        <v>2503</v>
      </c>
      <c r="B4" s="3022" t="s">
        <v>2504</v>
      </c>
      <c r="C4" s="3022" t="s">
        <v>2505</v>
      </c>
      <c r="D4" s="3022" t="s">
        <v>2506</v>
      </c>
      <c r="E4" s="3022" t="s">
        <v>2507</v>
      </c>
      <c r="F4" s="3018"/>
      <c r="I4" s="3440" t="s">
        <v>2582</v>
      </c>
      <c r="J4" s="3440">
        <v>80</v>
      </c>
      <c r="K4" s="3440">
        <v>70</v>
      </c>
      <c r="L4" s="3440">
        <v>20</v>
      </c>
      <c r="M4" s="3440">
        <v>30</v>
      </c>
      <c r="N4" s="3022">
        <v>45</v>
      </c>
      <c r="O4" s="3022">
        <v>60</v>
      </c>
      <c r="P4" s="3022">
        <v>50</v>
      </c>
      <c r="Q4" s="3022">
        <v>20</v>
      </c>
      <c r="R4" s="3022">
        <v>375</v>
      </c>
    </row>
    <row r="5" spans="1:18">
      <c r="A5" s="3023">
        <v>40</v>
      </c>
      <c r="B5" s="3020">
        <v>46375</v>
      </c>
      <c r="C5" s="3022">
        <f>ROUNDDOWN(MIN((B5-B3)/365,A5),2)</f>
        <v>3.96</v>
      </c>
      <c r="D5" s="3024">
        <f>IF(ISERROR(ROUND(POWER(1+E5,A5-C5)*(POWER(1+E5,C5)-1)/(POWER(1+E5,A5)-1),3)),0,ROUND(POWER(1+E5,A5-C5)*(POWER(1+E5,C5)-1)/(POWER(1+E5,A5)-1),4))</f>
        <v>0.1817</v>
      </c>
      <c r="E5" s="3025">
        <v>0.04</v>
      </c>
      <c r="F5" s="3018"/>
      <c r="I5" s="3440" t="s">
        <v>2583</v>
      </c>
      <c r="J5" s="3440">
        <v>70</v>
      </c>
      <c r="K5" s="3440">
        <v>60</v>
      </c>
      <c r="L5" s="3440">
        <v>15</v>
      </c>
      <c r="M5" s="3440">
        <v>25</v>
      </c>
      <c r="N5" s="3022">
        <v>40</v>
      </c>
      <c r="O5" s="3022">
        <v>50</v>
      </c>
      <c r="P5" s="3022">
        <v>40</v>
      </c>
      <c r="Q5" s="3022">
        <v>15</v>
      </c>
      <c r="R5" s="3022">
        <v>315</v>
      </c>
    </row>
    <row r="6" spans="1:18">
      <c r="A6" s="3023">
        <v>50</v>
      </c>
      <c r="B6" s="3020">
        <v>50028</v>
      </c>
      <c r="C6" s="3022">
        <f>ROUNDDOWN(MIN((B6-B3)/365,A6),2)</f>
        <v>13.96</v>
      </c>
      <c r="D6" s="3024">
        <f>IF(ISERROR(ROUND(POWER(1+E6,A6-C6)*(POWER(1+E6,C6)-1)/(POWER(1+E6,A6)-1),3)),0,ROUND(POWER(1+E6,A6-C6)*(POWER(1+E6,C6)-1)/(POWER(1+E6,A6)-1),4))</f>
        <v>0.49070000000000003</v>
      </c>
      <c r="E6" s="3025">
        <v>0.04</v>
      </c>
      <c r="F6" s="3018"/>
      <c r="I6" s="3440" t="s">
        <v>2584</v>
      </c>
      <c r="J6" s="3440">
        <v>60</v>
      </c>
      <c r="K6" s="3440">
        <v>50</v>
      </c>
      <c r="L6" s="3440">
        <v>10</v>
      </c>
      <c r="M6" s="3440">
        <v>20</v>
      </c>
      <c r="N6" s="3022">
        <v>35</v>
      </c>
      <c r="O6" s="3022">
        <v>40</v>
      </c>
      <c r="P6" s="3022">
        <v>30</v>
      </c>
      <c r="Q6" s="3022">
        <v>10</v>
      </c>
      <c r="R6" s="3022">
        <v>255</v>
      </c>
    </row>
    <row r="7" spans="1:18">
      <c r="A7" s="3023">
        <v>70</v>
      </c>
      <c r="B7" s="3020">
        <v>57333</v>
      </c>
      <c r="C7" s="3022">
        <f>ROUNDDOWN(MIN((B7-B3)/365,A7),2)</f>
        <v>33.979999999999997</v>
      </c>
      <c r="D7" s="3024">
        <f>IF(ISERROR(ROUND(POWER(1+E7,A7-C7)*(POWER(1+E7,C7)-1)/(POWER(1+E7,A7)-1),3)),0,ROUND(POWER(1+E7,A7-C7)*(POWER(1+E7,C7)-1)/(POWER(1+E7,A7)-1),4))</f>
        <v>0.78680000000000005</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4" sqref="C4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12" t="str">
        <f>IF(B10="北京市","北京市",C10)&amp;F10&amp;IF(结果表!G1="在建","出让国有建设用地使用权及在建建筑物",IF(结果表!G1="土地","出让国有建设用地使用权",))&amp;B9&amp;"预评估"</f>
        <v>北京市昌平区生命园路20号院1号楼-1至4层101等8幢综合（研发）用房房地产抵押价值预评估</v>
      </c>
      <c r="C1" s="3513"/>
      <c r="D1" s="3513"/>
      <c r="E1" s="3513"/>
      <c r="F1" s="3513"/>
      <c r="G1" s="3513"/>
      <c r="H1" s="3513"/>
      <c r="I1" s="351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北京市昌平区生命园路20号院1号楼-1至4层101等8幢综合（研发）用房房地产抵押价值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北京市昌平区生命园路20号院1号楼-1至4层101等8幢综合（研发）用房房地产</v>
      </c>
      <c r="T2" s="1744"/>
      <c r="U2" s="1744"/>
      <c r="V2" s="1744"/>
      <c r="W2" s="1744"/>
      <c r="X2" s="1744"/>
      <c r="Y2" s="1744"/>
      <c r="Z2" s="1744"/>
      <c r="AA2" s="1744"/>
      <c r="AB2" s="1744"/>
    </row>
    <row r="3" spans="1:30">
      <c r="A3" s="302" t="s">
        <v>2168</v>
      </c>
      <c r="B3" s="2372">
        <v>44929</v>
      </c>
      <c r="C3" s="2373" t="s">
        <v>2169</v>
      </c>
      <c r="D3" s="2372">
        <v>44929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3373</v>
      </c>
      <c r="C8" s="2389"/>
      <c r="D8" s="3515" t="s">
        <v>2175</v>
      </c>
      <c r="E8" s="2390" t="s">
        <v>3374</v>
      </c>
      <c r="F8" s="2391"/>
      <c r="G8" s="2662"/>
      <c r="H8" s="2662"/>
      <c r="I8" s="2662"/>
      <c r="J8" s="2438"/>
      <c r="K8" s="2613"/>
      <c r="L8" s="2612"/>
      <c r="M8" s="2612"/>
      <c r="N8" s="2438"/>
      <c r="O8" s="2449"/>
      <c r="P8" s="2438"/>
      <c r="Q8" s="2438"/>
      <c r="R8" s="2438"/>
    </row>
    <row r="9" spans="1:30" ht="13.5" thickBot="1">
      <c r="A9" s="2392" t="s">
        <v>2176</v>
      </c>
      <c r="B9" s="2393" t="s">
        <v>3374</v>
      </c>
      <c r="C9" s="2394"/>
      <c r="D9" s="3516"/>
      <c r="E9" s="2393"/>
      <c r="F9" s="2395"/>
      <c r="G9" s="2664"/>
      <c r="H9" s="2664"/>
      <c r="I9" s="2664"/>
      <c r="J9" s="2438"/>
      <c r="K9" s="2615"/>
      <c r="L9" s="2612"/>
      <c r="M9" s="2612"/>
      <c r="N9" s="2438"/>
      <c r="O9" s="2449"/>
      <c r="P9" s="2438"/>
      <c r="Q9" s="2438"/>
      <c r="R9" s="2438"/>
    </row>
    <row r="10" spans="1:30" ht="13.5" thickTop="1">
      <c r="A10" s="2396" t="s">
        <v>2177</v>
      </c>
      <c r="B10" s="2397" t="s">
        <v>3375</v>
      </c>
      <c r="C10" s="2398"/>
      <c r="D10" s="2381"/>
      <c r="E10" s="2399" t="s">
        <v>2178</v>
      </c>
      <c r="F10" s="2665" t="s">
        <v>3759</v>
      </c>
      <c r="G10" s="2666"/>
      <c r="H10" s="2667"/>
      <c r="I10" s="2668"/>
      <c r="J10" s="2438"/>
      <c r="K10" s="2615"/>
      <c r="L10" s="2612"/>
      <c r="M10" s="2612"/>
      <c r="N10" s="2438"/>
      <c r="O10" s="2449"/>
      <c r="P10" s="2438"/>
      <c r="Q10" s="2438"/>
      <c r="R10" s="2438"/>
    </row>
    <row r="11" spans="1:30">
      <c r="A11" s="2400" t="s">
        <v>2179</v>
      </c>
      <c r="B11" s="2401" t="s">
        <v>3376</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2577</v>
      </c>
      <c r="J12" s="3061"/>
      <c r="K12" s="2612"/>
      <c r="L12" s="2612"/>
      <c r="M12" s="2438"/>
      <c r="N12" s="2449"/>
      <c r="O12" s="2438"/>
      <c r="P12" s="2438"/>
      <c r="Q12" s="2438"/>
      <c r="AD12" s="1744"/>
    </row>
    <row r="13" spans="1:30">
      <c r="A13" s="3424" t="s">
        <v>3339</v>
      </c>
      <c r="B13" s="2406" t="s">
        <v>2188</v>
      </c>
      <c r="C13" s="856"/>
      <c r="D13" s="856"/>
      <c r="E13" s="856">
        <v>55805</v>
      </c>
      <c r="F13" s="856"/>
      <c r="G13" s="856"/>
      <c r="H13" s="856"/>
      <c r="I13" s="856"/>
      <c r="J13" s="3061"/>
      <c r="K13" s="2612"/>
      <c r="L13" s="2612"/>
      <c r="M13" s="2438"/>
      <c r="N13" s="2449"/>
      <c r="O13" s="2438"/>
      <c r="P13" s="2438"/>
      <c r="Q13" s="2438"/>
      <c r="AD13" s="1744"/>
    </row>
    <row r="14" spans="1:30">
      <c r="A14" s="1081"/>
      <c r="B14" s="2406" t="s">
        <v>2189</v>
      </c>
      <c r="C14" s="2407"/>
      <c r="D14" s="2407"/>
      <c r="E14" s="2407">
        <v>50</v>
      </c>
      <c r="F14" s="2407"/>
      <c r="G14" s="2407"/>
      <c r="H14" s="2407"/>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f>IF(A13="出让",IF(E13="","",ROUNDDOWN(MIN((E13-$D$3)/365,E14),2)),E14)</f>
        <v>29.79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22"/>
      <c r="C16" s="3523"/>
      <c r="D16" s="3524"/>
      <c r="E16" s="2412" t="s">
        <v>2192</v>
      </c>
      <c r="F16" s="3525"/>
      <c r="G16" s="3526"/>
      <c r="H16" s="3526"/>
      <c r="I16" s="3527"/>
      <c r="J16" s="2438"/>
      <c r="K16" s="2616"/>
      <c r="L16" s="2450"/>
      <c r="M16" s="2450"/>
      <c r="N16" s="2508"/>
      <c r="O16" s="2450"/>
      <c r="P16" s="2508"/>
      <c r="Q16" s="2438"/>
      <c r="R16" s="2438"/>
    </row>
    <row r="17" spans="1:28">
      <c r="A17" s="313" t="s">
        <v>2193</v>
      </c>
      <c r="B17" s="302" t="s">
        <v>2194</v>
      </c>
      <c r="C17" s="8">
        <f>'数据-汇总表'!E3</f>
        <v>70044.73</v>
      </c>
      <c r="D17" s="2321" t="s">
        <v>2195</v>
      </c>
      <c r="E17" s="3528" t="s">
        <v>2196</v>
      </c>
      <c r="F17" s="3529"/>
      <c r="G17" s="3529"/>
      <c r="H17" s="3529"/>
      <c r="I17" s="3530"/>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62378.94</v>
      </c>
      <c r="D18" s="1092" t="s">
        <v>2199</v>
      </c>
      <c r="E18" s="3531" t="s">
        <v>2200</v>
      </c>
      <c r="F18" s="3532"/>
      <c r="G18" s="3532"/>
      <c r="H18" s="3532"/>
      <c r="I18" s="3533"/>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8" t="s">
        <v>2204</v>
      </c>
      <c r="C20" s="3519"/>
      <c r="D20" s="3520" t="s">
        <v>2205</v>
      </c>
      <c r="E20" s="3521"/>
      <c r="F20" s="2646" t="s">
        <v>1055</v>
      </c>
      <c r="G20" s="2663"/>
      <c r="H20" s="2663"/>
      <c r="I20" s="2663"/>
      <c r="J20" s="2438"/>
      <c r="K20" s="3517"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5" t="s">
        <v>2212</v>
      </c>
      <c r="B27" s="320" t="s">
        <v>2213</v>
      </c>
      <c r="C27" s="2415" t="s">
        <v>3760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5"/>
      <c r="B28" s="302" t="s">
        <v>2214</v>
      </c>
      <c r="C28" s="2417" t="s">
        <v>3761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5"/>
      <c r="B29" s="302" t="s">
        <v>2215</v>
      </c>
      <c r="C29" s="2419" t="s">
        <v>3378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6"/>
      <c r="B30" s="302" t="s">
        <v>2216</v>
      </c>
      <c r="C30" s="3537"/>
      <c r="D30" s="3538"/>
      <c r="E30" s="2663"/>
      <c r="F30" s="2663"/>
      <c r="G30" s="2663"/>
      <c r="H30" s="2663"/>
      <c r="I30" s="2663"/>
      <c r="J30" s="2438"/>
      <c r="K30" s="2615"/>
      <c r="L30" s="2612"/>
      <c r="M30" s="2612"/>
      <c r="N30" s="2438"/>
      <c r="O30" s="2449"/>
      <c r="P30" s="2438"/>
      <c r="Q30" s="2438"/>
      <c r="R30" s="2438"/>
      <c r="S30" s="2438"/>
      <c r="T30" s="2438"/>
      <c r="U30" s="2438"/>
      <c r="V30" s="2438"/>
    </row>
    <row r="31" spans="1:28">
      <c r="A31" s="3539" t="s">
        <v>2217</v>
      </c>
      <c r="B31" s="2421" t="s">
        <v>3762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t="s">
        <v>3397</v>
      </c>
      <c r="C34" s="2025" t="s">
        <v>3398</v>
      </c>
      <c r="D34" s="2025" t="s">
        <v>3399</v>
      </c>
      <c r="E34" s="2025" t="s">
        <v>3400</v>
      </c>
      <c r="F34" s="2025" t="s">
        <v>3401</v>
      </c>
      <c r="G34" s="2025"/>
      <c r="H34" s="2025"/>
      <c r="I34" s="2663"/>
      <c r="J34" s="2438"/>
      <c r="K34" s="2426">
        <f>COUNTIF(B34:H34,"——")</f>
        <v>0</v>
      </c>
      <c r="L34" s="323" t="s">
        <v>2219</v>
      </c>
      <c r="M34" s="323" t="s">
        <v>2220</v>
      </c>
      <c r="N34" s="323" t="s">
        <v>2221</v>
      </c>
      <c r="O34" s="323" t="s">
        <v>2222</v>
      </c>
      <c r="P34" s="323" t="s">
        <v>2223</v>
      </c>
      <c r="Q34" s="323" t="s">
        <v>2224</v>
      </c>
      <c r="R34" s="323" t="s">
        <v>2225</v>
      </c>
      <c r="S34" s="3534" t="s">
        <v>2226</v>
      </c>
      <c r="T34" s="2427" t="str">
        <f>NUMBERSTRING(7-K34,1)&amp;"通"</f>
        <v>七通</v>
      </c>
      <c r="U34" s="2438"/>
      <c r="V34" s="2438"/>
    </row>
    <row r="35" spans="1:30">
      <c r="A35" s="2428"/>
      <c r="B35" s="3541" t="s">
        <v>2227</v>
      </c>
      <c r="C35" s="3541"/>
      <c r="D35" s="3541"/>
      <c r="E35" s="3541"/>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4"/>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64" t="s">
        <v>2580</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304</v>
      </c>
      <c r="D37" s="2430" t="s">
        <v>304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285</v>
      </c>
      <c r="D38" s="2431" t="s">
        <v>285</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G19" sqref="AG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hidden="1" customWidth="1"/>
    <col min="11" max="11" width="11" style="1572" customWidth="1"/>
    <col min="12" max="12" width="9.5" style="1572" hidden="1" customWidth="1"/>
    <col min="13" max="13" width="9.5" style="1572" customWidth="1"/>
    <col min="14"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62378.94</v>
      </c>
      <c r="B3" s="11">
        <f>IF(C3="否",G5-AT5,G5)</f>
        <v>70044.73</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70044.73</v>
      </c>
      <c r="H5" s="13">
        <f t="shared" ref="H5:AT5" si="0">SUM(H13:H656)</f>
        <v>69305.08</v>
      </c>
      <c r="I5" s="13">
        <f t="shared" si="0"/>
        <v>47659.19</v>
      </c>
      <c r="J5" s="13">
        <f t="shared" si="0"/>
        <v>0</v>
      </c>
      <c r="K5" s="13">
        <f t="shared" si="0"/>
        <v>4162.82</v>
      </c>
      <c r="L5" s="13">
        <f t="shared" si="0"/>
        <v>0</v>
      </c>
      <c r="M5" s="13">
        <f t="shared" si="0"/>
        <v>17483.07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739.64999999999986</v>
      </c>
      <c r="AD5" s="13">
        <f t="shared" si="0"/>
        <v>0</v>
      </c>
      <c r="AE5" s="13">
        <f t="shared" si="0"/>
        <v>0</v>
      </c>
      <c r="AF5" s="13">
        <f t="shared" si="0"/>
        <v>0</v>
      </c>
      <c r="AG5" s="13">
        <f t="shared" si="0"/>
        <v>0</v>
      </c>
      <c r="AH5" s="13">
        <f t="shared" si="0"/>
        <v>0</v>
      </c>
      <c r="AI5" s="13">
        <f t="shared" si="0"/>
        <v>0</v>
      </c>
      <c r="AJ5" s="13">
        <f t="shared" si="0"/>
        <v>0</v>
      </c>
      <c r="AK5" s="13">
        <f t="shared" si="0"/>
        <v>0</v>
      </c>
      <c r="AL5" s="13">
        <f t="shared" si="0"/>
        <v>739.64999999999986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70044.73</v>
      </c>
      <c r="BA5" s="15">
        <f t="shared" si="1"/>
        <v>69305.08</v>
      </c>
      <c r="BB5" s="15">
        <f t="shared" si="1"/>
        <v>47659.19</v>
      </c>
      <c r="BC5" s="15">
        <f t="shared" si="1"/>
        <v>4162.82</v>
      </c>
      <c r="BD5" s="15">
        <f t="shared" si="1"/>
        <v>17483.07</v>
      </c>
      <c r="BE5" s="15">
        <f t="shared" si="1"/>
        <v>0</v>
      </c>
      <c r="BF5" s="15">
        <f t="shared" si="1"/>
        <v>0</v>
      </c>
      <c r="BG5" s="15">
        <f t="shared" si="1"/>
        <v>0</v>
      </c>
      <c r="BH5" s="15">
        <f t="shared" si="1"/>
        <v>0</v>
      </c>
      <c r="BI5" s="15">
        <f t="shared" si="1"/>
        <v>0</v>
      </c>
      <c r="BJ5" s="15">
        <f t="shared" si="1"/>
        <v>0</v>
      </c>
      <c r="BK5" s="15">
        <f t="shared" si="1"/>
        <v>0</v>
      </c>
      <c r="BL5" s="15">
        <f t="shared" si="1"/>
        <v>739.64999999999986</v>
      </c>
      <c r="BM5" s="15">
        <f t="shared" si="1"/>
        <v>0</v>
      </c>
      <c r="BN5" s="15">
        <f t="shared" si="1"/>
        <v>0</v>
      </c>
      <c r="BO5" s="15">
        <f t="shared" si="1"/>
        <v>0</v>
      </c>
      <c r="BP5" s="15">
        <f t="shared" si="1"/>
        <v>0</v>
      </c>
      <c r="BQ5" s="15">
        <f t="shared" si="1"/>
        <v>739.64999999999986</v>
      </c>
      <c r="BR5" s="15">
        <f t="shared" si="1"/>
        <v>0</v>
      </c>
      <c r="BS5" s="15">
        <f t="shared" si="1"/>
        <v>0</v>
      </c>
      <c r="BT5" s="16">
        <f t="shared" si="1"/>
        <v>0</v>
      </c>
    </row>
    <row r="6" spans="1:72" s="1588" customFormat="1" ht="12.75">
      <c r="A6" s="12" t="s">
        <v>1071</v>
      </c>
      <c r="B6" s="1585"/>
      <c r="C6" s="1585"/>
      <c r="D6" s="1586"/>
      <c r="E6" s="13">
        <f>H6+AC6+AT6</f>
        <v>62378.94</v>
      </c>
      <c r="F6" s="13" t="s">
        <v>0</v>
      </c>
      <c r="G6" s="13" t="s">
        <v>1</v>
      </c>
      <c r="H6" s="17">
        <f>SUMIF(I$12:AB$12,"总值",I6:AB6)</f>
        <v>61720.240000000005</v>
      </c>
      <c r="I6" s="13">
        <f t="shared" ref="I6:AB6" si="2">ROUND($A$3*I5/$B$3,2)</f>
        <v>42443.3</v>
      </c>
      <c r="J6" s="13">
        <f t="shared" si="2"/>
        <v>0</v>
      </c>
      <c r="K6" s="13">
        <f t="shared" si="2"/>
        <v>3707.24</v>
      </c>
      <c r="L6" s="13">
        <f t="shared" si="2"/>
        <v>0</v>
      </c>
      <c r="M6" s="13">
        <f t="shared" si="2"/>
        <v>15569.7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658.7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658.7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62378.94</v>
      </c>
      <c r="AZ6" s="13" t="s">
        <v>2</v>
      </c>
      <c r="BA6" s="13">
        <f>ROUND($AY$6*BA5/$AZ$5,2)</f>
        <v>61720.24</v>
      </c>
      <c r="BB6" s="13">
        <f>ROUND($AY$6*BB5/$AZ$5,2)</f>
        <v>42443.3</v>
      </c>
      <c r="BC6" s="13">
        <f t="shared" ref="BC6:BH6" si="4">ROUND($AY$6*BC5/$AZ$5,2)</f>
        <v>3707.24</v>
      </c>
      <c r="BD6" s="13">
        <f t="shared" si="4"/>
        <v>15569.7</v>
      </c>
      <c r="BE6" s="13">
        <f t="shared" si="4"/>
        <v>0</v>
      </c>
      <c r="BF6" s="13">
        <f t="shared" si="4"/>
        <v>0</v>
      </c>
      <c r="BG6" s="13">
        <f t="shared" si="4"/>
        <v>0</v>
      </c>
      <c r="BH6" s="13">
        <f t="shared" si="4"/>
        <v>0</v>
      </c>
      <c r="BI6" s="13">
        <f t="shared" ref="BI6:BT6" si="5">ROUND($AY$6*BI5/$AZ$5,2)</f>
        <v>0</v>
      </c>
      <c r="BJ6" s="13">
        <f t="shared" si="5"/>
        <v>0</v>
      </c>
      <c r="BK6" s="13">
        <f t="shared" si="5"/>
        <v>0</v>
      </c>
      <c r="BL6" s="13">
        <f t="shared" si="5"/>
        <v>658.7</v>
      </c>
      <c r="BM6" s="13">
        <f t="shared" si="5"/>
        <v>0</v>
      </c>
      <c r="BN6" s="13">
        <f t="shared" si="5"/>
        <v>0</v>
      </c>
      <c r="BO6" s="13">
        <f t="shared" si="5"/>
        <v>0</v>
      </c>
      <c r="BP6" s="13">
        <f t="shared" si="5"/>
        <v>0</v>
      </c>
      <c r="BQ6" s="13">
        <f t="shared" si="5"/>
        <v>658.7</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3379</v>
      </c>
      <c r="J9" s="809"/>
      <c r="K9" s="1602" t="s">
        <v>3381</v>
      </c>
      <c r="L9" s="809"/>
      <c r="M9" s="1602" t="s">
        <v>3381</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21</v>
      </c>
      <c r="L10" s="809"/>
      <c r="M10" s="1608" t="s">
        <v>21</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3380</v>
      </c>
      <c r="J11" s="1614"/>
      <c r="K11" s="1613" t="s">
        <v>3777</v>
      </c>
      <c r="L11" s="1614"/>
      <c r="M11" s="1613" t="s">
        <v>3380</v>
      </c>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t="str">
        <f>M10</f>
        <v>办公</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t="str">
        <f>K11</f>
        <v>酒店</v>
      </c>
      <c r="BD12" s="1623" t="str">
        <f>M11</f>
        <v>办公楼</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51">
      <c r="A13" s="1051"/>
      <c r="B13" s="1051" t="s">
        <v>3763</v>
      </c>
      <c r="C13" s="1051" t="s">
        <v>3764</v>
      </c>
      <c r="D13" s="1624" t="s">
        <v>3377</v>
      </c>
      <c r="E13" s="13">
        <f>IF($C$3="是",ROUND($A$3*G13/$B$3,2),ROUND($A$3*(G13-AT13)/$B$3,2))</f>
        <v>6939.69</v>
      </c>
      <c r="F13" s="29"/>
      <c r="G13" s="30">
        <f>H13+AC13+AT13</f>
        <v>7792.51</v>
      </c>
      <c r="H13" s="17">
        <f>SUMIF(I$12:AB$12,"总值",I13:AB13)</f>
        <v>7691.77</v>
      </c>
      <c r="I13" s="1625">
        <v>7691.77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100.74</v>
      </c>
      <c r="AD13" s="1626"/>
      <c r="AE13" s="1626"/>
      <c r="AF13" s="1626"/>
      <c r="AG13" s="1626"/>
      <c r="AH13" s="1626"/>
      <c r="AI13" s="1626"/>
      <c r="AJ13" s="1626"/>
      <c r="AK13" s="1626"/>
      <c r="AL13" s="1626">
        <v>100.74</v>
      </c>
      <c r="AM13" s="1626"/>
      <c r="AN13" s="1626"/>
      <c r="AO13" s="1626"/>
      <c r="AP13" s="1626"/>
      <c r="AQ13" s="1626"/>
      <c r="AR13" s="1626"/>
      <c r="AS13" s="1626"/>
      <c r="AT13" s="1627"/>
      <c r="AU13" s="1628"/>
      <c r="AV13" s="8">
        <f t="shared" ref="AV13:AX17" si="6">A13</f>
        <v>0</v>
      </c>
      <c r="AW13" s="8" t="str">
        <f t="shared" si="6"/>
        <v>京（2019）昌不动产权第0040930号</v>
      </c>
      <c r="AX13" s="8" t="str">
        <f t="shared" si="6"/>
        <v>20号院1号楼</v>
      </c>
      <c r="AY13" s="1348">
        <f>ROUND($AY$6*AZ13/$AZ$5,2)</f>
        <v>6939.69</v>
      </c>
      <c r="AZ13" s="13">
        <f>BA13+BL13</f>
        <v>7792.51</v>
      </c>
      <c r="BA13" s="13">
        <f>SUM(BB13:BK13)</f>
        <v>7691.77</v>
      </c>
      <c r="BB13" s="13">
        <f>IF($D13="是",I13-J13,0)</f>
        <v>7691.77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100.74</v>
      </c>
      <c r="BM13" s="13">
        <f>IF($D13="是",AD13-AE13,0)</f>
        <v>0</v>
      </c>
      <c r="BN13" s="13">
        <f>IF($D13="是",AF13-AG13,0)</f>
        <v>0</v>
      </c>
      <c r="BO13" s="13">
        <f>IF($D13="是",AH13-AI13,0)</f>
        <v>0</v>
      </c>
      <c r="BP13" s="13">
        <f>IF($D13="是",AJ13-AK13,0)</f>
        <v>0</v>
      </c>
      <c r="BQ13" s="13">
        <f>IF($D13="是",AL13-AM13,0)</f>
        <v>100.74</v>
      </c>
      <c r="BR13" s="13">
        <f>IF($D13="是",AN13-AO13,0)</f>
        <v>0</v>
      </c>
      <c r="BS13" s="13">
        <f>IF($D13="是",AP13-AQ13,0)</f>
        <v>0</v>
      </c>
      <c r="BT13" s="19">
        <f>IF($D13="是",AR13-AS13,0)</f>
        <v>0</v>
      </c>
    </row>
    <row r="14" spans="1:72" s="1578" customFormat="1" ht="51">
      <c r="A14" s="1051"/>
      <c r="B14" s="1051" t="s">
        <v>3765</v>
      </c>
      <c r="C14" s="1051" t="s">
        <v>3766</v>
      </c>
      <c r="D14" s="1624" t="s">
        <v>3377</v>
      </c>
      <c r="E14" s="13">
        <f>IF($C$3="是",ROUND($A$3*G14/$B$3,2),ROUND($A$3*(G14-AT14)/$B$3,2))</f>
        <v>6801.44</v>
      </c>
      <c r="F14" s="29"/>
      <c r="G14" s="30">
        <f>H14+AC14+AT14</f>
        <v>7637.2699999999995</v>
      </c>
      <c r="H14" s="17">
        <f>SUMIF(I$12:AB$12,"总值",I14:AB14)</f>
        <v>7526.04</v>
      </c>
      <c r="I14" s="1625">
        <v>7526.04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111.23</v>
      </c>
      <c r="AD14" s="1626"/>
      <c r="AE14" s="1626"/>
      <c r="AF14" s="1626"/>
      <c r="AG14" s="1626"/>
      <c r="AH14" s="1626"/>
      <c r="AI14" s="1626"/>
      <c r="AJ14" s="1626"/>
      <c r="AK14" s="1626"/>
      <c r="AL14" s="1626">
        <v>111.23</v>
      </c>
      <c r="AM14" s="1626"/>
      <c r="AN14" s="1626"/>
      <c r="AO14" s="1626"/>
      <c r="AP14" s="1626"/>
      <c r="AQ14" s="1626"/>
      <c r="AR14" s="1626"/>
      <c r="AS14" s="1626"/>
      <c r="AT14" s="1627"/>
      <c r="AU14" s="1628"/>
      <c r="AV14" s="8">
        <f t="shared" si="6"/>
        <v>0</v>
      </c>
      <c r="AW14" s="8" t="str">
        <f t="shared" si="6"/>
        <v>京（2019）昌不动产权第0040928号</v>
      </c>
      <c r="AX14" s="8" t="str">
        <f t="shared" si="6"/>
        <v>20号院2号楼</v>
      </c>
      <c r="AY14" s="1348">
        <f>ROUND($AY$6*AZ14/$AZ$5,2)</f>
        <v>6801.44</v>
      </c>
      <c r="AZ14" s="13">
        <f>BA14+BL14</f>
        <v>7637.2699999999995</v>
      </c>
      <c r="BA14" s="13">
        <f>SUM(BB14:BK14)</f>
        <v>7526.04</v>
      </c>
      <c r="BB14" s="13">
        <f>IF($D14="是",I14-J14,0)</f>
        <v>7526.04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111.23</v>
      </c>
      <c r="BM14" s="13">
        <f>IF($D14="是",AD14-AE14,0)</f>
        <v>0</v>
      </c>
      <c r="BN14" s="13">
        <f>IF($D14="是",AF14-AG14,0)</f>
        <v>0</v>
      </c>
      <c r="BO14" s="13">
        <f>IF($D14="是",AH14-AI14,0)</f>
        <v>0</v>
      </c>
      <c r="BP14" s="13">
        <f>IF($D14="是",AJ14-AK14,0)</f>
        <v>0</v>
      </c>
      <c r="BQ14" s="13">
        <f>IF($D14="是",AL14-AM14,0)</f>
        <v>111.23</v>
      </c>
      <c r="BR14" s="13">
        <f>IF($D14="是",AN14-AO14,0)</f>
        <v>0</v>
      </c>
      <c r="BS14" s="13">
        <f>IF($D14="是",AP14-AQ14,0)</f>
        <v>0</v>
      </c>
      <c r="BT14" s="19">
        <f>IF($D14="是",AR14-AS14,0)</f>
        <v>0</v>
      </c>
    </row>
    <row r="15" spans="1:72" s="1578" customFormat="1" ht="51">
      <c r="A15" s="1051"/>
      <c r="B15" s="1051" t="s">
        <v>3767</v>
      </c>
      <c r="C15" s="1051" t="s">
        <v>3768</v>
      </c>
      <c r="D15" s="1624" t="s">
        <v>3377</v>
      </c>
      <c r="E15" s="13">
        <f>IF($C$3="是",ROUND($A$3*G15/$B$3,2),ROUND($A$3*(G15-AT15)/$B$3,2))</f>
        <v>6163.78</v>
      </c>
      <c r="F15" s="29"/>
      <c r="G15" s="30">
        <f>H15+AC15+AT15</f>
        <v>6921.25</v>
      </c>
      <c r="H15" s="17">
        <f>SUMIF(I$12:AB$12,"总值",I15:AB15)</f>
        <v>6820.7</v>
      </c>
      <c r="I15" s="1625">
        <v>6820.7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100.55</v>
      </c>
      <c r="AD15" s="1626"/>
      <c r="AE15" s="1626"/>
      <c r="AF15" s="1626"/>
      <c r="AG15" s="1626"/>
      <c r="AH15" s="1626"/>
      <c r="AI15" s="1626"/>
      <c r="AJ15" s="1626"/>
      <c r="AK15" s="1626"/>
      <c r="AL15" s="1626">
        <v>100.55</v>
      </c>
      <c r="AM15" s="1626"/>
      <c r="AN15" s="1626"/>
      <c r="AO15" s="1626"/>
      <c r="AP15" s="1626"/>
      <c r="AQ15" s="1626"/>
      <c r="AR15" s="1626"/>
      <c r="AS15" s="1626"/>
      <c r="AT15" s="1627"/>
      <c r="AU15" s="1628"/>
      <c r="AV15" s="8">
        <f t="shared" si="6"/>
        <v>0</v>
      </c>
      <c r="AW15" s="8" t="str">
        <f t="shared" si="6"/>
        <v>京（2019）昌不动产权第0040927号</v>
      </c>
      <c r="AX15" s="8" t="str">
        <f t="shared" si="6"/>
        <v>20号院4号楼</v>
      </c>
      <c r="AY15" s="1348">
        <f>ROUND($AY$6*AZ15/$AZ$5,2)</f>
        <v>6163.78</v>
      </c>
      <c r="AZ15" s="13">
        <f>BA15+BL15</f>
        <v>6921.25</v>
      </c>
      <c r="BA15" s="13">
        <f>SUM(BB15:BK15)</f>
        <v>6820.7</v>
      </c>
      <c r="BB15" s="13">
        <f>IF($D15="是",I15-J15,0)</f>
        <v>6820.7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100.55</v>
      </c>
      <c r="BM15" s="13">
        <f>IF($D15="是",AD15-AE15,0)</f>
        <v>0</v>
      </c>
      <c r="BN15" s="13">
        <f>IF($D15="是",AF15-AG15,0)</f>
        <v>0</v>
      </c>
      <c r="BO15" s="13">
        <f>IF($D15="是",AH15-AI15,0)</f>
        <v>0</v>
      </c>
      <c r="BP15" s="13">
        <f>IF($D15="是",AJ15-AK15,0)</f>
        <v>0</v>
      </c>
      <c r="BQ15" s="13">
        <f>IF($D15="是",AL15-AM15,0)</f>
        <v>100.55</v>
      </c>
      <c r="BR15" s="13">
        <f>IF($D15="是",AN15-AO15,0)</f>
        <v>0</v>
      </c>
      <c r="BS15" s="13">
        <f>IF($D15="是",AP15-AQ15,0)</f>
        <v>0</v>
      </c>
      <c r="BT15" s="19">
        <f>IF($D15="是",AR15-AS15,0)</f>
        <v>0</v>
      </c>
    </row>
    <row r="16" spans="1:72" s="1578" customFormat="1" ht="51">
      <c r="A16" s="1051"/>
      <c r="B16" s="1051" t="s">
        <v>3769</v>
      </c>
      <c r="C16" s="1051" t="s">
        <v>3770</v>
      </c>
      <c r="D16" s="1624" t="s">
        <v>3377</v>
      </c>
      <c r="E16" s="13">
        <f>IF($C$3="是",ROUND($A$3*G16/$B$3,2),ROUND($A$3*(G16-AT16)/$B$3,2))</f>
        <v>6217.94</v>
      </c>
      <c r="F16" s="29"/>
      <c r="G16" s="30">
        <f>H16+AC16+AT16</f>
        <v>6982.0700000000006</v>
      </c>
      <c r="H16" s="17">
        <f>SUMIF(I$12:AB$12,"总值",I16:AB16)</f>
        <v>6897.72</v>
      </c>
      <c r="I16" s="1625">
        <v>6897.72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84.35</v>
      </c>
      <c r="AD16" s="1626"/>
      <c r="AE16" s="1626"/>
      <c r="AF16" s="1626"/>
      <c r="AG16" s="1626"/>
      <c r="AH16" s="1626"/>
      <c r="AI16" s="1626"/>
      <c r="AJ16" s="1626"/>
      <c r="AK16" s="1626"/>
      <c r="AL16" s="1626">
        <v>84.35</v>
      </c>
      <c r="AM16" s="1626"/>
      <c r="AN16" s="1626"/>
      <c r="AO16" s="1626"/>
      <c r="AP16" s="1626"/>
      <c r="AQ16" s="1626"/>
      <c r="AR16" s="1626"/>
      <c r="AS16" s="1626"/>
      <c r="AT16" s="1627"/>
      <c r="AU16" s="1628"/>
      <c r="AV16" s="8">
        <f t="shared" si="6"/>
        <v>0</v>
      </c>
      <c r="AW16" s="8" t="str">
        <f t="shared" si="6"/>
        <v>京（2019）昌不动产权第0043143号</v>
      </c>
      <c r="AX16" s="8" t="str">
        <f t="shared" si="6"/>
        <v>20号院5号楼</v>
      </c>
      <c r="AY16" s="1348">
        <f>ROUND($AY$6*AZ16/$AZ$5,2)</f>
        <v>6217.94</v>
      </c>
      <c r="AZ16" s="13">
        <f>BA16+BL16</f>
        <v>6982.0700000000006</v>
      </c>
      <c r="BA16" s="13">
        <f>SUM(BB16:BK16)</f>
        <v>6897.72</v>
      </c>
      <c r="BB16" s="13">
        <f>IF($D16="是",I16-J16,0)</f>
        <v>6897.72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84.35</v>
      </c>
      <c r="BM16" s="13">
        <f>IF($D16="是",AD16-AE16,0)</f>
        <v>0</v>
      </c>
      <c r="BN16" s="13">
        <f>IF($D16="是",AF16-AG16,0)</f>
        <v>0</v>
      </c>
      <c r="BO16" s="13">
        <f>IF($D16="是",AH16-AI16,0)</f>
        <v>0</v>
      </c>
      <c r="BP16" s="13">
        <f>IF($D16="是",AJ16-AK16,0)</f>
        <v>0</v>
      </c>
      <c r="BQ16" s="13">
        <f>IF($D16="是",AL16-AM16,0)</f>
        <v>84.35</v>
      </c>
      <c r="BR16" s="13">
        <f>IF($D16="是",AN16-AO16,0)</f>
        <v>0</v>
      </c>
      <c r="BS16" s="13">
        <f>IF($D16="是",AP16-AQ16,0)</f>
        <v>0</v>
      </c>
      <c r="BT16" s="19">
        <f>IF($D16="是",AR16-AS16,0)</f>
        <v>0</v>
      </c>
    </row>
    <row r="17" spans="1:72" s="1578" customFormat="1" ht="51">
      <c r="A17" s="1051"/>
      <c r="B17" s="1051" t="s">
        <v>3771</v>
      </c>
      <c r="C17" s="3458" t="s">
        <v>3772</v>
      </c>
      <c r="D17" s="1624" t="s">
        <v>3377</v>
      </c>
      <c r="E17" s="13">
        <f>IF($C$3="是",ROUND($A$3*G17/$B$3,2),ROUND($A$3*(G17-AT17)/$B$3,2))</f>
        <v>5052.6099999999997</v>
      </c>
      <c r="F17" s="29"/>
      <c r="G17" s="30">
        <f>H17+AC17+AT17</f>
        <v>5673.5300000000007</v>
      </c>
      <c r="H17" s="17">
        <f>SUMIF(I$12:AB$12,"总值",I17:AB17)</f>
        <v>5621.52</v>
      </c>
      <c r="I17" s="1625">
        <v>5621.52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52.01</v>
      </c>
      <c r="AD17" s="1626"/>
      <c r="AE17" s="1626"/>
      <c r="AF17" s="1626"/>
      <c r="AG17" s="1626"/>
      <c r="AH17" s="1626"/>
      <c r="AI17" s="1626"/>
      <c r="AJ17" s="1626"/>
      <c r="AK17" s="1626"/>
      <c r="AL17" s="1626">
        <v>52.01</v>
      </c>
      <c r="AM17" s="1626"/>
      <c r="AN17" s="1626"/>
      <c r="AO17" s="1626"/>
      <c r="AP17" s="1626"/>
      <c r="AQ17" s="1626"/>
      <c r="AR17" s="1626"/>
      <c r="AS17" s="1626"/>
      <c r="AT17" s="1627"/>
      <c r="AU17" s="1628"/>
      <c r="AV17" s="8">
        <f t="shared" si="6"/>
        <v>0</v>
      </c>
      <c r="AW17" s="8" t="str">
        <f t="shared" si="6"/>
        <v>京（2019）昌不动产权第0043144号</v>
      </c>
      <c r="AX17" s="8" t="str">
        <f t="shared" si="6"/>
        <v>20号院6号楼</v>
      </c>
      <c r="AY17" s="1348">
        <f>ROUND($AY$6*AZ17/$AZ$5,2)</f>
        <v>5052.6099999999997</v>
      </c>
      <c r="AZ17" s="13">
        <f>BA17+BL17</f>
        <v>5673.5300000000007</v>
      </c>
      <c r="BA17" s="13">
        <f>SUM(BB17:BK17)</f>
        <v>5621.52</v>
      </c>
      <c r="BB17" s="13">
        <f>IF($D17="是",I17-J17,0)</f>
        <v>5621.52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52.01</v>
      </c>
      <c r="BM17" s="13">
        <f>IF($D17="是",AD17-AE17,0)</f>
        <v>0</v>
      </c>
      <c r="BN17" s="13">
        <f>IF($D17="是",AF17-AG17,0)</f>
        <v>0</v>
      </c>
      <c r="BO17" s="13">
        <f>IF($D17="是",AH17-AI17,0)</f>
        <v>0</v>
      </c>
      <c r="BP17" s="13">
        <f>IF($D17="是",AJ17-AK17,0)</f>
        <v>0</v>
      </c>
      <c r="BQ17" s="13">
        <f>IF($D17="是",AL17-AM17,0)</f>
        <v>52.01</v>
      </c>
      <c r="BR17" s="13">
        <f>IF($D17="是",AN17-AO17,0)</f>
        <v>0</v>
      </c>
      <c r="BS17" s="13">
        <f>IF($D17="是",AP17-AQ17,0)</f>
        <v>0</v>
      </c>
      <c r="BT17" s="19">
        <f>IF($D17="是",AR17-AS17,0)</f>
        <v>0</v>
      </c>
    </row>
    <row r="18" spans="1:72" ht="71.25">
      <c r="A18" s="6"/>
      <c r="B18" s="31" t="s">
        <v>3773</v>
      </c>
      <c r="C18" s="1051" t="s">
        <v>3774</v>
      </c>
      <c r="D18" s="1624" t="s">
        <v>3377</v>
      </c>
      <c r="E18" s="32">
        <f t="shared" ref="E18:E112" si="7">IF($C$3="是",ROUND($A$3*G18/$B$3,2),ROUND($A$3*(G18-AT18)/$B$3,2))</f>
        <v>6175.08</v>
      </c>
      <c r="F18" s="33"/>
      <c r="G18" s="34">
        <f t="shared" ref="G18:G109" si="8">H18+AC18+AT18</f>
        <v>6933.9400000000005</v>
      </c>
      <c r="H18" s="35">
        <f t="shared" ref="H18:H109" si="9">SUMIF(I$12:AB$12,"总值",I18:AB18)</f>
        <v>6818.77</v>
      </c>
      <c r="I18" s="36">
        <v>6818.77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115.17</v>
      </c>
      <c r="AD18" s="37"/>
      <c r="AE18" s="37"/>
      <c r="AF18" s="37"/>
      <c r="AG18" s="37"/>
      <c r="AH18" s="37"/>
      <c r="AI18" s="37"/>
      <c r="AJ18" s="37"/>
      <c r="AK18" s="37"/>
      <c r="AL18" s="37">
        <v>115.17</v>
      </c>
      <c r="AM18" s="37"/>
      <c r="AN18" s="37"/>
      <c r="AO18" s="37"/>
      <c r="AP18" s="37"/>
      <c r="AQ18" s="37"/>
      <c r="AR18" s="37"/>
      <c r="AS18" s="37"/>
      <c r="AT18" s="38"/>
      <c r="AU18" s="1630"/>
      <c r="AV18" s="1342">
        <f t="shared" ref="AV18:AV112" si="11">A18</f>
        <v>0</v>
      </c>
      <c r="AW18" s="1342" t="str">
        <f t="shared" ref="AW18:AW112" si="12">B18</f>
        <v>京（2019）昌不动产权第0040926号</v>
      </c>
      <c r="AX18" s="1342" t="str">
        <f t="shared" ref="AX18:AX112" si="13">C18</f>
        <v>20号院7号楼</v>
      </c>
      <c r="AY18" s="39">
        <f t="shared" ref="AY18:AY109" si="14">ROUND($AY$6*AZ18/$AZ$5,2)</f>
        <v>6175.08</v>
      </c>
      <c r="AZ18" s="32">
        <f t="shared" ref="AZ18:AZ109" si="15">BA18+BL18</f>
        <v>6933.9400000000005</v>
      </c>
      <c r="BA18" s="32">
        <f t="shared" ref="BA18:BA109" si="16">SUM(BB18:BK18)</f>
        <v>6818.77</v>
      </c>
      <c r="BB18" s="32">
        <f t="shared" ref="BB18:BB109" si="17">IF($D18="是",I18-J18,0)</f>
        <v>6818.77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115.17</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115.17</v>
      </c>
      <c r="BR18" s="32">
        <f t="shared" ref="BR18:BR109" si="33">IF($D18="是",AN18-AO18,0)</f>
        <v>0</v>
      </c>
      <c r="BS18" s="32">
        <f t="shared" ref="BS18:BS109" si="34">IF($D18="是",AP18-AQ18,0)</f>
        <v>0</v>
      </c>
      <c r="BT18" s="40">
        <f t="shared" ref="BT18:BT109" si="35">IF($D18="是",AR18-AS18,0)</f>
        <v>0</v>
      </c>
    </row>
    <row r="19" spans="1:72" ht="71.25">
      <c r="A19" s="6"/>
      <c r="B19" s="31" t="s">
        <v>3775</v>
      </c>
      <c r="C19" s="1051" t="s">
        <v>3776</v>
      </c>
      <c r="D19" s="1624" t="s">
        <v>3377</v>
      </c>
      <c r="E19" s="32">
        <f t="shared" si="7"/>
        <v>15637.42</v>
      </c>
      <c r="F19" s="33"/>
      <c r="G19" s="34">
        <f t="shared" si="8"/>
        <v>17559.11</v>
      </c>
      <c r="H19" s="35">
        <f t="shared" si="9"/>
        <v>17483.07</v>
      </c>
      <c r="I19" s="36"/>
      <c r="J19" s="36"/>
      <c r="K19" s="36"/>
      <c r="L19" s="36"/>
      <c r="M19" s="36">
        <v>17483.07</v>
      </c>
      <c r="N19" s="36"/>
      <c r="O19" s="36"/>
      <c r="P19" s="36"/>
      <c r="Q19" s="36"/>
      <c r="R19" s="36"/>
      <c r="S19" s="36"/>
      <c r="T19" s="36"/>
      <c r="U19" s="36"/>
      <c r="V19" s="36"/>
      <c r="W19" s="36"/>
      <c r="X19" s="36"/>
      <c r="Y19" s="36"/>
      <c r="Z19" s="36"/>
      <c r="AA19" s="36"/>
      <c r="AB19" s="36"/>
      <c r="AC19" s="32">
        <f t="shared" si="10"/>
        <v>76.040000000000006</v>
      </c>
      <c r="AD19" s="37"/>
      <c r="AE19" s="37"/>
      <c r="AF19" s="37"/>
      <c r="AG19" s="37"/>
      <c r="AH19" s="37"/>
      <c r="AI19" s="37"/>
      <c r="AJ19" s="37"/>
      <c r="AK19" s="37"/>
      <c r="AL19" s="37">
        <v>76.040000000000006</v>
      </c>
      <c r="AM19" s="37"/>
      <c r="AN19" s="37"/>
      <c r="AO19" s="37"/>
      <c r="AP19" s="37"/>
      <c r="AQ19" s="37"/>
      <c r="AR19" s="37"/>
      <c r="AS19" s="37"/>
      <c r="AT19" s="38"/>
      <c r="AU19" s="1630"/>
      <c r="AV19" s="1342">
        <f t="shared" si="11"/>
        <v>0</v>
      </c>
      <c r="AW19" s="1342" t="str">
        <f t="shared" si="12"/>
        <v>京（2020）昌不动产权第0002546号</v>
      </c>
      <c r="AX19" s="1342" t="str">
        <f t="shared" si="13"/>
        <v>20号院8号楼</v>
      </c>
      <c r="AY19" s="39">
        <f t="shared" si="14"/>
        <v>15637.42</v>
      </c>
      <c r="AZ19" s="32">
        <f t="shared" si="15"/>
        <v>17559.11</v>
      </c>
      <c r="BA19" s="32">
        <f t="shared" si="16"/>
        <v>17483.07</v>
      </c>
      <c r="BB19" s="32">
        <f t="shared" si="17"/>
        <v>0</v>
      </c>
      <c r="BC19" s="32">
        <f t="shared" si="18"/>
        <v>0</v>
      </c>
      <c r="BD19" s="32">
        <f t="shared" si="19"/>
        <v>17483.07</v>
      </c>
      <c r="BE19" s="32">
        <f t="shared" si="20"/>
        <v>0</v>
      </c>
      <c r="BF19" s="32">
        <f t="shared" si="21"/>
        <v>0</v>
      </c>
      <c r="BG19" s="32">
        <f t="shared" si="22"/>
        <v>0</v>
      </c>
      <c r="BH19" s="32">
        <f t="shared" si="23"/>
        <v>0</v>
      </c>
      <c r="BI19" s="32">
        <f t="shared" si="24"/>
        <v>0</v>
      </c>
      <c r="BJ19" s="32">
        <f t="shared" si="25"/>
        <v>0</v>
      </c>
      <c r="BK19" s="32">
        <f t="shared" si="26"/>
        <v>0</v>
      </c>
      <c r="BL19" s="32">
        <f t="shared" si="27"/>
        <v>76.040000000000006</v>
      </c>
      <c r="BM19" s="32">
        <f t="shared" si="28"/>
        <v>0</v>
      </c>
      <c r="BN19" s="32">
        <f t="shared" si="29"/>
        <v>0</v>
      </c>
      <c r="BO19" s="32">
        <f t="shared" si="30"/>
        <v>0</v>
      </c>
      <c r="BP19" s="32">
        <f t="shared" si="31"/>
        <v>0</v>
      </c>
      <c r="BQ19" s="32">
        <f t="shared" si="32"/>
        <v>76.040000000000006</v>
      </c>
      <c r="BR19" s="32">
        <f t="shared" si="33"/>
        <v>0</v>
      </c>
      <c r="BS19" s="32">
        <f t="shared" si="34"/>
        <v>0</v>
      </c>
      <c r="BT19" s="40">
        <f t="shared" si="35"/>
        <v>0</v>
      </c>
    </row>
    <row r="20" spans="1:72" ht="71.25">
      <c r="A20" s="6" t="s">
        <v>3777</v>
      </c>
      <c r="B20" s="31" t="s">
        <v>3778</v>
      </c>
      <c r="C20" s="31" t="s">
        <v>3779</v>
      </c>
      <c r="D20" s="1629" t="s">
        <v>3377</v>
      </c>
      <c r="E20" s="32">
        <f t="shared" si="7"/>
        <v>9390.99</v>
      </c>
      <c r="F20" s="33"/>
      <c r="G20" s="34">
        <f t="shared" si="8"/>
        <v>10545.05</v>
      </c>
      <c r="H20" s="35">
        <f t="shared" si="9"/>
        <v>10445.49</v>
      </c>
      <c r="I20" s="36">
        <v>6282.67</v>
      </c>
      <c r="J20" s="36"/>
      <c r="K20" s="36">
        <v>4162.82</v>
      </c>
      <c r="L20" s="36"/>
      <c r="M20" s="36"/>
      <c r="N20" s="36"/>
      <c r="O20" s="36"/>
      <c r="P20" s="36"/>
      <c r="Q20" s="36"/>
      <c r="R20" s="36"/>
      <c r="S20" s="36"/>
      <c r="T20" s="36"/>
      <c r="U20" s="36"/>
      <c r="V20" s="36"/>
      <c r="W20" s="36"/>
      <c r="X20" s="36"/>
      <c r="Y20" s="36"/>
      <c r="Z20" s="36"/>
      <c r="AA20" s="36"/>
      <c r="AB20" s="36"/>
      <c r="AC20" s="32">
        <f t="shared" si="10"/>
        <v>99.56</v>
      </c>
      <c r="AD20" s="37"/>
      <c r="AE20" s="37"/>
      <c r="AF20" s="37"/>
      <c r="AG20" s="37"/>
      <c r="AH20" s="37"/>
      <c r="AI20" s="37"/>
      <c r="AJ20" s="37"/>
      <c r="AK20" s="37"/>
      <c r="AL20" s="37">
        <v>99.56</v>
      </c>
      <c r="AM20" s="37"/>
      <c r="AN20" s="37"/>
      <c r="AO20" s="37"/>
      <c r="AP20" s="37"/>
      <c r="AQ20" s="37"/>
      <c r="AR20" s="37"/>
      <c r="AS20" s="37"/>
      <c r="AT20" s="38"/>
      <c r="AU20" s="1630"/>
      <c r="AV20" s="1342" t="str">
        <f t="shared" si="11"/>
        <v>酒店</v>
      </c>
      <c r="AW20" s="1342" t="str">
        <f t="shared" si="12"/>
        <v>京（2020）昌不动产权第0016581号</v>
      </c>
      <c r="AX20" s="1342" t="str">
        <f t="shared" si="13"/>
        <v>20号院3号楼</v>
      </c>
      <c r="AY20" s="39">
        <f t="shared" si="14"/>
        <v>9390.99</v>
      </c>
      <c r="AZ20" s="32">
        <f t="shared" si="15"/>
        <v>10545.05</v>
      </c>
      <c r="BA20" s="32">
        <f t="shared" si="16"/>
        <v>10445.49</v>
      </c>
      <c r="BB20" s="32">
        <f t="shared" si="17"/>
        <v>6282.67</v>
      </c>
      <c r="BC20" s="32">
        <f t="shared" si="18"/>
        <v>4162.82</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99.56</v>
      </c>
      <c r="BM20" s="32">
        <f t="shared" si="28"/>
        <v>0</v>
      </c>
      <c r="BN20" s="32">
        <f t="shared" si="29"/>
        <v>0</v>
      </c>
      <c r="BO20" s="32">
        <f t="shared" si="30"/>
        <v>0</v>
      </c>
      <c r="BP20" s="32">
        <f t="shared" si="31"/>
        <v>0</v>
      </c>
      <c r="BQ20" s="32">
        <f t="shared" si="32"/>
        <v>99.56</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O42" sqref="O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8" t="s">
        <v>1107</v>
      </c>
      <c r="F2" s="2658"/>
      <c r="G2" s="2649"/>
      <c r="H2" s="2650"/>
      <c r="I2" s="2324" t="s">
        <v>1131</v>
      </c>
      <c r="J2" s="2658"/>
      <c r="K2" s="2658"/>
      <c r="L2" s="2658"/>
      <c r="M2" s="2658"/>
      <c r="N2" s="2660"/>
      <c r="O2" s="2658"/>
      <c r="P2" s="2658"/>
    </row>
    <row r="3" spans="1:16" ht="15.75" thickBot="1">
      <c r="A3" s="3552" t="s">
        <v>1104</v>
      </c>
      <c r="B3" s="3552"/>
      <c r="C3" s="3552"/>
      <c r="D3" s="43">
        <f>'数据-基础表'!AY6</f>
        <v>62378.94</v>
      </c>
      <c r="E3" s="43">
        <f>'数据-基础表'!AZ5</f>
        <v>70044.73</v>
      </c>
      <c r="F3" s="2658"/>
      <c r="G3" s="1145"/>
      <c r="H3" s="1026" t="s">
        <v>1105</v>
      </c>
      <c r="I3" s="855">
        <f>ROUND('数据-基础表'!B3/'数据-基础表'!A3,2)</f>
        <v>1.1200000000000001</v>
      </c>
      <c r="J3" s="2658"/>
      <c r="K3" s="2658"/>
      <c r="L3" s="2658"/>
      <c r="M3" s="2658"/>
      <c r="N3" s="2660"/>
      <c r="O3" s="2658"/>
      <c r="P3" s="2658"/>
    </row>
    <row r="4" spans="1:16" ht="15">
      <c r="A4" s="3553"/>
      <c r="B4" s="3554"/>
      <c r="C4" s="3555"/>
      <c r="D4" s="1640" t="s">
        <v>1106</v>
      </c>
      <c r="E4" s="1641" t="s">
        <v>1107</v>
      </c>
      <c r="F4" s="2658"/>
      <c r="G4" s="2651" t="s">
        <v>1132</v>
      </c>
      <c r="H4" s="1026" t="s">
        <v>1112</v>
      </c>
      <c r="I4" s="855">
        <f>ROUND(SUMIF('数据-基础表'!I9:AS9,"地上",'数据-基础表'!I5:AS5)/'数据-基础表'!A3,2)</f>
        <v>0.78</v>
      </c>
      <c r="J4" s="2658"/>
      <c r="K4" s="2658"/>
      <c r="L4" s="2658"/>
      <c r="M4" s="2658"/>
      <c r="N4" s="2660"/>
      <c r="O4" s="2658"/>
      <c r="P4" s="2658"/>
    </row>
    <row r="5" spans="1:16">
      <c r="A5" s="44" t="s">
        <v>1108</v>
      </c>
      <c r="B5" s="3556" t="s">
        <v>1109</v>
      </c>
      <c r="C5" s="3556"/>
      <c r="D5" s="45">
        <f>ROUND($D$3*E5/$E$3,2)</f>
        <v>0</v>
      </c>
      <c r="E5" s="46">
        <f>SUMIF('数据-基础表'!$11:$11,"住宅",'数据-基础表'!$5:$5)</f>
        <v>0</v>
      </c>
      <c r="F5" s="2658"/>
      <c r="G5" s="1145"/>
      <c r="H5" s="1026" t="s">
        <v>1105</v>
      </c>
      <c r="I5" s="855">
        <f>ROUND(E31/D31,2)</f>
        <v>1.1200000000000001</v>
      </c>
      <c r="J5" s="2658"/>
      <c r="K5" s="2658"/>
      <c r="L5" s="2658"/>
      <c r="M5" s="2658"/>
      <c r="N5" s="2658"/>
      <c r="O5" s="2658"/>
      <c r="P5" s="2658"/>
    </row>
    <row r="6" spans="1:16" ht="15" thickBot="1">
      <c r="A6" s="1643"/>
      <c r="B6" s="3556" t="s">
        <v>1110</v>
      </c>
      <c r="C6" s="3556"/>
      <c r="D6" s="45">
        <f>ROUND($D$3*E6/$E$3,2)</f>
        <v>62378.94</v>
      </c>
      <c r="E6" s="46">
        <f>E3-E5</f>
        <v>70044.73</v>
      </c>
      <c r="F6" s="2658"/>
      <c r="G6" s="2652" t="s">
        <v>1111</v>
      </c>
      <c r="H6" s="1146" t="s">
        <v>1112</v>
      </c>
      <c r="I6" s="2653">
        <f>ROUND(F31/D31,2)</f>
        <v>0.78</v>
      </c>
      <c r="J6" s="2658"/>
      <c r="K6" s="2658"/>
      <c r="L6" s="2658"/>
      <c r="M6" s="2658"/>
      <c r="N6" s="2658"/>
      <c r="O6" s="2658"/>
      <c r="P6" s="2658"/>
    </row>
    <row r="7" spans="1:16" ht="15.75" thickBot="1">
      <c r="A7" s="3548"/>
      <c r="B7" s="3549"/>
      <c r="C7" s="3550"/>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42443.3</v>
      </c>
      <c r="E8" s="48">
        <f>SUMIF('数据-基础表'!BB10:BK10,"地上",'数据-基础表'!BB5:BK5)</f>
        <v>47659.19</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19276.93</v>
      </c>
      <c r="E11" s="48">
        <f>SUMPRODUCT(('数据-基础表'!BB10:BK10="地下")*('数据-基础表'!BB11:BK11="办公")*('数据-基础表'!BB5:BK5))+'数据-基础表'!BP5</f>
        <v>21645.89</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61720.23</v>
      </c>
      <c r="E16" s="50">
        <f>SUM(E8:E15)</f>
        <v>69305.08</v>
      </c>
      <c r="F16" s="2658"/>
      <c r="G16" s="2659"/>
      <c r="H16" s="1647" t="s">
        <v>1134</v>
      </c>
      <c r="I16" s="1648"/>
      <c r="J16" s="1139"/>
      <c r="K16" s="3545" t="s">
        <v>1134</v>
      </c>
      <c r="L16" s="3546"/>
      <c r="M16" s="3546"/>
      <c r="N16" s="3546"/>
      <c r="O16" s="3546"/>
      <c r="P16" s="3547"/>
    </row>
    <row r="17" spans="1:19" ht="15">
      <c r="A17" s="1649" t="s">
        <v>1135</v>
      </c>
      <c r="B17" s="1650" t="s">
        <v>1136</v>
      </c>
      <c r="C17" s="1651" t="s">
        <v>1137</v>
      </c>
      <c r="D17" s="1652" t="s">
        <v>1125</v>
      </c>
      <c r="E17" s="1653" t="s">
        <v>1126</v>
      </c>
      <c r="F17" s="1654"/>
      <c r="G17" s="1655"/>
      <c r="H17" s="1656" t="s">
        <v>1138</v>
      </c>
      <c r="I17" s="1657" t="s">
        <v>1123</v>
      </c>
      <c r="J17" s="1139"/>
      <c r="K17" s="3542" t="s">
        <v>1139</v>
      </c>
      <c r="L17" s="3543"/>
      <c r="M17" s="3544"/>
      <c r="N17" s="3542" t="s">
        <v>1140</v>
      </c>
      <c r="O17" s="3543"/>
      <c r="P17" s="3544"/>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8" t="s">
        <v>3382</v>
      </c>
      <c r="D19" s="45">
        <f>ROUND($D$3*E19/$E$3,2)</f>
        <v>52417.919999999998</v>
      </c>
      <c r="E19" s="53">
        <f t="shared" ref="E19:E26" si="1">SUM(F19:G19)</f>
        <v>58859.590000000004</v>
      </c>
      <c r="F19" s="2794">
        <f>SUM('数据-基础表'!I13:I18)</f>
        <v>41376.520000000004</v>
      </c>
      <c r="G19" s="2795">
        <f>'数据-基础表'!M5</f>
        <v>17483.07</v>
      </c>
      <c r="H19" s="670">
        <f>ROUND($D$3*I19/$E$3,2)</f>
        <v>559.41999999999996</v>
      </c>
      <c r="I19" s="48">
        <f t="shared" ref="I19:I26" si="2">IF($I$17="自定义",P19,M19)</f>
        <v>628.16999999999996</v>
      </c>
      <c r="J19" s="1139"/>
      <c r="K19" s="1138">
        <f t="shared" ref="K19:K26" si="3">ROUND(E$28*E19/E$27,2)</f>
        <v>628.16999999999996</v>
      </c>
      <c r="L19" s="1026">
        <f t="shared" ref="L19:L26" si="4">ROUND(IF(COUNTIF(C19,"*住宅*")&gt;0,E$29*E19/E$32,0),2)</f>
        <v>0</v>
      </c>
      <c r="M19" s="1150">
        <f>K19+L19</f>
        <v>628.16999999999996</v>
      </c>
      <c r="N19" s="1667"/>
      <c r="O19" s="1668"/>
      <c r="P19" s="1150">
        <f>N19+O19</f>
        <v>0</v>
      </c>
      <c r="R19" s="1026">
        <f t="shared" ref="R19:S26" si="5">D19+H19</f>
        <v>52977.34</v>
      </c>
      <c r="S19" s="1027">
        <f t="shared" si="5"/>
        <v>59487.76</v>
      </c>
    </row>
    <row r="20" spans="1:19">
      <c r="A20" s="1669"/>
      <c r="B20" s="47" t="s">
        <v>1152</v>
      </c>
      <c r="C20" s="3418" t="s">
        <v>3789</v>
      </c>
      <c r="D20" s="45">
        <f t="shared" ref="D20:D26" si="6">ROUND($D$3*E20/$E$3,2)</f>
        <v>9302.32</v>
      </c>
      <c r="E20" s="53">
        <f t="shared" si="1"/>
        <v>10445.49</v>
      </c>
      <c r="F20" s="2794">
        <f>'数据-基础表'!I20</f>
        <v>6282.67</v>
      </c>
      <c r="G20" s="2795">
        <f>'数据-基础表'!K20</f>
        <v>4162.82</v>
      </c>
      <c r="H20" s="670">
        <f t="shared" ref="H20:H26" si="7">ROUND($D$3*I20/$E$3,2)</f>
        <v>99.28</v>
      </c>
      <c r="I20" s="48">
        <f t="shared" si="2"/>
        <v>111.48</v>
      </c>
      <c r="J20" s="1139"/>
      <c r="K20" s="1138">
        <f t="shared" si="3"/>
        <v>111.48</v>
      </c>
      <c r="L20" s="1026">
        <f t="shared" si="4"/>
        <v>0</v>
      </c>
      <c r="M20" s="1150">
        <f t="shared" ref="M20:M26" si="8">K20+L20</f>
        <v>111.48</v>
      </c>
      <c r="N20" s="1667"/>
      <c r="O20" s="1668"/>
      <c r="P20" s="1150">
        <f t="shared" ref="P20:P26" si="9">N20+O20</f>
        <v>0</v>
      </c>
      <c r="R20" s="1026">
        <f t="shared" si="5"/>
        <v>9401.6</v>
      </c>
      <c r="S20" s="1027">
        <f t="shared" si="5"/>
        <v>10556.97</v>
      </c>
    </row>
    <row r="21" spans="1:19">
      <c r="A21" s="1669"/>
      <c r="B21" s="47" t="s">
        <v>1152</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61720.24</v>
      </c>
      <c r="E27" s="1141">
        <f>IF(SUM(E19:E26)='数据-基础表'!BA5,SUM(E19:E26),IF(F27="地上面积有误","面积有误","地下面积有误"))</f>
        <v>69305.08</v>
      </c>
      <c r="F27" s="1140">
        <f>IF(SUM(F19:F26)=E8,SUM(F19:F26),"地上面积有误")</f>
        <v>47659.19</v>
      </c>
      <c r="G27" s="1142">
        <f>SUM(G19:G26)</f>
        <v>21645.89</v>
      </c>
      <c r="H27" s="1143">
        <f>SUM(H19:H26)</f>
        <v>658.69999999999993</v>
      </c>
      <c r="I27" s="1144">
        <f>SUM(I19:I26)</f>
        <v>739.65</v>
      </c>
      <c r="J27" s="1139"/>
      <c r="K27" s="1147">
        <f>SUM(K19:K26)</f>
        <v>739.65</v>
      </c>
      <c r="L27" s="1148">
        <f>SUM(L19:L26)</f>
        <v>0</v>
      </c>
      <c r="M27" s="1151">
        <f>SUM(M19:M26)</f>
        <v>739.65</v>
      </c>
      <c r="N27" s="1147">
        <f t="shared" ref="N27:O27" si="10">SUM(N19:N26)</f>
        <v>0</v>
      </c>
      <c r="O27" s="1148">
        <f t="shared" si="10"/>
        <v>0</v>
      </c>
      <c r="P27" s="1149">
        <f>SUM(P19:P26)</f>
        <v>0</v>
      </c>
      <c r="R27" s="1028">
        <f>IF(SUM(R19:R26)=$D$3,SUM(R19:R26),SUM(R19:R26)&amp;"误差"&amp;ROUND(SUM(R19:R26)-$D$3,2))</f>
        <v>62378.939999999995</v>
      </c>
      <c r="S27" s="1026">
        <f>IF(SUM(S19:S26)=$E$3,SUM(S19:S26),SUM(S19:S26)&amp;"误差"&amp;ROUND(SUM(S19:S26)-E3,2))</f>
        <v>70044.73</v>
      </c>
    </row>
    <row r="28" spans="1:19">
      <c r="A28" s="1669"/>
      <c r="B28" s="47" t="s">
        <v>1154</v>
      </c>
      <c r="C28" s="1038" t="s">
        <v>1155</v>
      </c>
      <c r="D28" s="45">
        <f>ROUND($D$3*E28/$E$3,2)</f>
        <v>658.7</v>
      </c>
      <c r="E28" s="53">
        <f>SUM(F28:G28)</f>
        <v>739.64999999999986</v>
      </c>
      <c r="F28" s="56">
        <f>'数据-基础表'!BQ5+'数据-基础表'!BS5</f>
        <v>739.64999999999986</v>
      </c>
      <c r="G28" s="57">
        <f>'数据-基础表'!BR5+'数据-基础表'!BT5</f>
        <v>0</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658.7</v>
      </c>
      <c r="E30" s="1140">
        <f>SUM(E28:E29)</f>
        <v>739.64999999999986</v>
      </c>
      <c r="F30" s="1140">
        <f>SUM(F28:F29)</f>
        <v>739.64999999999986</v>
      </c>
      <c r="G30" s="1142">
        <f>SUM(G28:G29)</f>
        <v>0</v>
      </c>
      <c r="H30" s="2658"/>
      <c r="I30" s="2658"/>
      <c r="J30" s="2658"/>
      <c r="K30" s="2658"/>
      <c r="L30" s="2658"/>
      <c r="M30" s="2658"/>
      <c r="N30" s="2658"/>
      <c r="O30" s="2658"/>
      <c r="P30" s="2658"/>
    </row>
    <row r="31" spans="1:19" ht="15.75" thickBot="1">
      <c r="A31" s="1675"/>
      <c r="B31" s="1676"/>
      <c r="C31" s="835" t="s">
        <v>1157</v>
      </c>
      <c r="D31" s="676">
        <f>D27+D30</f>
        <v>62378.939999999995</v>
      </c>
      <c r="E31" s="676">
        <f>E27+E30</f>
        <v>70044.73</v>
      </c>
      <c r="F31" s="677">
        <f>F27+F30</f>
        <v>48398.840000000004</v>
      </c>
      <c r="G31" s="678">
        <f>G27+G30</f>
        <v>21645.89</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44929</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3384</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IF(B6="","",SUMIF(项目基本情况!C$12:H$12,C6,项目基本情况!C$13:H$13))</f>
        <v>55805</v>
      </c>
      <c r="F6" s="64">
        <f>SUMIF(项目基本情况!C$12:I$12,C6,项目基本情况!C$15:I$15)</f>
        <v>29.79</v>
      </c>
      <c r="G6" s="65">
        <f>IF(ISERROR(ROUND(POWER(1+H6,D6-F6)*(POWER(1+H6,F6)-1)/(POWER(1+H6,D6)-1),3)),0,ROUND(POWER(1+H6,D6-F6)*(POWER(1+H6,F6)-1)/(POWER(1+H6,D6)-1),3))</f>
        <v>0.83899999999999997</v>
      </c>
      <c r="H6" s="732">
        <v>0.05</v>
      </c>
      <c r="I6" s="732">
        <v>5.5E-2</v>
      </c>
      <c r="J6" s="66">
        <v>7.0000000000000007E-2</v>
      </c>
      <c r="K6" s="1030">
        <f>SUMIF('数据-汇总表'!C$19:C$33,A6,'数据-汇总表'!E$19:E$33)</f>
        <v>58859.590000000004</v>
      </c>
      <c r="L6" s="733">
        <v>3500</v>
      </c>
      <c r="M6" s="67">
        <f t="shared" ref="M6:M14" si="0">ROUND(K6*L6/10000,0)</f>
        <v>20601</v>
      </c>
      <c r="N6" s="731">
        <f>ROUND(1-(2023-2014)/60,2)</f>
        <v>0.85</v>
      </c>
      <c r="O6" s="67" t="str">
        <f>IF($N$5="成新度","——",ROUND(M6*N6,0))</f>
        <v>——</v>
      </c>
      <c r="P6" s="68" t="str">
        <f>IF($N$5="成新度","——",M6-O6)</f>
        <v>——</v>
      </c>
      <c r="Q6" s="734">
        <v>0.15</v>
      </c>
      <c r="R6" s="69">
        <f ca="1">SUMIF('数据-汇总表'!C$19:C$33,A6,'数据-汇总表'!R$19:R$27)</f>
        <v>52977.34</v>
      </c>
      <c r="S6" s="51">
        <f>IF('数据-汇总表'!$I$17="按面积比例",SUMIF('数据-汇总表'!C$19:C$33,A6,'数据-汇总表'!K$19:K$33),SUMIF('数据-汇总表'!C$19:C$33,A6,'数据-汇总表'!N$19:N$33))</f>
        <v>628.16999999999996</v>
      </c>
      <c r="T6" s="1172">
        <f>ROUND($L$14*S6/10000,0)</f>
        <v>220</v>
      </c>
      <c r="U6" s="3459">
        <f>X20</f>
        <v>3</v>
      </c>
      <c r="V6" s="70">
        <v>0.03</v>
      </c>
      <c r="W6" s="70">
        <v>0.1</v>
      </c>
      <c r="X6" s="1040"/>
      <c r="Y6" s="71">
        <f>N6</f>
        <v>0.85</v>
      </c>
      <c r="Z6" s="72"/>
      <c r="AA6" s="66"/>
      <c r="AB6" s="66"/>
      <c r="AC6" s="1040"/>
      <c r="AD6" s="73"/>
      <c r="AE6" s="1041">
        <f ca="1">IF(AN6="",0,SUMIF(INDIRECT("'"&amp;AN6&amp;"'"&amp;"!E:E"),$AE$5,INDIRECT("'"&amp;AN6&amp;"'"&amp;"!F:F")))</f>
        <v>29.79</v>
      </c>
      <c r="AF6" s="1347"/>
      <c r="AG6" s="138">
        <f>IF(AF6="",0,AE6-AF6)</f>
        <v>0</v>
      </c>
      <c r="AH6" s="74"/>
      <c r="AI6" s="76">
        <v>365</v>
      </c>
      <c r="AJ6" s="77"/>
      <c r="AK6" s="78">
        <v>0.01</v>
      </c>
      <c r="AL6" s="79">
        <v>1.5E-3</v>
      </c>
      <c r="AM6" s="80">
        <v>0.01</v>
      </c>
      <c r="AN6" s="1714" t="s">
        <v>3385</v>
      </c>
      <c r="AO6" s="52">
        <f ca="1">SUMIF(INDIRECT("'"&amp;AN6&amp;"'"&amp;"!A:A"),"总价",INDIRECT("'"&amp;AN6&amp;"'"&amp;"!B:B"))</f>
        <v>90506</v>
      </c>
      <c r="AP6" s="1715">
        <f>IF(C6="住宅",K6*L6,0)</f>
        <v>0</v>
      </c>
      <c r="AQ6" s="52">
        <f>ROUND($L$14*$N$14*S6/10000,0)</f>
        <v>187</v>
      </c>
      <c r="AR6" s="52">
        <f>ROUND($L$14*(1-$N$14)*S6/10000,0)</f>
        <v>33</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酒店</v>
      </c>
      <c r="B7" s="1712" t="str">
        <f t="shared" ref="B7:B13" si="1">IF(A7=0,"","经营性")</f>
        <v>经营性</v>
      </c>
      <c r="C7" s="1713" t="s">
        <v>21</v>
      </c>
      <c r="D7" s="858">
        <f>SUMIF(项目基本情况!C$12:I$12,C7,项目基本情况!C$14:I$14)</f>
        <v>50</v>
      </c>
      <c r="E7" s="857">
        <f>IF(B7="","",SUMIF(项目基本情况!C$12:H$12,C7,项目基本情况!C$13:H$13))</f>
        <v>55805</v>
      </c>
      <c r="F7" s="64">
        <f>SUMIF(项目基本情况!C$12:I$12,C7,项目基本情况!C$15:I$15)</f>
        <v>29.79</v>
      </c>
      <c r="G7" s="65">
        <f t="shared" ref="G7:G11" si="2">IF(ISERROR(ROUND(POWER(1+H7,D7-F7)*(POWER(1+H7,F7)-1)/(POWER(1+H7,D7)-1),3)),0,ROUND(POWER(1+H7,D7-F7)*(POWER(1+H7,F7)-1)/(POWER(1+H7,D7)-1),3))</f>
        <v>0.83899999999999997</v>
      </c>
      <c r="H7" s="732">
        <f>H6</f>
        <v>0.05</v>
      </c>
      <c r="I7" s="732">
        <f>I6</f>
        <v>5.5E-2</v>
      </c>
      <c r="J7" s="66">
        <v>7.0000000000000007E-2</v>
      </c>
      <c r="K7" s="1030">
        <f>SUMIF('数据-汇总表'!C$19:C$33,A7,'数据-汇总表'!E$19:E$33)</f>
        <v>10445.49</v>
      </c>
      <c r="L7" s="733">
        <v>7000</v>
      </c>
      <c r="M7" s="67">
        <f t="shared" si="0"/>
        <v>7312</v>
      </c>
      <c r="N7" s="731">
        <f>N6</f>
        <v>0.85</v>
      </c>
      <c r="O7" s="67" t="str">
        <f t="shared" ref="O7:O14" si="3">IF($N$5="成新度","——",ROUND(M7*N7,0))</f>
        <v>——</v>
      </c>
      <c r="P7" s="68" t="str">
        <f t="shared" ref="P7:P14" si="4">IF($N$5="成新度","——",M7-O7)</f>
        <v>——</v>
      </c>
      <c r="Q7" s="734">
        <f>Q6</f>
        <v>0.15</v>
      </c>
      <c r="R7" s="69">
        <f ca="1">SUMIF('数据-汇总表'!C$19:C$33,A7,'数据-汇总表'!R$19:R$27)</f>
        <v>9401.6</v>
      </c>
      <c r="S7" s="51">
        <f>IF('数据-汇总表'!$I$17="按面积比例",SUMIF('数据-汇总表'!C$19:C$33,A7,'数据-汇总表'!K$19:K$33),SUMIF('数据-汇总表'!C$19:C$33,A7,'数据-汇总表'!N$19:N$33))</f>
        <v>111.48</v>
      </c>
      <c r="T7" s="1172">
        <f t="shared" ref="T7:T13" si="5">ROUND($L$14*S7/10000,0)</f>
        <v>39</v>
      </c>
      <c r="U7" s="3430"/>
      <c r="V7" s="735"/>
      <c r="W7" s="735"/>
      <c r="X7" s="1040"/>
      <c r="Y7" s="71">
        <f>Y6</f>
        <v>0.85</v>
      </c>
      <c r="Z7" s="72"/>
      <c r="AA7" s="66"/>
      <c r="AB7" s="66"/>
      <c r="AC7" s="1040"/>
      <c r="AD7" s="73"/>
      <c r="AE7" s="1041">
        <f t="shared" ref="AE7:AE13" ca="1" si="6">IF(AN7="",0,SUMIF(INDIRECT("'"&amp;AN7&amp;"'"&amp;"!E:E"),$AE$5,INDIRECT("'"&amp;AN7&amp;"'"&amp;"!F:F")))</f>
        <v>0</v>
      </c>
      <c r="AF7" s="1347"/>
      <c r="AG7" s="138">
        <f t="shared" ref="AG7:AG13" si="7">IF(AF7="",0,AE7-AF7)</f>
        <v>0</v>
      </c>
      <c r="AH7" s="736"/>
      <c r="AI7" s="76"/>
      <c r="AJ7" s="77"/>
      <c r="AK7" s="737"/>
      <c r="AL7" s="738"/>
      <c r="AM7" s="739"/>
      <c r="AN7" s="1714" t="s">
        <v>3792</v>
      </c>
      <c r="AO7" s="52">
        <f t="shared" ref="AO7:AO13" ca="1" si="8">SUMIF(INDIRECT("'"&amp;AN7&amp;"'"&amp;"!A:A"),"总价",INDIRECT("'"&amp;AN7&amp;"'"&amp;"!B:B"))</f>
        <v>6291</v>
      </c>
      <c r="AP7" s="1715">
        <f t="shared" ref="AP7:AP13" si="9">IF(C7="住宅",K7*L7,0)</f>
        <v>0</v>
      </c>
      <c r="AQ7" s="52">
        <f t="shared" ref="AQ7:AQ13" si="10">ROUND($L$14*$N$14*S7/10000,0)</f>
        <v>33</v>
      </c>
      <c r="AR7" s="52">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739.64999999999986</v>
      </c>
      <c r="L14" s="82">
        <f>L6</f>
        <v>3500</v>
      </c>
      <c r="M14" s="67">
        <f t="shared" si="0"/>
        <v>259</v>
      </c>
      <c r="N14" s="83">
        <f>N6</f>
        <v>0.85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0.83899999999999997</v>
      </c>
      <c r="H16" s="90">
        <f>ROUND(SUMPRODUCT(H6:H13,K6:K13)/SUMPRODUCT((H6:H13&gt;0)*(K6:K13)),3)</f>
        <v>0.05</v>
      </c>
      <c r="I16" s="91"/>
      <c r="J16" s="91"/>
      <c r="K16" s="92">
        <f>SUM(K6:K15)</f>
        <v>70044.73</v>
      </c>
      <c r="L16" s="93">
        <f>ROUND(M16*10000/SUM(K6:K14),0)</f>
        <v>4022</v>
      </c>
      <c r="M16" s="93">
        <f>SUM(M6:M14)</f>
        <v>28172</v>
      </c>
      <c r="N16" s="94">
        <f>ROUND(SUMPRODUCT(M6:M14,N6:N14)/M16,3)</f>
        <v>0.85</v>
      </c>
      <c r="O16" s="93">
        <f>SUM(O6:O14)</f>
        <v>0</v>
      </c>
      <c r="P16" s="93">
        <f>SUM(P6:P14)</f>
        <v>0</v>
      </c>
      <c r="Q16" s="95">
        <f>ROUND(SUMPRODUCT(Q6:Q13,K6:K13)/SUMPRODUCT((Q6:Q13&gt;0)*(K6:K13)),2)</f>
        <v>0.15</v>
      </c>
      <c r="R16" s="1034">
        <f ca="1">SUM(R6:R13)</f>
        <v>62378.939999999995</v>
      </c>
      <c r="S16" s="96">
        <f>SUM(S6:S13)</f>
        <v>739.65</v>
      </c>
      <c r="T16" s="97">
        <f>IF(SUMIF(T6:T13,"&lt;9E307")=M14,SUMIF(T6:T13,"&lt;9E307"),"有误，请检查")</f>
        <v>259</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3469" t="s">
        <v>3744</v>
      </c>
      <c r="W18" s="2670">
        <f>'数据-汇总表'!F19</f>
        <v>41376.520000000004</v>
      </c>
      <c r="X18" s="2670">
        <v>3.6</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3469" t="s">
        <v>3745</v>
      </c>
      <c r="W19" s="2670">
        <f>'数据-汇总表'!G19</f>
        <v>17483.07</v>
      </c>
      <c r="X19" s="2670">
        <v>1.5</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f>W19+W18</f>
        <v>58859.590000000004</v>
      </c>
      <c r="X20" s="2670">
        <f>ROUND((W18*X18+W19*X19)/W20,1)</f>
        <v>3</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1401</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1.4999999999999999E-2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1.4999999999999999E-2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v>0</v>
      </c>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7" t="s">
        <v>2284</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47" sqref="H4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70044.73</v>
      </c>
      <c r="C1" s="2685"/>
      <c r="D1" s="2685"/>
      <c r="E1" s="2685"/>
      <c r="F1" s="2685"/>
      <c r="G1" s="2686"/>
      <c r="H1" s="2687"/>
      <c r="I1" s="2687"/>
      <c r="J1" s="2687"/>
      <c r="K1" s="2687"/>
    </row>
    <row r="2" spans="1:11" ht="16.5">
      <c r="A2" s="2511" t="s">
        <v>653</v>
      </c>
      <c r="B2" s="2511">
        <f>SUM(C14:C23)</f>
        <v>62378.94</v>
      </c>
      <c r="C2" s="2685"/>
      <c r="D2" s="2685"/>
      <c r="E2" s="2685"/>
      <c r="F2" s="2685"/>
      <c r="G2" s="2686"/>
      <c r="H2" s="2687"/>
      <c r="I2" s="2687"/>
      <c r="J2" s="2687"/>
      <c r="K2" s="2687"/>
    </row>
    <row r="3" spans="1:11" ht="16.5">
      <c r="A3" s="2511" t="s">
        <v>662</v>
      </c>
      <c r="B3" s="2513">
        <f>项目基本情况!D3</f>
        <v>44929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110218</v>
      </c>
      <c r="C5" s="2511">
        <f ca="1">IF(B5=D14,结果表!H102,ROUND(B5*10000/$B$1,0))</f>
        <v>15735</v>
      </c>
      <c r="D5" s="2511">
        <f ca="1">ROUND(B5*10000/$B$2,0)</f>
        <v>17669</v>
      </c>
      <c r="E5" s="2685"/>
      <c r="F5" s="2686"/>
      <c r="G5" s="2686"/>
      <c r="H5" s="2687"/>
      <c r="I5" s="2687"/>
      <c r="J5" s="2687"/>
      <c r="K5" s="2687"/>
    </row>
    <row r="6" spans="1:11" ht="16.5">
      <c r="A6" s="2511" t="s">
        <v>656</v>
      </c>
      <c r="B6" s="2511">
        <f ca="1">SUM(G14:G23)</f>
        <v>110218</v>
      </c>
      <c r="C6" s="2511">
        <f ca="1">IF(B6=G14,结果表!H108,ROUND(B6*10000/$B$1,0))</f>
        <v>15735</v>
      </c>
      <c r="D6" s="2511">
        <f ca="1">ROUND(B6*10000/$B$2,0)</f>
        <v>17669</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3365</v>
      </c>
      <c r="D10" s="2511" t="s">
        <v>3366</v>
      </c>
      <c r="E10" s="3442"/>
      <c r="F10" s="3446" t="s">
        <v>3367</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70044.73</v>
      </c>
      <c r="C14" s="2517">
        <f>结果表!C118</f>
        <v>62378.94</v>
      </c>
      <c r="D14" s="2517">
        <f ca="1">结果表!H118</f>
        <v>110218</v>
      </c>
      <c r="E14" s="2517">
        <f ca="1">ROUND(D14*10000/B14,0)</f>
        <v>15735</v>
      </c>
      <c r="F14" s="2517">
        <f ca="1">ROUND(D14*10000/C14,0)</f>
        <v>17669</v>
      </c>
      <c r="G14" s="2517">
        <f ca="1">结果表!D122</f>
        <v>110218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t="s">
        <v>3762</v>
      </c>
      <c r="H1" s="1749" t="str">
        <f>IF(G1="现房","——","估价对象范围")</f>
        <v>——</v>
      </c>
      <c r="I1" s="1750"/>
    </row>
    <row r="2" spans="1:12" ht="21.75" customHeight="1" thickBot="1">
      <c r="A2" s="3626" t="str">
        <f>项目基本情况!S2</f>
        <v>北京市昌平区生命园路20号院1号楼-1至4层101等8幢综合（研发）用房房地产</v>
      </c>
      <c r="B2" s="3627"/>
      <c r="C2" s="3627"/>
      <c r="D2" s="3627"/>
      <c r="E2" s="3627"/>
      <c r="F2" s="3627"/>
      <c r="G2" s="3627"/>
      <c r="H2" s="3627"/>
      <c r="I2" s="3628"/>
    </row>
    <row r="3" spans="1:12" ht="12.75">
      <c r="A3" s="3630" t="s">
        <v>1263</v>
      </c>
      <c r="B3" s="3631"/>
      <c r="C3" s="3631"/>
      <c r="D3" s="3631"/>
      <c r="E3" s="3631"/>
      <c r="F3" s="3631"/>
      <c r="G3" s="3631"/>
      <c r="H3" s="3631"/>
      <c r="I3" s="3631"/>
    </row>
    <row r="4" spans="1:12" ht="14.25">
      <c r="A4" s="1753" t="s">
        <v>1264</v>
      </c>
      <c r="B4" s="1754" t="s">
        <v>1265</v>
      </c>
      <c r="C4" s="1755" t="s">
        <v>3392</v>
      </c>
      <c r="D4" s="1755" t="s">
        <v>3393</v>
      </c>
      <c r="E4" s="3635" t="s">
        <v>1266</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1267</v>
      </c>
      <c r="B5" s="3629">
        <v>25</v>
      </c>
      <c r="C5" s="3632"/>
      <c r="D5" s="3620"/>
      <c r="E5" s="131" t="s">
        <v>1268</v>
      </c>
      <c r="F5" s="1756"/>
      <c r="G5" s="1756"/>
      <c r="H5" s="1756"/>
      <c r="I5" s="1372"/>
    </row>
    <row r="6" spans="1:12" ht="12.75">
      <c r="A6" s="3574"/>
      <c r="B6" s="3629"/>
      <c r="C6" s="3634"/>
      <c r="D6" s="3620"/>
      <c r="E6" s="131" t="s">
        <v>1269</v>
      </c>
      <c r="F6" s="1756"/>
      <c r="G6" s="1756"/>
      <c r="H6" s="1756"/>
      <c r="I6" s="1372"/>
    </row>
    <row r="7" spans="1:12" ht="12.75">
      <c r="A7" s="3574"/>
      <c r="B7" s="3629"/>
      <c r="C7" s="3633"/>
      <c r="D7" s="3620"/>
      <c r="E7" s="131" t="s">
        <v>1270</v>
      </c>
      <c r="F7" s="1756"/>
      <c r="G7" s="1756"/>
      <c r="H7" s="1756"/>
      <c r="I7" s="1372"/>
    </row>
    <row r="8" spans="1:12" ht="12.75">
      <c r="A8" s="3574" t="s">
        <v>1271</v>
      </c>
      <c r="B8" s="3629">
        <v>15</v>
      </c>
      <c r="C8" s="3632"/>
      <c r="D8" s="3620"/>
      <c r="E8" s="131" t="s">
        <v>1272</v>
      </c>
      <c r="F8" s="1756"/>
      <c r="G8" s="1756"/>
      <c r="H8" s="1756"/>
      <c r="I8" s="1372"/>
    </row>
    <row r="9" spans="1:12" ht="12.75">
      <c r="A9" s="3574"/>
      <c r="B9" s="3629"/>
      <c r="C9" s="3633"/>
      <c r="D9" s="3620"/>
      <c r="E9" s="131" t="s">
        <v>1273</v>
      </c>
      <c r="F9" s="1756"/>
      <c r="G9" s="1756"/>
      <c r="H9" s="1756"/>
      <c r="I9" s="1372"/>
    </row>
    <row r="10" spans="1:12" ht="12.75">
      <c r="A10" s="3574" t="s">
        <v>1274</v>
      </c>
      <c r="B10" s="3629">
        <v>15</v>
      </c>
      <c r="C10" s="3632"/>
      <c r="D10" s="3620"/>
      <c r="E10" s="131" t="s">
        <v>1275</v>
      </c>
      <c r="F10" s="1756"/>
      <c r="G10" s="1756"/>
      <c r="H10" s="1756"/>
      <c r="I10" s="1372"/>
    </row>
    <row r="11" spans="1:12" ht="12.75">
      <c r="A11" s="3574"/>
      <c r="B11" s="3629"/>
      <c r="C11" s="3633"/>
      <c r="D11" s="3620"/>
      <c r="E11" s="131" t="s">
        <v>1276</v>
      </c>
      <c r="F11" s="1756"/>
      <c r="G11" s="1756"/>
      <c r="H11" s="1756"/>
      <c r="I11" s="1372"/>
    </row>
    <row r="12" spans="1:12" ht="12.75">
      <c r="A12" s="3574" t="s">
        <v>1277</v>
      </c>
      <c r="B12" s="3629">
        <v>15</v>
      </c>
      <c r="C12" s="3632"/>
      <c r="D12" s="3620"/>
      <c r="E12" s="131" t="s">
        <v>1278</v>
      </c>
      <c r="F12" s="1756"/>
      <c r="G12" s="1756"/>
      <c r="H12" s="1756"/>
      <c r="I12" s="1372"/>
    </row>
    <row r="13" spans="1:12" ht="12.75">
      <c r="A13" s="3574"/>
      <c r="B13" s="3629"/>
      <c r="C13" s="3633"/>
      <c r="D13" s="3620"/>
      <c r="E13" s="131" t="s">
        <v>1279</v>
      </c>
      <c r="F13" s="1756"/>
      <c r="G13" s="1756"/>
      <c r="H13" s="1756"/>
      <c r="I13" s="1372"/>
    </row>
    <row r="14" spans="1:12" ht="12.75">
      <c r="A14" s="3574" t="s">
        <v>1280</v>
      </c>
      <c r="B14" s="3629">
        <v>30</v>
      </c>
      <c r="C14" s="3632">
        <v>4</v>
      </c>
      <c r="D14" s="3620">
        <v>6</v>
      </c>
      <c r="E14" s="131" t="s">
        <v>1281</v>
      </c>
      <c r="F14" s="1756"/>
      <c r="G14" s="1756"/>
      <c r="H14" s="1756"/>
      <c r="I14" s="1372"/>
    </row>
    <row r="15" spans="1:12" ht="12.75">
      <c r="A15" s="3574"/>
      <c r="B15" s="3629"/>
      <c r="C15" s="3634"/>
      <c r="D15" s="3620"/>
      <c r="E15" s="131" t="s">
        <v>1282</v>
      </c>
      <c r="F15" s="1756"/>
      <c r="G15" s="1756"/>
      <c r="H15" s="1756"/>
      <c r="I15" s="1372"/>
    </row>
    <row r="16" spans="1:12" ht="12.75">
      <c r="A16" s="3574"/>
      <c r="B16" s="3629"/>
      <c r="C16" s="3633"/>
      <c r="D16" s="3620"/>
      <c r="E16" s="131" t="s">
        <v>1283</v>
      </c>
      <c r="F16" s="1756"/>
      <c r="G16" s="1756"/>
      <c r="H16" s="1756"/>
      <c r="I16" s="1372"/>
    </row>
    <row r="17" spans="1:36" ht="15">
      <c r="A17" s="1757" t="s">
        <v>1284</v>
      </c>
      <c r="B17" s="56"/>
      <c r="C17" s="132">
        <f>SUM(C5:C16)</f>
        <v>4</v>
      </c>
      <c r="D17" s="132">
        <f>SUM(D5:D16)</f>
        <v>6</v>
      </c>
      <c r="E17" s="129"/>
      <c r="F17" s="129"/>
      <c r="G17" s="129"/>
      <c r="H17" s="129"/>
      <c r="I17" s="129"/>
      <c r="K17" s="302"/>
      <c r="L17" s="302" t="s">
        <v>1285</v>
      </c>
      <c r="M17" s="302" t="s">
        <v>1286</v>
      </c>
    </row>
    <row r="18" spans="1:36" ht="31.9" customHeight="1" thickBot="1">
      <c r="A18" s="1758" t="s">
        <v>1287</v>
      </c>
      <c r="B18" s="1759"/>
      <c r="C18" s="133">
        <f>ROUND(C17/SUM(C17:D17),2)</f>
        <v>0.4</v>
      </c>
      <c r="D18" s="133">
        <f>1-C18</f>
        <v>0.6</v>
      </c>
      <c r="E18" s="3651" t="s">
        <v>2129</v>
      </c>
      <c r="F18" s="3652"/>
      <c r="G18" s="3652"/>
      <c r="H18" s="3652"/>
      <c r="I18" s="3652"/>
      <c r="J18" s="3468" t="s">
        <v>3743</v>
      </c>
      <c r="K18" s="302" t="s">
        <v>1288</v>
      </c>
      <c r="L18" s="302">
        <f>IF(C1="",'数据-汇总表'!E3,SUMIF(项目类型,C1,'数据-汇总表'!E17:E26)+SUMIF(项目类型,C1,'数据-汇总表'!I17:I26))</f>
        <v>70044.73</v>
      </c>
      <c r="M18" s="302">
        <f>IF(C1="",'数据-汇总表'!E3,SUMIF(项目类型,C1,'数据-汇总表'!E17:E26))</f>
        <v>70044.73</v>
      </c>
    </row>
    <row r="19" spans="1:36" ht="15">
      <c r="A19" s="1760" t="s">
        <v>1289</v>
      </c>
      <c r="B19" s="1761" t="s">
        <v>1290</v>
      </c>
      <c r="C19" s="134">
        <f ca="1">SUMIF(INDIRECT("'"&amp;C4&amp;"'"&amp;"!A:A"),结果表!B19,INDIRECT("'"&amp;C4&amp;"'"&amp;"!B:B"))</f>
        <v>130349</v>
      </c>
      <c r="D19" s="135">
        <f ca="1">SUMIF(INDIRECT("'"&amp;D4&amp;"'"&amp;"!A:A"),结果表!B19,INDIRECT("'"&amp;D4&amp;"'"&amp;"!B:B"))</f>
        <v>96797</v>
      </c>
      <c r="E19" s="1760" t="s">
        <v>1291</v>
      </c>
      <c r="F19" s="1761" t="s">
        <v>1290</v>
      </c>
      <c r="G19" s="136">
        <f ca="1">ROUND(C19*$C$18+D19*$D$18,0)</f>
        <v>110218</v>
      </c>
      <c r="H19" s="1762" t="s">
        <v>1292</v>
      </c>
      <c r="I19" s="129"/>
      <c r="J19" s="3468">
        <v>223730</v>
      </c>
      <c r="K19" s="302" t="s">
        <v>1293</v>
      </c>
      <c r="L19" s="302">
        <f>IF(C1="",'数据-汇总表'!D3,SUMIF(项目类型,C1,'数据-汇总表'!D17:D26)+SUMIF(项目类型,C1,'数据-汇总表'!H17:H27))</f>
        <v>62378.94</v>
      </c>
      <c r="M19" s="302">
        <f>IF(C1="",'数据-汇总表'!D3,SUMIF(项目类型,C1,'数据-汇总表'!D17:D26))</f>
        <v>62378.94</v>
      </c>
    </row>
    <row r="20" spans="1:36" ht="15">
      <c r="A20" s="1763"/>
      <c r="B20" s="1026" t="s">
        <v>1294</v>
      </c>
      <c r="C20" s="137">
        <f ca="1">SUMIF(INDIRECT("'"&amp;C4&amp;"'"&amp;"!A:A"),结果表!B20,INDIRECT("'"&amp;C4&amp;"'"&amp;"!B:B"))</f>
        <v>18609</v>
      </c>
      <c r="D20" s="138">
        <f ca="1">SUMIF(INDIRECT("'"&amp;D4&amp;"'"&amp;"!A:A"),结果表!B20,INDIRECT("'"&amp;D4&amp;"'"&amp;"!B:B"))</f>
        <v>13819</v>
      </c>
      <c r="E20" s="1763"/>
      <c r="F20" s="1026" t="s">
        <v>1294</v>
      </c>
      <c r="G20" s="139">
        <f ca="1">ROUND(C20*$C$18+D20*$D$18,0)</f>
        <v>15735</v>
      </c>
      <c r="H20" s="808" t="s">
        <v>1295</v>
      </c>
      <c r="I20" s="129"/>
      <c r="J20" s="3468">
        <v>16968</v>
      </c>
    </row>
    <row r="21" spans="1:36" ht="15" customHeight="1" thickBot="1">
      <c r="A21" s="828"/>
      <c r="B21" s="1764" t="s">
        <v>1296</v>
      </c>
      <c r="C21" s="719">
        <f ca="1">ROUND(C19*10000/L19,0)</f>
        <v>20896</v>
      </c>
      <c r="D21" s="720">
        <f ca="1">ROUND(D19*10000/L19,0)</f>
        <v>15518</v>
      </c>
      <c r="E21" s="828"/>
      <c r="F21" s="1764" t="s">
        <v>1296</v>
      </c>
      <c r="G21" s="140">
        <f ca="1">ROUND(G19*10000/L19,0)</f>
        <v>17669</v>
      </c>
      <c r="H21" s="1765" t="s">
        <v>1295</v>
      </c>
      <c r="I21" s="129"/>
    </row>
    <row r="22" spans="1:36" ht="15" thickBot="1">
      <c r="A22" s="1687" t="s">
        <v>1297</v>
      </c>
      <c r="B22" s="1766"/>
      <c r="C22" s="1767"/>
      <c r="D22" s="721">
        <f ca="1">IF(C19&lt;D19,D19/C19-1,C19/D19-1)</f>
        <v>0.34662231267497967</v>
      </c>
      <c r="E22" s="129"/>
      <c r="F22" s="129"/>
      <c r="G22" s="129"/>
      <c r="H22" s="129"/>
      <c r="I22" s="129"/>
    </row>
    <row r="23" spans="1:36" ht="13.5" thickBot="1">
      <c r="A23" s="1746"/>
      <c r="B23" s="1746"/>
      <c r="C23" s="1746"/>
      <c r="D23" s="1746"/>
      <c r="E23" s="129"/>
      <c r="F23" s="129"/>
      <c r="G23" s="129"/>
      <c r="H23" s="129"/>
      <c r="I23" s="129"/>
    </row>
    <row r="24" spans="1:36" ht="14.25">
      <c r="A24" s="3644" t="s">
        <v>1298</v>
      </c>
      <c r="B24" s="1761" t="s">
        <v>1290</v>
      </c>
      <c r="C24" s="136">
        <f>IF(B30=0,0,D30)</f>
        <v>0</v>
      </c>
      <c r="D24" s="1768"/>
      <c r="E24" s="129"/>
      <c r="F24" s="129"/>
      <c r="G24" s="129"/>
      <c r="H24" s="129"/>
      <c r="I24" s="129"/>
    </row>
    <row r="25" spans="1:36" ht="14.25">
      <c r="A25" s="3645"/>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110218</v>
      </c>
      <c r="D32" s="1774" t="s">
        <v>3741</v>
      </c>
      <c r="E32" s="129"/>
      <c r="F32" s="129"/>
      <c r="G32" s="129"/>
      <c r="H32" s="129"/>
      <c r="I32" s="129"/>
    </row>
    <row r="33" spans="1:15" ht="15">
      <c r="A33" s="786" t="s">
        <v>1305</v>
      </c>
      <c r="B33" s="1775"/>
      <c r="C33" s="1776" t="s">
        <v>3742</v>
      </c>
      <c r="D33" s="1777" t="s">
        <v>3392</v>
      </c>
      <c r="E33" s="1778" t="s">
        <v>1306</v>
      </c>
      <c r="F33" s="1779" t="str">
        <f>IF(D32="楼面单价","取值（单价）","取值（总价）")</f>
        <v>取值（总价）</v>
      </c>
      <c r="G33" s="129"/>
      <c r="H33" s="129"/>
      <c r="I33" s="129"/>
    </row>
    <row r="34" spans="1:15" ht="15">
      <c r="A34" s="1780"/>
      <c r="B34" s="1781" t="s">
        <v>1307</v>
      </c>
      <c r="C34" s="148">
        <f ca="1">IF(C33="自定义",F34,C32-C35)</f>
        <v>80900</v>
      </c>
      <c r="D34" s="861">
        <f ca="1">IF(C33="自定义",ROUND(C34/C32,3),IF(C33="收益比率",SUMIF(INDIRECT("'"&amp;D33&amp;"'"&amp;"!b:b"),"土地收益比率",INDIRECT("'"&amp;D33&amp;"'"&amp;"!c:c")),SUMIF(INDIRECT("'"&amp;D33&amp;"'"&amp;"!b:b"),"土地成本比率",INDIRECT("'"&amp;D33&amp;"'"&amp;"!c:c"))))</f>
        <v>0.73399999999999999</v>
      </c>
      <c r="E34" s="1782" t="s">
        <v>1308</v>
      </c>
      <c r="F34" s="1329"/>
      <c r="G34" s="129"/>
      <c r="H34" s="129"/>
      <c r="I34" s="129"/>
    </row>
    <row r="35" spans="1:15" ht="15.75" thickBot="1">
      <c r="A35" s="1783"/>
      <c r="B35" s="1784" t="s">
        <v>1309</v>
      </c>
      <c r="C35" s="1170">
        <f ca="1">IF(C33="自定义",F35,ROUND(C32*D35,0))</f>
        <v>29318</v>
      </c>
      <c r="D35" s="1171">
        <f ca="1">IF(C33="自定义",ROUND(C35/C32,3),IF(C33="收益比率",SUMIF(INDIRECT("'"&amp;D33&amp;"'"&amp;"!b:b"),"建筑物收益比率",INDIRECT("'"&amp;D33&amp;"'"&amp;"!c:c")),SUMIF(INDIRECT("'"&amp;D33&amp;"'"&amp;"!b:b"),"建筑物成本比率",INDIRECT("'"&amp;D33&amp;"'"&amp;"!c:c"))))</f>
        <v>0.26600000000000001</v>
      </c>
      <c r="E35" s="1785" t="s">
        <v>1310</v>
      </c>
      <c r="F35" s="154"/>
      <c r="G35" s="129"/>
      <c r="H35" s="129"/>
      <c r="I35" s="129"/>
    </row>
    <row r="36" spans="1:15" ht="15.75" thickBot="1">
      <c r="A36" s="3621" t="s">
        <v>1311</v>
      </c>
      <c r="B36" s="1786" t="s">
        <v>1312</v>
      </c>
      <c r="C36" s="145"/>
      <c r="D36" s="1787"/>
      <c r="E36" s="1788"/>
      <c r="F36" s="1789"/>
      <c r="G36" s="129"/>
      <c r="H36" s="129"/>
      <c r="I36" s="129"/>
    </row>
    <row r="37" spans="1:15" ht="15.75" thickBot="1">
      <c r="A37" s="3622"/>
      <c r="B37" s="1673" t="s">
        <v>1313</v>
      </c>
      <c r="C37" s="147"/>
      <c r="D37" s="1139"/>
      <c r="E37" s="1139"/>
      <c r="F37" s="1789"/>
      <c r="G37" s="129"/>
      <c r="H37" s="129"/>
      <c r="I37" s="129"/>
    </row>
    <row r="38" spans="1:15" ht="15.75" thickBot="1">
      <c r="A38" s="3623"/>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41" t="s">
        <v>1325</v>
      </c>
      <c r="B45" s="3642"/>
      <c r="C45" s="3643"/>
      <c r="D45" s="155">
        <f ca="1">ROUND(H101*F45,0)</f>
        <v>110218</v>
      </c>
      <c r="E45" s="156" t="s">
        <v>1326</v>
      </c>
      <c r="F45" s="157">
        <v>1</v>
      </c>
      <c r="G45" s="158" t="s">
        <v>1327</v>
      </c>
      <c r="H45" s="129"/>
      <c r="I45" s="129"/>
      <c r="J45" s="3561" t="s">
        <v>1328</v>
      </c>
      <c r="K45" s="3561"/>
      <c r="L45" s="3561"/>
      <c r="M45" s="3561"/>
      <c r="N45" s="3561"/>
      <c r="O45" s="3561"/>
    </row>
    <row r="46" spans="1:15" ht="14.25" customHeight="1">
      <c r="A46" s="3638" t="s">
        <v>1329</v>
      </c>
      <c r="B46" s="3639"/>
      <c r="C46" s="3639"/>
      <c r="D46" s="3639"/>
      <c r="E46" s="3639"/>
      <c r="F46" s="3639"/>
      <c r="G46" s="3640"/>
      <c r="H46" s="1805"/>
      <c r="I46" s="159"/>
      <c r="J46" s="2522">
        <v>1</v>
      </c>
      <c r="K46" s="3562" t="s">
        <v>1330</v>
      </c>
      <c r="L46" s="3562"/>
      <c r="M46" s="3563"/>
      <c r="N46" s="3563"/>
      <c r="O46" s="3563"/>
    </row>
    <row r="47" spans="1:15" ht="12" customHeight="1">
      <c r="A47" s="160" t="s">
        <v>1331</v>
      </c>
      <c r="B47" s="161"/>
      <c r="C47" s="162"/>
      <c r="D47" s="1087" t="s">
        <v>1332</v>
      </c>
      <c r="E47" s="302" t="s">
        <v>1333</v>
      </c>
      <c r="F47" s="163" t="s">
        <v>1334</v>
      </c>
      <c r="G47" s="2545" t="s">
        <v>1335</v>
      </c>
      <c r="H47" s="2546"/>
      <c r="I47" s="159"/>
      <c r="J47" s="2522">
        <v>2</v>
      </c>
      <c r="K47" s="3562" t="s">
        <v>1336</v>
      </c>
      <c r="L47" s="3562"/>
      <c r="M47" s="3564">
        <f>'数据-取费表'!B2</f>
        <v>44929</v>
      </c>
      <c r="N47" s="3564"/>
      <c r="O47" s="3564"/>
    </row>
    <row r="48" spans="1:15" ht="25.5">
      <c r="A48" s="3624" t="s">
        <v>1337</v>
      </c>
      <c r="B48" s="3625"/>
      <c r="C48" s="3625"/>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562" t="s">
        <v>1339</v>
      </c>
      <c r="L48" s="3562"/>
      <c r="M48" s="3565">
        <f ca="1">H101</f>
        <v>110218</v>
      </c>
      <c r="N48" s="3565"/>
      <c r="O48" s="3565"/>
    </row>
    <row r="49" spans="1:35" ht="25.5" customHeight="1">
      <c r="A49" s="2332" t="s">
        <v>1340</v>
      </c>
      <c r="B49" s="3610" t="s">
        <v>1341</v>
      </c>
      <c r="C49" s="3610"/>
      <c r="D49" s="1589">
        <v>0</v>
      </c>
      <c r="E49" s="324" t="s">
        <v>1342</v>
      </c>
      <c r="F49" s="2423" t="s">
        <v>28</v>
      </c>
      <c r="G49" s="3593"/>
      <c r="H49" s="2309" t="s">
        <v>2132</v>
      </c>
      <c r="I49" s="2310"/>
      <c r="J49" s="2522">
        <v>4</v>
      </c>
      <c r="K49" s="3562" t="str">
        <f>IF(项目基本情况!E8="房地产抵押价值","房地产抵押价值","抵押担保权已注销时的房地产抵押价值")</f>
        <v>房地产抵押价值</v>
      </c>
      <c r="L49" s="3562"/>
      <c r="M49" s="3565">
        <f ca="1">IF(项目基本情况!E8="房地产抵押价值",H107,H109)</f>
        <v>110218</v>
      </c>
      <c r="N49" s="3565"/>
      <c r="O49" s="3565"/>
    </row>
    <row r="50" spans="1:35" ht="25.5" customHeight="1">
      <c r="A50" s="2550"/>
      <c r="B50" s="3610" t="s">
        <v>1343</v>
      </c>
      <c r="C50" s="3610"/>
      <c r="D50" s="2551"/>
      <c r="E50" s="332"/>
      <c r="F50" s="2423"/>
      <c r="G50" s="3594"/>
      <c r="H50" s="2311" t="s">
        <v>2133</v>
      </c>
      <c r="I50" s="2310"/>
      <c r="J50" s="3561" t="s">
        <v>1344</v>
      </c>
      <c r="K50" s="3561"/>
      <c r="L50" s="3561"/>
      <c r="M50" s="3561"/>
      <c r="N50" s="3561"/>
      <c r="O50" s="3561"/>
    </row>
    <row r="51" spans="1:35" ht="20.45" customHeight="1">
      <c r="A51" s="2552"/>
      <c r="B51" s="3610" t="s">
        <v>1345</v>
      </c>
      <c r="C51" s="3610"/>
      <c r="D51" s="1087"/>
      <c r="E51" s="327"/>
      <c r="F51" s="2423"/>
      <c r="G51" s="3595"/>
      <c r="H51" s="2311" t="s">
        <v>2134</v>
      </c>
      <c r="I51" s="2310"/>
      <c r="J51" s="2523" t="s">
        <v>1346</v>
      </c>
      <c r="K51" s="3562" t="s">
        <v>1347</v>
      </c>
      <c r="L51" s="3562"/>
      <c r="M51" s="2523" t="s">
        <v>1348</v>
      </c>
      <c r="N51" s="2523" t="s">
        <v>1349</v>
      </c>
      <c r="O51" s="2523" t="s">
        <v>1350</v>
      </c>
    </row>
    <row r="52" spans="1:35" ht="24" customHeight="1">
      <c r="A52" s="2334" t="s">
        <v>1351</v>
      </c>
      <c r="B52" s="3610" t="s">
        <v>1352</v>
      </c>
      <c r="C52" s="3610"/>
      <c r="D52" s="1087">
        <f ca="1">ROUND(D45*'数据-取费表'!B41/(1+'数据-取费表'!C42),0)</f>
        <v>5773</v>
      </c>
      <c r="E52" s="2333" t="s">
        <v>1353</v>
      </c>
      <c r="F52" s="2553">
        <f>'数据-取费表'!B41</f>
        <v>5.5000000000000007E-2</v>
      </c>
      <c r="G52" s="2554"/>
      <c r="H52" s="2543"/>
      <c r="I52" s="1806"/>
      <c r="J52" s="2522">
        <v>1</v>
      </c>
      <c r="K52" s="3587" t="s">
        <v>1354</v>
      </c>
      <c r="L52" s="3587"/>
      <c r="M52" s="2524" t="b">
        <f>D48</f>
        <v>0</v>
      </c>
      <c r="N52" s="2522" t="str">
        <f>E48</f>
        <v>销售额×税（费）率</v>
      </c>
      <c r="O52" s="2525">
        <f>F48</f>
        <v>5.5000000000000007E-2</v>
      </c>
    </row>
    <row r="53" spans="1:35" ht="12" customHeight="1">
      <c r="A53" s="2334" t="s">
        <v>1355</v>
      </c>
      <c r="B53" s="3611" t="s">
        <v>2289</v>
      </c>
      <c r="C53" s="3612"/>
      <c r="D53" s="1087">
        <f ca="1">ROUND(D45*'数据-取费表'!B41/(1+'数据-取费表'!C42),0)</f>
        <v>5773</v>
      </c>
      <c r="E53" s="2333" t="s">
        <v>1353</v>
      </c>
      <c r="F53" s="2553">
        <f>'数据-取费表'!B41</f>
        <v>5.5000000000000007E-2</v>
      </c>
      <c r="G53" s="2554"/>
      <c r="H53" s="2543"/>
      <c r="I53" s="1806"/>
      <c r="J53" s="2522">
        <v>2</v>
      </c>
      <c r="K53" s="3587" t="s">
        <v>1356</v>
      </c>
      <c r="L53" s="3587"/>
      <c r="M53" s="2524">
        <f t="shared" ref="M53:O54" ca="1" si="0">D55</f>
        <v>55</v>
      </c>
      <c r="N53" s="2522" t="str">
        <f t="shared" si="0"/>
        <v>销售额×税（费）率</v>
      </c>
      <c r="O53" s="2525" t="str">
        <f t="shared" si="0"/>
        <v>免征</v>
      </c>
    </row>
    <row r="54" spans="1:35" ht="12" customHeight="1">
      <c r="A54" s="2334" t="s">
        <v>1357</v>
      </c>
      <c r="B54" s="3611" t="s">
        <v>2290</v>
      </c>
      <c r="C54" s="3612"/>
      <c r="D54" s="1087">
        <f ca="1">C68</f>
        <v>5773</v>
      </c>
      <c r="E54" s="327" t="s">
        <v>1358</v>
      </c>
      <c r="F54" s="2553">
        <f>'数据-取费表'!B41</f>
        <v>5.5000000000000007E-2</v>
      </c>
      <c r="G54" s="2554"/>
      <c r="H54" s="2555"/>
      <c r="I54" s="1806"/>
      <c r="J54" s="2522">
        <v>3</v>
      </c>
      <c r="K54" s="3587" t="s">
        <v>1359</v>
      </c>
      <c r="L54" s="3587"/>
      <c r="M54" s="2524">
        <f t="shared" ca="1" si="0"/>
        <v>62483</v>
      </c>
      <c r="N54" s="2522" t="str">
        <f t="shared" si="0"/>
        <v>增值额×税（费）率</v>
      </c>
      <c r="O54" s="2526" t="str">
        <f t="shared" si="0"/>
        <v>免征</v>
      </c>
    </row>
    <row r="55" spans="1:35" ht="24" customHeight="1">
      <c r="A55" s="3647" t="s">
        <v>1360</v>
      </c>
      <c r="B55" s="3625"/>
      <c r="C55" s="3625"/>
      <c r="D55" s="2323">
        <f ca="1">IF(H55="个人住宅",0,ROUND(D45*I55,0))</f>
        <v>55</v>
      </c>
      <c r="E55" s="2333" t="s">
        <v>1361</v>
      </c>
      <c r="F55" s="2553" t="str">
        <f>IF(H55="正常",I55,"免征")</f>
        <v>免征</v>
      </c>
      <c r="G55" s="2554"/>
      <c r="H55" s="2549"/>
      <c r="I55" s="165">
        <f>'数据-取费表'!B49</f>
        <v>5.0000000000000001E-4</v>
      </c>
      <c r="J55" s="2522">
        <f>IF(H59="非个人房产","",4)</f>
        <v>4</v>
      </c>
      <c r="K55" s="3587" t="str">
        <f>IF(H59="非个人房产","——","个人所得税")</f>
        <v>个人所得税</v>
      </c>
      <c r="L55" s="3587"/>
      <c r="M55" s="2527">
        <f ca="1">D59</f>
        <v>1050</v>
      </c>
      <c r="N55" s="2039" t="str">
        <f>E59</f>
        <v>差额计税</v>
      </c>
      <c r="O55" s="2528">
        <f>F59</f>
        <v>0.01</v>
      </c>
    </row>
    <row r="56" spans="1:35" ht="24.75">
      <c r="A56" s="3647" t="s">
        <v>1362</v>
      </c>
      <c r="B56" s="3625"/>
      <c r="C56" s="3625"/>
      <c r="D56" s="2323">
        <f ca="1">IF(H56="个人住宅",D57,D58)</f>
        <v>62483</v>
      </c>
      <c r="E56" s="2333" t="s">
        <v>1363</v>
      </c>
      <c r="F56" s="2553" t="str">
        <f>IF(H56="正常",F58,"免征")</f>
        <v>免征</v>
      </c>
      <c r="G56" s="2556" t="s">
        <v>1364</v>
      </c>
      <c r="H56" s="2557"/>
      <c r="I56" s="1807"/>
      <c r="J56" s="2522" t="str">
        <f>IF(项目基本情况!K6="上海银行",IF(J55="",4,J55+1),"")</f>
        <v/>
      </c>
      <c r="K56" s="3568" t="str">
        <f>IF(项目基本情况!K6="上海银行","其他处置费用","")</f>
        <v/>
      </c>
      <c r="L56" s="3569"/>
      <c r="M56" s="2524" t="str">
        <f>IF(项目基本情况!K6="上海银行",M69,"")</f>
        <v/>
      </c>
      <c r="N56" s="3568" t="str">
        <f>IF(项目基本情况!K6="上海银行","包含处置中涉及的律师、诉讼、拍卖、评估等费用","")</f>
        <v/>
      </c>
      <c r="O56" s="3571"/>
    </row>
    <row r="57" spans="1:35" ht="12.75">
      <c r="A57" s="2334" t="s">
        <v>1340</v>
      </c>
      <c r="B57" s="3611" t="s">
        <v>1365</v>
      </c>
      <c r="C57" s="3612"/>
      <c r="D57" s="1589">
        <v>0</v>
      </c>
      <c r="E57" s="324" t="s">
        <v>1342</v>
      </c>
      <c r="F57" s="302"/>
      <c r="G57" s="2554"/>
      <c r="H57" s="2558"/>
      <c r="I57" s="1807"/>
      <c r="J57" s="3587">
        <f>IF(AND(J55="",J56=""),4,IF(项目基本情况!K6="上海银行",结果表!J56+1,结果表!J55+1))</f>
        <v>5</v>
      </c>
      <c r="K57" s="3587" t="s">
        <v>1366</v>
      </c>
      <c r="L57" s="2529" t="s">
        <v>1367</v>
      </c>
      <c r="M57" s="2530"/>
      <c r="N57" s="2531">
        <f ca="1">SUMIF(M52:M56,"&lt;9e307")</f>
        <v>63588</v>
      </c>
      <c r="O57" s="2532"/>
      <c r="P57" s="2689">
        <f ca="1">N57/M49</f>
        <v>0.57692935818105939</v>
      </c>
    </row>
    <row r="58" spans="1:35" ht="24.75">
      <c r="A58" s="2334" t="s">
        <v>1351</v>
      </c>
      <c r="B58" s="3611" t="s">
        <v>1368</v>
      </c>
      <c r="C58" s="3610"/>
      <c r="D58" s="2323">
        <f ca="1">IF(H58="转让取得",C81,C97)</f>
        <v>62483</v>
      </c>
      <c r="E58" s="2333" t="s">
        <v>1363</v>
      </c>
      <c r="F58" s="302" t="s">
        <v>28</v>
      </c>
      <c r="G58" s="2554"/>
      <c r="H58" s="2557"/>
      <c r="I58" s="1807"/>
      <c r="J58" s="3587"/>
      <c r="K58" s="3587"/>
      <c r="L58" s="2529" t="s">
        <v>1369</v>
      </c>
      <c r="M58" s="2533"/>
      <c r="N58" s="2534" t="str">
        <f ca="1">NUMBERSTRING(INT(N57*10000),2)&amp;"元整"</f>
        <v>陆亿叁仟伍佰捌拾捌万元整</v>
      </c>
      <c r="O58" s="2535"/>
    </row>
    <row r="59" spans="1:35" ht="24.75" thickBot="1">
      <c r="A59" s="3591" t="s">
        <v>1370</v>
      </c>
      <c r="B59" s="3592"/>
      <c r="C59" s="3592"/>
      <c r="D59" s="2559">
        <f ca="1">IF(H59="非个人房产","——",IF(H59="个人住宅（满五唯一有凭证）",0,IF(H59="个人其他（无凭证）",ROUND(D45*F59,0),ROUND(C67*F59,0))))</f>
        <v>1050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589">
        <f>J57+1</f>
        <v>6</v>
      </c>
      <c r="K59" s="3587" t="s">
        <v>1371</v>
      </c>
      <c r="L59" s="2522" t="s">
        <v>1367</v>
      </c>
      <c r="M59" s="2536"/>
      <c r="N59" s="2537">
        <f ca="1">M49-N57</f>
        <v>46630</v>
      </c>
      <c r="O59" s="2538"/>
    </row>
    <row r="60" spans="1:35" ht="12" customHeight="1">
      <c r="A60" s="1808"/>
      <c r="B60" s="1746"/>
      <c r="C60" s="1746"/>
      <c r="D60" s="1746"/>
      <c r="E60" s="1577"/>
      <c r="F60" s="1807"/>
      <c r="G60" s="1807"/>
      <c r="H60" s="1809"/>
      <c r="I60" s="129"/>
      <c r="J60" s="3590"/>
      <c r="K60" s="3587"/>
      <c r="L60" s="2529" t="s">
        <v>1369</v>
      </c>
      <c r="M60" s="2533"/>
      <c r="N60" s="2534" t="str">
        <f ca="1">NUMBERSTRING(INT(N59*10000),2)&amp;"元整"</f>
        <v>肆亿陆仟陆佰叁拾万元整</v>
      </c>
      <c r="O60" s="2535"/>
    </row>
    <row r="61" spans="1:35" ht="13.5" thickBot="1">
      <c r="A61" s="3646" t="s">
        <v>1372</v>
      </c>
      <c r="B61" s="3646"/>
      <c r="C61" s="3646"/>
      <c r="D61" s="3646"/>
      <c r="E61" s="3646"/>
      <c r="F61" s="1807"/>
      <c r="G61" s="1807"/>
      <c r="H61" s="1809"/>
      <c r="I61" s="129"/>
      <c r="J61" s="2522">
        <f>J59+1</f>
        <v>7</v>
      </c>
      <c r="K61" s="3587" t="s">
        <v>1373</v>
      </c>
      <c r="L61" s="3587"/>
      <c r="M61" s="2539"/>
      <c r="N61" s="2540">
        <f ca="1">ROUND(N59*10000/'数据-汇总表'!E3,0)</f>
        <v>6657</v>
      </c>
      <c r="O61" s="2541"/>
    </row>
    <row r="62" spans="1:35" ht="12.75">
      <c r="A62" s="3606" t="s">
        <v>1374</v>
      </c>
      <c r="B62" s="3607"/>
      <c r="C62" s="2020"/>
      <c r="D62" s="2020" t="s">
        <v>1375</v>
      </c>
      <c r="E62" s="166" t="s">
        <v>1376</v>
      </c>
      <c r="F62" s="1807"/>
      <c r="G62" s="1807"/>
      <c r="H62" s="1809"/>
      <c r="I62" s="129"/>
    </row>
    <row r="63" spans="1:35" ht="12.75">
      <c r="A63" s="173" t="s">
        <v>330</v>
      </c>
      <c r="B63" s="167" t="s">
        <v>1377</v>
      </c>
      <c r="C63" s="2563">
        <f ca="1">ROUND((C64+C65)/(1+'数据-取费表'!C42),0)</f>
        <v>104970</v>
      </c>
      <c r="D63" s="167"/>
      <c r="E63" s="168"/>
      <c r="F63" s="1807"/>
      <c r="G63" s="1807"/>
      <c r="H63" s="1809"/>
      <c r="I63" s="129"/>
      <c r="J63" s="3570" t="s">
        <v>1378</v>
      </c>
      <c r="K63" s="1331" t="s">
        <v>1379</v>
      </c>
      <c r="L63" s="1331">
        <f ca="1">IF(M49&gt;10000,M49*0.5%,IF(AND(M49&gt;1000,M49&lt;=10000),M49*1%,IF(AND(M49&gt;100,M49&lt;=1000),M49*3%,IF(AND(M49&gt;10,M49&lt;=100),M49*5%,M49*8%))))</f>
        <v>551.09</v>
      </c>
      <c r="M63" s="302">
        <f ca="1">ROUND(L63,1)</f>
        <v>551.1</v>
      </c>
      <c r="N63" s="2542"/>
      <c r="Z63" s="1751"/>
      <c r="AI63" s="1752"/>
    </row>
    <row r="64" spans="1:35" ht="14.25" customHeight="1">
      <c r="A64" s="169" t="s">
        <v>325</v>
      </c>
      <c r="B64" s="170" t="s">
        <v>1380</v>
      </c>
      <c r="C64" s="2564">
        <f ca="1">D45</f>
        <v>110218</v>
      </c>
      <c r="D64" s="170" t="s">
        <v>26</v>
      </c>
      <c r="E64" s="172"/>
      <c r="F64" s="1807"/>
      <c r="G64" s="1807"/>
      <c r="H64" s="1809"/>
      <c r="I64" s="129"/>
      <c r="J64" s="3570"/>
      <c r="K64" s="1331" t="s">
        <v>1381</v>
      </c>
      <c r="L64" s="1331">
        <f ca="1">IF(M49&gt;2000,M49*0.5%,IF(AND(M49&gt;1000,M49&lt;=2000),M49*0.6%,IF(AND(M49&gt;500,M49&lt;=1000),M49*0.7%,IF(AND(M49&gt;200,M49&lt;=500),M49*0.8%,IF(AND(M49&gt;100,M49&lt;=200),M49*0.9%,IF(AND(M49&gt;50,M49&lt;=100),M49*1%,IF(AND(M49&gt;20,M49&lt;=50),M49*1.5%,IF(AND(M49&gt;10,M49&lt;=20),M49*2%,IF(AND(M49&gt;1,M49&lt;=10),M49*2.5%)))))))))</f>
        <v>551.09</v>
      </c>
      <c r="M64" s="302">
        <f t="shared" ref="M64:M65" ca="1" si="1">ROUND(L64,1)</f>
        <v>551.1</v>
      </c>
      <c r="N64" s="2543" t="s">
        <v>1382</v>
      </c>
      <c r="Z64" s="1751"/>
      <c r="AI64" s="1752"/>
    </row>
    <row r="65" spans="1:35" ht="14.25" customHeight="1">
      <c r="A65" s="169" t="s">
        <v>326</v>
      </c>
      <c r="B65" s="170" t="s">
        <v>1383</v>
      </c>
      <c r="C65" s="2565"/>
      <c r="D65" s="170"/>
      <c r="E65" s="172"/>
      <c r="F65" s="1807"/>
      <c r="G65" s="1807"/>
      <c r="H65" s="1809"/>
      <c r="I65" s="129"/>
      <c r="J65" s="3570"/>
      <c r="K65" s="1331" t="s">
        <v>1384</v>
      </c>
      <c r="L65" s="1331">
        <f ca="1">IF(M49&gt;1000,M49*0.1%,IF(AND(M49&gt;500,M49&lt;=1000),M49*0.5%,IF(AND(M49&gt;50,M49&lt;=500),M49*1%,IF(AND(M49&gt;1,M49&lt;=50),M49*1.5%))))</f>
        <v>110.218</v>
      </c>
      <c r="M65" s="302">
        <f t="shared" ca="1" si="1"/>
        <v>110.2</v>
      </c>
      <c r="N65" s="2543" t="s">
        <v>1382</v>
      </c>
      <c r="Z65" s="1751"/>
      <c r="AI65" s="1752"/>
    </row>
    <row r="66" spans="1:35" ht="14.25" customHeight="1">
      <c r="A66" s="173" t="s">
        <v>327</v>
      </c>
      <c r="B66" s="174" t="s">
        <v>1385</v>
      </c>
      <c r="C66" s="2566"/>
      <c r="D66" s="174" t="s">
        <v>26</v>
      </c>
      <c r="E66" s="1337" t="s">
        <v>671</v>
      </c>
      <c r="F66" s="1807"/>
      <c r="G66" s="1807"/>
      <c r="H66" s="1809"/>
      <c r="I66" s="129"/>
      <c r="J66" s="3570"/>
      <c r="K66" s="1331" t="s">
        <v>1386</v>
      </c>
      <c r="L66" s="1331">
        <f ca="1">M49*0.5%</f>
        <v>551.09</v>
      </c>
      <c r="M66" s="302">
        <f ca="1">IF(L66&gt;0.5,0.5,ROUND(L66,0))</f>
        <v>0.5</v>
      </c>
      <c r="N66" s="2543" t="s">
        <v>1387</v>
      </c>
      <c r="Z66" s="1751"/>
      <c r="AI66" s="1752"/>
    </row>
    <row r="67" spans="1:35" ht="14.25" customHeight="1">
      <c r="A67" s="173" t="s">
        <v>328</v>
      </c>
      <c r="B67" s="174" t="s">
        <v>1388</v>
      </c>
      <c r="C67" s="2567">
        <f ca="1">C63-C66</f>
        <v>104970</v>
      </c>
      <c r="D67" s="170" t="s">
        <v>26</v>
      </c>
      <c r="E67" s="172"/>
      <c r="F67" s="1807"/>
      <c r="G67" s="1807"/>
      <c r="H67" s="1809"/>
      <c r="I67" s="129"/>
      <c r="J67" s="3570"/>
      <c r="K67" s="1331" t="s">
        <v>1389</v>
      </c>
      <c r="L67" s="1331">
        <f ca="1">IF(M49&gt;=10000,(8.25+(M49-10000)*0.01%),IF(AND(M49&gt;=8000,M49&lt;10000),(7.85+(M49-8000)*0.02%),IF(AND(M49&gt;=5000,M49&lt;8000),(6.65+(M49-5000)*0.04%),IF(AND(M49&gt;=2000,M49&lt;5000),(4.25+(PM49-2000)*0.08%),IF(AND(M49&gt;=1000,M49&lt;2000),(2.75+(M49-1000)*0.15%),IF(AND(M49&gt;=100,M49&lt;1000),(0.5+(M49-100)*0.25%),IF(AND(M49&gt;0,M49&lt;100),M49*0.5%)))))))</f>
        <v>18.271799999999999</v>
      </c>
      <c r="M67" s="302">
        <f ca="1">ROUND(L67*0.9,1)</f>
        <v>16.399999999999999</v>
      </c>
      <c r="N67" s="2542"/>
      <c r="Z67" s="1751"/>
      <c r="AI67" s="1752"/>
    </row>
    <row r="68" spans="1:35" ht="14.25" customHeight="1" thickBot="1">
      <c r="A68" s="176" t="s">
        <v>329</v>
      </c>
      <c r="B68" s="177" t="s">
        <v>1390</v>
      </c>
      <c r="C68" s="2568">
        <f ca="1">IF(C67&lt;=0,0,ROUND(C67*D68,0))</f>
        <v>5773</v>
      </c>
      <c r="D68" s="2569">
        <f>'数据-取费表'!B41</f>
        <v>5.5000000000000007E-2</v>
      </c>
      <c r="E68" s="178"/>
      <c r="F68" s="1807"/>
      <c r="G68" s="1807"/>
      <c r="H68" s="1809"/>
      <c r="I68" s="129"/>
      <c r="J68" s="3570"/>
      <c r="K68" s="1331" t="s">
        <v>1391</v>
      </c>
      <c r="L68" s="1331">
        <f ca="1">IF(M49&gt;10000,M49*0.5%,IF(AND(M49&gt;5000,M49&lt;=10000),M49*1%,IF(AND(M49&gt;1000,M49&lt;=5000),M49*2%,IF(AND(M49&gt;200,M49&lt;=1000),M49*3%,M49*5%))))</f>
        <v>551.09</v>
      </c>
      <c r="M68" s="302">
        <f ca="1">ROUND(L68,1)</f>
        <v>551.1</v>
      </c>
      <c r="N68" s="2542"/>
      <c r="Z68" s="1751"/>
      <c r="AI68" s="1752"/>
    </row>
    <row r="69" spans="1:35" s="1771" customFormat="1" ht="16.5" customHeight="1">
      <c r="A69" s="1810"/>
      <c r="B69" s="1811"/>
      <c r="C69" s="1812"/>
      <c r="D69" s="1813"/>
      <c r="E69" s="1814"/>
      <c r="F69" s="1577"/>
      <c r="G69" s="1577"/>
      <c r="H69" s="1576"/>
      <c r="I69" s="1746"/>
      <c r="J69" s="3570"/>
      <c r="K69" s="1331" t="s">
        <v>1392</v>
      </c>
      <c r="L69" s="1331"/>
      <c r="M69" s="302">
        <f ca="1">ROUND(SUM(M63:M68),0)</f>
        <v>1780</v>
      </c>
      <c r="N69" s="2544">
        <f ca="1">M69/M49</f>
        <v>1.6149812190386324E-2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1393</v>
      </c>
      <c r="B70" s="3615"/>
      <c r="C70" s="3615"/>
      <c r="D70" s="3615"/>
      <c r="E70" s="3615"/>
      <c r="F70" s="3615"/>
      <c r="G70" s="3615"/>
      <c r="H70" s="361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6" t="s">
        <v>1374</v>
      </c>
      <c r="B71" s="3607"/>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104970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525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611" t="s">
        <v>1401</v>
      </c>
      <c r="F76" s="3610"/>
      <c r="G76" s="3610"/>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525</v>
      </c>
      <c r="D78" s="2576">
        <f>'数据-取费表'!B43</f>
        <v>5.000000000000001E-3</v>
      </c>
      <c r="E78" s="3603" t="s">
        <v>1405</v>
      </c>
      <c r="F78" s="3604"/>
      <c r="G78" s="3604"/>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104445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198.94285714285715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62483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4" t="s">
        <v>1409</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6" t="s">
        <v>1374</v>
      </c>
      <c r="B84" s="3607"/>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104970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525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572" t="s">
        <v>2127</v>
      </c>
      <c r="H90" s="3573"/>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603" t="s">
        <v>1418</v>
      </c>
      <c r="F91" s="3604"/>
      <c r="G91" s="360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603" t="s">
        <v>1421</v>
      </c>
      <c r="F92" s="3604"/>
      <c r="G92" s="3604"/>
      <c r="H92" s="3605"/>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525</v>
      </c>
      <c r="D93" s="2576">
        <f>'数据-取费表'!B43</f>
        <v>5.000000000000001E-3</v>
      </c>
      <c r="E93" s="3603" t="s">
        <v>1405</v>
      </c>
      <c r="F93" s="3604"/>
      <c r="G93" s="3604"/>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648" t="s">
        <v>1425</v>
      </c>
      <c r="F94" s="3649"/>
      <c r="G94" s="3649"/>
      <c r="H94" s="365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104445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198.94285714285715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62483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53" t="s">
        <v>1427</v>
      </c>
      <c r="B100" s="3554"/>
      <c r="C100" s="3554"/>
      <c r="D100" s="3588"/>
      <c r="E100" s="3554" t="s">
        <v>1428</v>
      </c>
      <c r="F100" s="3554"/>
      <c r="G100" s="3554"/>
      <c r="H100" s="3588"/>
      <c r="I100" s="129"/>
    </row>
    <row r="101" spans="1:35" ht="18.75" customHeight="1">
      <c r="A101" s="3596" t="s">
        <v>1429</v>
      </c>
      <c r="B101" s="3597"/>
      <c r="C101" s="2584" t="str">
        <f>C4</f>
        <v>成本法</v>
      </c>
      <c r="D101" s="2585" t="str">
        <f>D4</f>
        <v>收益法（汇总）</v>
      </c>
      <c r="E101" s="3566" t="s">
        <v>1430</v>
      </c>
      <c r="F101" s="3567"/>
      <c r="G101" s="1826" t="s">
        <v>1431</v>
      </c>
      <c r="H101" s="2594">
        <f ca="1">H118</f>
        <v>110218</v>
      </c>
      <c r="I101" s="129"/>
    </row>
    <row r="102" spans="1:35" ht="18.75" customHeight="1">
      <c r="A102" s="3598" t="s">
        <v>1432</v>
      </c>
      <c r="B102" s="2583" t="s">
        <v>1431</v>
      </c>
      <c r="C102" s="2584">
        <f ca="1">IF(D32="楼面单价",ROUND(C19,0),C19)</f>
        <v>130349</v>
      </c>
      <c r="D102" s="2585">
        <f ca="1">IF(D32="楼面单价",ROUND(D19,0),D19)</f>
        <v>96797</v>
      </c>
      <c r="E102" s="3566"/>
      <c r="F102" s="3567"/>
      <c r="G102" s="1826" t="s">
        <v>1433</v>
      </c>
      <c r="H102" s="2554">
        <f ca="1">I118</f>
        <v>15735</v>
      </c>
      <c r="I102" s="129"/>
    </row>
    <row r="103" spans="1:35" ht="42.75" customHeight="1">
      <c r="A103" s="3598"/>
      <c r="B103" s="2583" t="s">
        <v>1433</v>
      </c>
      <c r="C103" s="2586">
        <f ca="1">C20</f>
        <v>18609</v>
      </c>
      <c r="D103" s="2587">
        <f ca="1">D20</f>
        <v>13819</v>
      </c>
      <c r="E103" s="3559" t="s">
        <v>1434</v>
      </c>
      <c r="F103" s="3560"/>
      <c r="G103" s="1827" t="s">
        <v>1435</v>
      </c>
      <c r="H103" s="2594">
        <f>IF(D36="正常操作",H104+H105+H106,H105+H106)</f>
        <v>0</v>
      </c>
      <c r="I103" s="129"/>
    </row>
    <row r="104" spans="1:35" ht="18.75" customHeight="1">
      <c r="A104" s="3598" t="s">
        <v>1436</v>
      </c>
      <c r="B104" s="2588" t="s">
        <v>1431</v>
      </c>
      <c r="C104" s="2589">
        <f ca="1">H118</f>
        <v>110218</v>
      </c>
      <c r="D104" s="2590"/>
      <c r="E104" s="1673" t="s">
        <v>1437</v>
      </c>
      <c r="F104" s="1665"/>
      <c r="G104" s="1827" t="s">
        <v>1435</v>
      </c>
      <c r="H104" s="2595">
        <f>IF(D36="同一抵押权人同一抵押物续贷",C36&amp;"（续贷，未扣减，详见特别提示）",C36)</f>
        <v>0</v>
      </c>
      <c r="I104" s="129"/>
    </row>
    <row r="105" spans="1:35" ht="18.75" customHeight="1" thickBot="1">
      <c r="A105" s="3608"/>
      <c r="B105" s="2591" t="s">
        <v>1433</v>
      </c>
      <c r="C105" s="2592">
        <f ca="1">I118</f>
        <v>15735</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599" t="str">
        <f>IF(项目基本情况!E8="已注销","——","3.房地产抵押价值")</f>
        <v>3.房地产抵押价值</v>
      </c>
      <c r="F107" s="3567"/>
      <c r="G107" s="1826" t="s">
        <v>1431</v>
      </c>
      <c r="H107" s="2594">
        <f ca="1">IF(E107="——","——",H101-H103)</f>
        <v>110218</v>
      </c>
      <c r="I107" s="129"/>
    </row>
    <row r="108" spans="1:35" ht="18.75" customHeight="1">
      <c r="A108" s="129"/>
      <c r="B108" s="129"/>
      <c r="C108" s="129"/>
      <c r="D108" s="129"/>
      <c r="E108" s="3599"/>
      <c r="F108" s="3567"/>
      <c r="G108" s="1826" t="s">
        <v>1433</v>
      </c>
      <c r="H108" s="2554">
        <f ca="1">IF(H107=H101,H102,ROUND(H107*10000/'数据-汇总表'!E3,0))</f>
        <v>15735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6" t="s">
        <v>1431</v>
      </c>
      <c r="H109" s="2597" t="str">
        <f>IF(E109="——","——",H101-H105-H106)</f>
        <v>——</v>
      </c>
      <c r="I109" s="129"/>
    </row>
    <row r="110" spans="1:35" ht="18.75" customHeight="1">
      <c r="A110" s="129"/>
      <c r="B110" s="129"/>
      <c r="C110" s="129"/>
      <c r="D110" s="129"/>
      <c r="E110" s="3599"/>
      <c r="F110" s="3567"/>
      <c r="G110" s="1826" t="s">
        <v>1433</v>
      </c>
      <c r="H110" s="2554"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6" t="s">
        <v>1431</v>
      </c>
      <c r="H111" s="2594" t="str">
        <f>IF(E111="——","——",N59)</f>
        <v>——</v>
      </c>
      <c r="I111" s="129"/>
    </row>
    <row r="112" spans="1:35" ht="18.75" customHeight="1" thickBot="1">
      <c r="A112" s="129"/>
      <c r="B112" s="129"/>
      <c r="C112" s="129"/>
      <c r="D112" s="129"/>
      <c r="E112" s="3601"/>
      <c r="F112" s="3602"/>
      <c r="G112" s="1829" t="s">
        <v>1433</v>
      </c>
      <c r="H112" s="2598" t="str">
        <f>IF(E111="——","——",N61)</f>
        <v>——</v>
      </c>
      <c r="I112" s="129"/>
    </row>
    <row r="113" spans="1:27" ht="18.75" customHeight="1">
      <c r="A113" s="129"/>
      <c r="B113" s="129"/>
      <c r="C113" s="129"/>
      <c r="D113" s="129"/>
      <c r="E113" s="3609" t="s">
        <v>1439</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7" t="s">
        <v>1441</v>
      </c>
      <c r="B115" s="3618"/>
      <c r="C115" s="3618"/>
      <c r="D115" s="3618"/>
      <c r="E115" s="3618"/>
      <c r="F115" s="3618"/>
      <c r="G115" s="3618"/>
      <c r="H115" s="3618"/>
      <c r="I115" s="3619"/>
    </row>
    <row r="116" spans="1:27" ht="27" customHeight="1">
      <c r="A116" s="3574" t="s">
        <v>1442</v>
      </c>
      <c r="B116" s="3578" t="s">
        <v>1443</v>
      </c>
      <c r="C116" s="3578" t="s">
        <v>1444</v>
      </c>
      <c r="D116" s="3584" t="s">
        <v>1445</v>
      </c>
      <c r="E116" s="3585"/>
      <c r="F116" s="3616" t="s">
        <v>1446</v>
      </c>
      <c r="G116" s="3616"/>
      <c r="H116" s="3574" t="s">
        <v>1447</v>
      </c>
      <c r="I116" s="3574"/>
    </row>
    <row r="117" spans="1:27" ht="18.75" customHeight="1">
      <c r="A117" s="3574"/>
      <c r="B117" s="3579"/>
      <c r="C117" s="3579"/>
      <c r="D117" s="2328" t="s">
        <v>1448</v>
      </c>
      <c r="E117" s="2328" t="s">
        <v>1449</v>
      </c>
      <c r="F117" s="2328" t="s">
        <v>1448</v>
      </c>
      <c r="G117" s="2328" t="s">
        <v>1450</v>
      </c>
      <c r="H117" s="2328" t="s">
        <v>1448</v>
      </c>
      <c r="I117" s="2328" t="s">
        <v>1450</v>
      </c>
    </row>
    <row r="118" spans="1:27" ht="24.75" customHeight="1">
      <c r="A118" s="2599" t="str">
        <f>项目基本情况!S2</f>
        <v>北京市昌平区生命园路20号院1号楼-1至4层101等8幢综合（研发）用房房地产</v>
      </c>
      <c r="B118" s="2328">
        <f>M18</f>
        <v>70044.73</v>
      </c>
      <c r="C118" s="2328">
        <f>M19</f>
        <v>62378.94</v>
      </c>
      <c r="D118" s="2328">
        <f ca="1">ROUND(IF(D32="总价",C34,E118*B118/10000),0)</f>
        <v>80900</v>
      </c>
      <c r="E118" s="2328">
        <f ca="1">ROUND(IF(C33="自定义",IF(D32="楼面单价",C34,D118*10000/B118),I118-G118),0)</f>
        <v>11549</v>
      </c>
      <c r="F118" s="2328">
        <f ca="1">ROUND(IF(D32="总价",C35,G118*B118/10000),0)</f>
        <v>29318</v>
      </c>
      <c r="G118" s="2328">
        <f ca="1">ROUND(IF(D32="楼面单价",C35,F118*10000/B118),0)</f>
        <v>4186</v>
      </c>
      <c r="H118" s="2328">
        <f ca="1">ROUND(IF(D32="总价",C32,I118*B118/10000),0)</f>
        <v>110218</v>
      </c>
      <c r="I118" s="2328">
        <f ca="1">ROUND(IF(D32="楼面单价",C32,H118*10000/B118),0)</f>
        <v>15735</v>
      </c>
    </row>
    <row r="119" spans="1:27" ht="18.75" customHeight="1">
      <c r="A119" s="3574" t="s">
        <v>1451</v>
      </c>
      <c r="B119" s="3574"/>
      <c r="C119" s="3574"/>
      <c r="D119" s="3580" t="str">
        <f ca="1">NUMBERSTRING(INT(D118*10000),2)&amp;"元整"</f>
        <v>捌亿零玖佰万元整</v>
      </c>
      <c r="E119" s="3581"/>
      <c r="F119" s="3580" t="str">
        <f ca="1">NUMBERSTRING(INT(F118*10000),2)&amp;"元整"</f>
        <v>贰亿玖仟叁佰壹拾捌万元整</v>
      </c>
      <c r="G119" s="3581"/>
      <c r="H119" s="3580" t="str">
        <f ca="1">NUMBERSTRING(INT(H118*10000),2)&amp;"元整"</f>
        <v>壹拾壹亿零贰佰壹拾捌万元整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0" t="s">
        <v>1451</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110218</v>
      </c>
      <c r="E122" s="3576"/>
      <c r="F122" s="3576"/>
      <c r="G122" s="3576"/>
      <c r="H122" s="3576"/>
      <c r="I122" s="3577"/>
      <c r="AA122" s="725"/>
    </row>
    <row r="123" spans="1:27" ht="18.75" customHeight="1">
      <c r="A123" s="3574" t="s">
        <v>1451</v>
      </c>
      <c r="B123" s="3574"/>
      <c r="C123" s="3574"/>
      <c r="D123" s="3580" t="str">
        <f ca="1">NUMBERSTRING(INT(D122*10000),2)&amp;"元整"</f>
        <v>壹拾壹亿零贰佰壹拾捌万元整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1451</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
      </c>
      <c r="B126" s="3586"/>
      <c r="C126" s="3586"/>
      <c r="D126" s="3575" t="str">
        <f>H111</f>
        <v>——</v>
      </c>
      <c r="E126" s="3576"/>
      <c r="F126" s="3576"/>
      <c r="G126" s="3576"/>
      <c r="H126" s="3576"/>
      <c r="I126" s="3577"/>
      <c r="AA126" s="725"/>
    </row>
    <row r="127" spans="1:27" ht="18.75" customHeight="1">
      <c r="A127" s="3574" t="s">
        <v>1451</v>
      </c>
      <c r="B127" s="3574"/>
      <c r="C127" s="3574"/>
      <c r="D127" s="3580" t="e">
        <f>NUMBERSTRING(INT(D126*10000),2)&amp;"元整"</f>
        <v>#VALUE!</v>
      </c>
      <c r="E127" s="3582"/>
      <c r="F127" s="3582"/>
      <c r="G127" s="3582"/>
      <c r="H127" s="3582"/>
      <c r="I127" s="3581"/>
      <c r="AA127" s="725"/>
    </row>
    <row r="128" spans="1:27" ht="21.75" customHeight="1">
      <c r="A128" s="3583" t="s">
        <v>1452</v>
      </c>
      <c r="B128" s="3583"/>
      <c r="C128" s="3583"/>
      <c r="D128" s="3583"/>
      <c r="E128" s="3583"/>
      <c r="F128" s="3583"/>
      <c r="G128" s="3583"/>
      <c r="H128" s="3583"/>
      <c r="I128" s="3583"/>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S67" sqref="S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130349</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18609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70975</v>
      </c>
      <c r="D5" s="211" t="s">
        <v>1468</v>
      </c>
      <c r="E5" s="212" t="s">
        <v>1469</v>
      </c>
      <c r="F5" s="212" t="s">
        <v>1470</v>
      </c>
      <c r="G5" s="213"/>
    </row>
    <row r="6" spans="1:9" s="214" customFormat="1" ht="13.5" customHeight="1">
      <c r="A6" s="778" t="s">
        <v>1471</v>
      </c>
      <c r="B6" s="215" t="s">
        <v>1472</v>
      </c>
      <c r="C6" s="216">
        <f>'土地比较法-住宅、综合'!B2</f>
        <v>67515</v>
      </c>
      <c r="D6" s="217"/>
      <c r="E6" s="218"/>
      <c r="F6" s="218"/>
      <c r="G6" s="219"/>
    </row>
    <row r="7" spans="1:9" s="214" customFormat="1" ht="13.5" customHeight="1">
      <c r="A7" s="778" t="s">
        <v>1473</v>
      </c>
      <c r="B7" s="215" t="s">
        <v>1474</v>
      </c>
      <c r="C7" s="220">
        <f>ROUND(C6*F7,0)</f>
        <v>2059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1401</v>
      </c>
      <c r="D8" s="222"/>
      <c r="E8" s="220"/>
      <c r="F8" s="221"/>
      <c r="G8" s="1855" t="s">
        <v>3738</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3739</v>
      </c>
      <c r="H9" s="1137"/>
      <c r="I9" s="1857" t="s">
        <v>1478</v>
      </c>
    </row>
    <row r="10" spans="1:9" s="214" customFormat="1" ht="13.5" customHeight="1">
      <c r="A10" s="779" t="s">
        <v>356</v>
      </c>
      <c r="B10" s="224" t="s">
        <v>1479</v>
      </c>
      <c r="C10" s="225">
        <f ca="1">ROUND(D10*E10/10000,0)</f>
        <v>1401</v>
      </c>
      <c r="D10" s="845">
        <f ca="1">IF(B1="",'数据-汇总表'!E6,IF(INDIRECT("'数据-取费表'!c"&amp;$G$1)="住宅",INDIRECT("'数据-取费表'!s"&amp;$G$1),INDIRECT("'数据-取费表'!k"&amp;$G$1)+INDIRECT("'数据-取费表'!s"&amp;$G$1)))</f>
        <v>70044.73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70044.73</v>
      </c>
      <c r="E19" s="211">
        <f>'数据-取费表'!B31</f>
        <v>200</v>
      </c>
      <c r="F19" s="231"/>
      <c r="G19" s="1855" t="s">
        <v>3740</v>
      </c>
    </row>
    <row r="20" spans="1:7" s="214" customFormat="1" ht="13.5" customHeight="1">
      <c r="A20" s="255" t="s">
        <v>1492</v>
      </c>
      <c r="B20" s="210" t="s">
        <v>1493</v>
      </c>
      <c r="C20" s="232">
        <f ca="1">ROUND((C5+C19)*F20,0)</f>
        <v>1065</v>
      </c>
      <c r="D20" s="232"/>
      <c r="E20" s="232"/>
      <c r="F20" s="233">
        <f>'数据-取费表'!B37</f>
        <v>1.4999999999999999E-2</v>
      </c>
      <c r="G20" s="234" t="s">
        <v>1494</v>
      </c>
    </row>
    <row r="21" spans="1:7" s="214" customFormat="1" ht="13.5" customHeight="1">
      <c r="A21" s="255" t="s">
        <v>1495</v>
      </c>
      <c r="B21" s="210" t="s">
        <v>1496</v>
      </c>
      <c r="C21" s="235">
        <f>F21</f>
        <v>1.4999999999999999E-2</v>
      </c>
      <c r="D21" s="236" t="s">
        <v>1497</v>
      </c>
      <c r="E21" s="232"/>
      <c r="F21" s="233">
        <f>'数据-取费表'!B38</f>
        <v>1.4999999999999999E-2</v>
      </c>
      <c r="G21" s="234" t="s">
        <v>1498</v>
      </c>
    </row>
    <row r="22" spans="1:7" s="214" customFormat="1" ht="13.5" customHeight="1">
      <c r="A22" s="255" t="s">
        <v>1499</v>
      </c>
      <c r="B22" s="210" t="s">
        <v>1500</v>
      </c>
      <c r="C22" s="1104">
        <f ca="1">ROUND(SUM(C23:C25),0)</f>
        <v>6057</v>
      </c>
      <c r="D22" s="235">
        <f ca="1">C26</f>
        <v>5.9999999999999995E-4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6013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44</v>
      </c>
      <c r="D25" s="238"/>
      <c r="E25" s="241"/>
      <c r="F25" s="239"/>
      <c r="G25" s="242" t="s">
        <v>1509</v>
      </c>
    </row>
    <row r="26" spans="1:7" s="214" customFormat="1">
      <c r="A26" s="780"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10806</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10806</v>
      </c>
      <c r="D28" s="235"/>
      <c r="E28" s="236"/>
      <c r="F28" s="246"/>
      <c r="G28" s="247"/>
    </row>
    <row r="29" spans="1:7" s="214" customFormat="1" ht="13.5" customHeight="1">
      <c r="A29" s="780" t="s">
        <v>347</v>
      </c>
      <c r="B29" s="248" t="s">
        <v>1516</v>
      </c>
      <c r="C29" s="238">
        <f ca="1">ROUND(C21*F27*'数据-取费表'!B21/'数据-取费表'!B20,4)</f>
        <v>2.3E-3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95625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31405</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28172</v>
      </c>
      <c r="D34" s="217"/>
      <c r="E34" s="220"/>
      <c r="F34" s="257">
        <f ca="1">IF('数据-取费表'!B24=0,1,IF(B1="",'数据-取费表'!N16,INDIRECT("'数据-取费表'!n"&amp;$G$1)))</f>
        <v>1</v>
      </c>
      <c r="G34" s="219" t="s">
        <v>1525</v>
      </c>
    </row>
    <row r="35" spans="1:7" ht="13.5" customHeight="1">
      <c r="A35" s="780" t="s">
        <v>351</v>
      </c>
      <c r="B35" s="215" t="s">
        <v>1526</v>
      </c>
      <c r="C35" s="220">
        <f ca="1">ROUND(C34*F35,0)</f>
        <v>1409</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1401</v>
      </c>
      <c r="D37" s="217">
        <f ca="1">D19</f>
        <v>70044.73</v>
      </c>
      <c r="E37" s="249">
        <f>'数据-取费表'!B35</f>
        <v>200</v>
      </c>
      <c r="F37" s="259"/>
      <c r="G37" s="261" t="s">
        <v>1531</v>
      </c>
    </row>
    <row r="38" spans="1:7" ht="13.5" customHeight="1">
      <c r="A38" s="780" t="s">
        <v>354</v>
      </c>
      <c r="B38" s="215" t="s">
        <v>1532</v>
      </c>
      <c r="C38" s="220">
        <f ca="1">ROUND(C34*F38,0)</f>
        <v>423</v>
      </c>
      <c r="D38" s="220"/>
      <c r="E38" s="220"/>
      <c r="F38" s="259">
        <f>'数据-取费表'!B36</f>
        <v>1.4999999999999999E-2</v>
      </c>
      <c r="G38" s="219" t="s">
        <v>1527</v>
      </c>
    </row>
    <row r="39" spans="1:7" s="214" customFormat="1" ht="13.5" customHeight="1">
      <c r="A39" s="255" t="s">
        <v>1533</v>
      </c>
      <c r="B39" s="210" t="s">
        <v>1534</v>
      </c>
      <c r="C39" s="232">
        <f ca="1">ROUND(C33*F20,0)</f>
        <v>471</v>
      </c>
      <c r="D39" s="232"/>
      <c r="E39" s="232"/>
      <c r="F39" s="233">
        <f>F20</f>
        <v>1.4999999999999999E-2</v>
      </c>
      <c r="G39" s="234" t="s">
        <v>1535</v>
      </c>
    </row>
    <row r="40" spans="1:7" s="214" customFormat="1" ht="13.5" customHeight="1">
      <c r="A40" s="255" t="s">
        <v>1536</v>
      </c>
      <c r="B40" s="210" t="s">
        <v>1537</v>
      </c>
      <c r="C40" s="1326">
        <f>F21</f>
        <v>1.4999999999999999E-2</v>
      </c>
      <c r="D40" s="236" t="s">
        <v>1538</v>
      </c>
      <c r="E40" s="232"/>
      <c r="F40" s="233">
        <f>F21</f>
        <v>1.4999999999999999E-2</v>
      </c>
      <c r="G40" s="234" t="s">
        <v>1539</v>
      </c>
    </row>
    <row r="41" spans="1:7" s="214" customFormat="1" ht="13.5" customHeight="1">
      <c r="A41" s="255" t="s">
        <v>1540</v>
      </c>
      <c r="B41" s="210" t="s">
        <v>1541</v>
      </c>
      <c r="C41" s="232">
        <f ca="1">ROUND(SUM(C42:C43),0)</f>
        <v>1323</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1303</v>
      </c>
      <c r="D42" s="238"/>
      <c r="E42" s="238"/>
      <c r="F42" s="239"/>
      <c r="G42" s="3653" t="s">
        <v>1543</v>
      </c>
    </row>
    <row r="43" spans="1:7" ht="13.5" customHeight="1">
      <c r="A43" s="780" t="s">
        <v>347</v>
      </c>
      <c r="B43" s="215" t="s">
        <v>1544</v>
      </c>
      <c r="C43" s="238">
        <f ca="1">ROUND(IF('数据-取费表'!B22&lt;=1,C39*F22*'数据-取费表'!B21/2,C39*(POWER((1+F22),'数据-取费表'!B21/2)-1)),0)</f>
        <v>20</v>
      </c>
      <c r="D43" s="238"/>
      <c r="E43" s="238"/>
      <c r="F43" s="239"/>
      <c r="G43" s="3654"/>
    </row>
    <row r="44" spans="1:7" ht="13.5" customHeight="1">
      <c r="A44" s="780" t="s">
        <v>348</v>
      </c>
      <c r="B44" s="215" t="s">
        <v>1545</v>
      </c>
      <c r="C44" s="238">
        <f ca="1">ROUND(IF('数据-取费表'!B22&lt;=1,C40*F22*'数据-取费表'!B21/2,C40*(POWER((1+F22),'数据-取费表'!B21/2)-1)),4)</f>
        <v>5.9999999999999995E-4</v>
      </c>
      <c r="D44" s="238"/>
      <c r="E44" s="238"/>
      <c r="F44" s="239"/>
      <c r="G44" s="3655"/>
    </row>
    <row r="45" spans="1:7" s="214" customFormat="1" ht="13.5" customHeight="1">
      <c r="A45" s="255" t="s">
        <v>1546</v>
      </c>
      <c r="B45" s="244" t="s">
        <v>1512</v>
      </c>
      <c r="C45" s="245">
        <f ca="1">C46</f>
        <v>4781</v>
      </c>
      <c r="D45" s="235">
        <f ca="1">C47</f>
        <v>2.3E-3</v>
      </c>
      <c r="E45" s="236" t="s">
        <v>1538</v>
      </c>
      <c r="F45" s="246">
        <f ca="1">F27</f>
        <v>0.15</v>
      </c>
      <c r="G45" s="247" t="s">
        <v>1547</v>
      </c>
    </row>
    <row r="46" spans="1:7" s="214" customFormat="1" ht="13.5" customHeight="1">
      <c r="A46" s="780" t="s">
        <v>346</v>
      </c>
      <c r="B46" s="248" t="s">
        <v>1548</v>
      </c>
      <c r="C46" s="249">
        <f ca="1">ROUND((C33+C39)*F27,0)</f>
        <v>4781</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40852</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34724</v>
      </c>
      <c r="D51" s="232"/>
      <c r="E51" s="232"/>
      <c r="F51" s="264"/>
      <c r="G51" s="234" t="s">
        <v>1559</v>
      </c>
    </row>
    <row r="52" spans="1:7" s="208" customFormat="1" ht="16.5" thickBot="1">
      <c r="A52" s="265" t="s">
        <v>1560</v>
      </c>
      <c r="B52" s="266"/>
      <c r="C52" s="267">
        <f ca="1">C31+C51</f>
        <v>130349</v>
      </c>
      <c r="D52" s="266"/>
      <c r="E52" s="266"/>
      <c r="F52" s="266"/>
      <c r="G52" s="268"/>
    </row>
    <row r="55" spans="1:7" ht="15">
      <c r="B55" s="270" t="s">
        <v>1561</v>
      </c>
      <c r="C55" s="271"/>
    </row>
    <row r="56" spans="1:7">
      <c r="B56" s="273" t="s">
        <v>802</v>
      </c>
      <c r="C56" s="275">
        <f ca="1">1-C57</f>
        <v>0.73399999999999999</v>
      </c>
    </row>
    <row r="57" spans="1:7">
      <c r="B57" s="273" t="s">
        <v>803</v>
      </c>
      <c r="C57" s="274">
        <f ca="1">ROUND(C51/C52,3)</f>
        <v>0.26600000000000001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北京市昌平区生命园路20号院1号楼-1至4层101等8幢综合（研发）用房房地产抵押价值预评估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5">
        <f ca="1">ROUND(IF(D2="——",C52/10000,C52/10000-E2),4)</f>
        <v>38497.777800000003</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5496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14008946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14008946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14008946</v>
      </c>
      <c r="D10" s="845">
        <f ca="1">IF(B1="",'数据-汇总表'!E6,IF(INDIRECT("'数据-取费表'!c"&amp;$G$1)="住宅",INDIRECT("'数据-取费表'!s"&amp;$G$1),INDIRECT("'数据-取费表'!k"&amp;$G$1)+INDIRECT("'数据-取费表'!s"&amp;$G$1)))</f>
        <v>70044.73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14008946</v>
      </c>
      <c r="D19" s="849">
        <f ca="1">D9+D10</f>
        <v>70044.73</v>
      </c>
      <c r="E19" s="211">
        <f>'数据-取费表'!B31</f>
        <v>200</v>
      </c>
      <c r="F19" s="231"/>
      <c r="G19" s="1855"/>
    </row>
    <row r="20" spans="1:7" s="214" customFormat="1" ht="13.5" customHeight="1">
      <c r="A20" s="255" t="s">
        <v>1573</v>
      </c>
      <c r="B20" s="210" t="s">
        <v>1574</v>
      </c>
      <c r="C20" s="232">
        <f ca="1">ROUND((C5+C19)*F20,0)</f>
        <v>420268</v>
      </c>
      <c r="D20" s="232"/>
      <c r="E20" s="232"/>
      <c r="F20" s="233">
        <f>'数据-取费表'!B37</f>
        <v>1.4999999999999999E-2</v>
      </c>
      <c r="G20" s="234" t="s">
        <v>1575</v>
      </c>
    </row>
    <row r="21" spans="1:7" s="214" customFormat="1" ht="13.5" customHeight="1">
      <c r="A21" s="255" t="s">
        <v>1576</v>
      </c>
      <c r="B21" s="210" t="s">
        <v>1577</v>
      </c>
      <c r="C21" s="235">
        <f>F21</f>
        <v>1.4999999999999999E-2</v>
      </c>
      <c r="D21" s="236" t="s">
        <v>1578</v>
      </c>
      <c r="E21" s="232"/>
      <c r="F21" s="233">
        <f>'数据-取费表'!B38</f>
        <v>1.4999999999999999E-2</v>
      </c>
      <c r="G21" s="234" t="s">
        <v>1579</v>
      </c>
    </row>
    <row r="22" spans="1:7" s="214" customFormat="1" ht="13.5" customHeight="1">
      <c r="A22" s="255" t="s">
        <v>1580</v>
      </c>
      <c r="B22" s="210" t="s">
        <v>1581</v>
      </c>
      <c r="C22" s="1127">
        <f ca="1">ROUND(SUM(C23:C25),0)</f>
        <v>2391179</v>
      </c>
      <c r="D22" s="235">
        <f ca="1">C26</f>
        <v>5.9999999999999995E-4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1186869</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1186869</v>
      </c>
      <c r="D24" s="238"/>
      <c r="E24" s="238"/>
      <c r="F24" s="239"/>
      <c r="G24" s="240" t="s">
        <v>1585</v>
      </c>
    </row>
    <row r="25" spans="1:7" s="214" customFormat="1" ht="24">
      <c r="A25" s="780" t="s">
        <v>1475</v>
      </c>
      <c r="B25" s="215" t="s">
        <v>1586</v>
      </c>
      <c r="C25" s="1128">
        <f ca="1">ROUND(IF('数据-取费表'!B22&lt;=1,C20*F22*'数据-取费表'!B22/2,C20*(POWER((1+F22),'数据-取费表'!B22/2)-1)),0)</f>
        <v>17441</v>
      </c>
      <c r="D25" s="238"/>
      <c r="E25" s="241"/>
      <c r="F25" s="239"/>
      <c r="G25" s="242" t="s">
        <v>1587</v>
      </c>
    </row>
    <row r="26" spans="1:7" s="214" customFormat="1">
      <c r="A26" s="780" t="s">
        <v>350</v>
      </c>
      <c r="B26" s="215" t="s">
        <v>1510</v>
      </c>
      <c r="C26" s="238">
        <f ca="1">ROUND(IF('数据-取费表'!B22&lt;=1,F21*F22*'数据-取费表'!B22/2,F21*(POWER((1+F22),'数据-取费表'!B22/2)-1)),4)</f>
        <v>5.9999999999999995E-4</v>
      </c>
      <c r="D26" s="238"/>
      <c r="E26" s="241"/>
      <c r="F26" s="239"/>
      <c r="G26" s="243"/>
    </row>
    <row r="27" spans="1:7" s="214" customFormat="1" ht="24.75">
      <c r="A27" s="255" t="s">
        <v>1511</v>
      </c>
      <c r="B27" s="244" t="s">
        <v>1512</v>
      </c>
      <c r="C27" s="245">
        <f ca="1">C28</f>
        <v>4265724</v>
      </c>
      <c r="D27" s="235">
        <f ca="1">C29</f>
        <v>2.3E-3</v>
      </c>
      <c r="E27" s="236" t="s">
        <v>1513</v>
      </c>
      <c r="F27" s="246">
        <f ca="1">IF(B1="",'数据-取费表'!Q16,INDIRECT("'数据-取费表'!q"&amp;$G$1))</f>
        <v>0.15</v>
      </c>
      <c r="G27" s="247" t="s">
        <v>1514</v>
      </c>
    </row>
    <row r="28" spans="1:7" s="214" customFormat="1" ht="13.5" customHeight="1">
      <c r="A28" s="780" t="s">
        <v>346</v>
      </c>
      <c r="B28" s="248" t="s">
        <v>1515</v>
      </c>
      <c r="C28" s="249">
        <f ca="1">ROUND((C5+C19+C20)*F27,0)</f>
        <v>4265724</v>
      </c>
      <c r="D28" s="235"/>
      <c r="E28" s="236"/>
      <c r="F28" s="246"/>
      <c r="G28" s="247"/>
    </row>
    <row r="29" spans="1:7" s="214" customFormat="1" ht="13.5" customHeight="1">
      <c r="A29" s="780" t="s">
        <v>347</v>
      </c>
      <c r="B29" s="248" t="s">
        <v>1516</v>
      </c>
      <c r="C29" s="238">
        <f ca="1">ROUND(C21*F27,4)</f>
        <v>2.3E-3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37748804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314036242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281715770</v>
      </c>
      <c r="D34" s="217"/>
      <c r="E34" s="220"/>
      <c r="F34" s="257"/>
      <c r="G34" s="219"/>
    </row>
    <row r="35" spans="1:7" ht="13.5" customHeight="1">
      <c r="A35" s="780" t="s">
        <v>351</v>
      </c>
      <c r="B35" s="215" t="s">
        <v>1526</v>
      </c>
      <c r="C35" s="220">
        <f ca="1">ROUND(C34*F35,0)</f>
        <v>14085789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14008946</v>
      </c>
      <c r="D37" s="217">
        <f ca="1">D19</f>
        <v>70044.73</v>
      </c>
      <c r="E37" s="249">
        <f>'数据-取费表'!B35</f>
        <v>200</v>
      </c>
      <c r="F37" s="259"/>
      <c r="G37" s="261"/>
    </row>
    <row r="38" spans="1:7" ht="13.5" customHeight="1">
      <c r="A38" s="780" t="s">
        <v>354</v>
      </c>
      <c r="B38" s="215" t="s">
        <v>1532</v>
      </c>
      <c r="C38" s="220">
        <f ca="1">ROUND(C34*F38,0)</f>
        <v>4225737</v>
      </c>
      <c r="D38" s="220"/>
      <c r="E38" s="220"/>
      <c r="F38" s="259">
        <f>'数据-取费表'!B36</f>
        <v>1.4999999999999999E-2</v>
      </c>
      <c r="G38" s="219" t="s">
        <v>1527</v>
      </c>
    </row>
    <row r="39" spans="1:7" s="214" customFormat="1" ht="13.5" customHeight="1">
      <c r="A39" s="255" t="s">
        <v>1533</v>
      </c>
      <c r="B39" s="210" t="s">
        <v>1534</v>
      </c>
      <c r="C39" s="232">
        <f ca="1">ROUND(C33*F20,0)</f>
        <v>4710544</v>
      </c>
      <c r="D39" s="232"/>
      <c r="E39" s="232"/>
      <c r="F39" s="233">
        <f>F20</f>
        <v>1.4999999999999999E-2</v>
      </c>
      <c r="G39" s="234" t="s">
        <v>1535</v>
      </c>
    </row>
    <row r="40" spans="1:7" s="214" customFormat="1" ht="13.5" customHeight="1">
      <c r="A40" s="255" t="s">
        <v>1536</v>
      </c>
      <c r="B40" s="210" t="s">
        <v>1537</v>
      </c>
      <c r="C40" s="1326">
        <f>F21</f>
        <v>1.4999999999999999E-2</v>
      </c>
      <c r="D40" s="236" t="s">
        <v>1538</v>
      </c>
      <c r="E40" s="232"/>
      <c r="F40" s="233">
        <f>F21</f>
        <v>1.4999999999999999E-2</v>
      </c>
      <c r="G40" s="234" t="s">
        <v>1539</v>
      </c>
    </row>
    <row r="41" spans="1:7" s="214" customFormat="1" ht="13.5" customHeight="1">
      <c r="A41" s="255" t="s">
        <v>1540</v>
      </c>
      <c r="B41" s="210" t="s">
        <v>1541</v>
      </c>
      <c r="C41" s="232">
        <f ca="1">ROUND(SUM(C42:C43),0)</f>
        <v>13227992</v>
      </c>
      <c r="D41" s="235">
        <f ca="1">C44</f>
        <v>5.9999999999999995E-4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13032504</v>
      </c>
      <c r="D42" s="238"/>
      <c r="E42" s="238"/>
      <c r="F42" s="239"/>
      <c r="G42" s="3653" t="s">
        <v>1590</v>
      </c>
    </row>
    <row r="43" spans="1:7" ht="13.5" customHeight="1">
      <c r="A43" s="780" t="s">
        <v>347</v>
      </c>
      <c r="B43" s="215" t="s">
        <v>1544</v>
      </c>
      <c r="C43" s="238">
        <f ca="1">ROUND(IF('数据-取费表'!B22&lt;=1,C39*F22*'数据-取费表'!B20/2,C39*(POWER((1+F22),'数据-取费表'!B20/2)-1)),0)</f>
        <v>195488</v>
      </c>
      <c r="D43" s="238"/>
      <c r="E43" s="238"/>
      <c r="F43" s="239"/>
      <c r="G43" s="3654"/>
    </row>
    <row r="44" spans="1:7" ht="13.5" customHeight="1">
      <c r="A44" s="780" t="s">
        <v>348</v>
      </c>
      <c r="B44" s="215" t="s">
        <v>1545</v>
      </c>
      <c r="C44" s="238">
        <f ca="1">ROUND(IF('数据-取费表'!B22&lt;=1,C40*F22*'数据-取费表'!B20/2,C40*(POWER((1+F22),'数据-取费表'!B20/2)-1)),4)</f>
        <v>5.9999999999999995E-4</v>
      </c>
      <c r="D44" s="238"/>
      <c r="E44" s="238"/>
      <c r="F44" s="239"/>
      <c r="G44" s="3655"/>
    </row>
    <row r="45" spans="1:7" s="214" customFormat="1" ht="13.5" customHeight="1">
      <c r="A45" s="255" t="s">
        <v>1546</v>
      </c>
      <c r="B45" s="244" t="s">
        <v>1512</v>
      </c>
      <c r="C45" s="245">
        <f ca="1">C46</f>
        <v>47812018</v>
      </c>
      <c r="D45" s="235">
        <f ca="1">C47</f>
        <v>2.3E-3</v>
      </c>
      <c r="E45" s="236" t="s">
        <v>1538</v>
      </c>
      <c r="F45" s="246">
        <f ca="1">F27</f>
        <v>0.15</v>
      </c>
      <c r="G45" s="247" t="s">
        <v>1547</v>
      </c>
    </row>
    <row r="46" spans="1:7" s="214" customFormat="1" ht="13.5" customHeight="1">
      <c r="A46" s="780" t="s">
        <v>346</v>
      </c>
      <c r="B46" s="248" t="s">
        <v>1548</v>
      </c>
      <c r="C46" s="249">
        <f ca="1">ROUND((C33+C39)*F27,0)</f>
        <v>47812018</v>
      </c>
      <c r="D46" s="263"/>
      <c r="E46" s="236"/>
      <c r="F46" s="246"/>
      <c r="G46" s="247"/>
    </row>
    <row r="47" spans="1:7" s="214" customFormat="1" ht="13.5" customHeight="1">
      <c r="A47" s="780" t="s">
        <v>347</v>
      </c>
      <c r="B47" s="248" t="s">
        <v>1549</v>
      </c>
      <c r="C47" s="238">
        <f ca="1">ROUND(C40*F27,4)</f>
        <v>2.3E-3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408504675</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347228974</v>
      </c>
      <c r="D51" s="232"/>
      <c r="E51" s="232"/>
      <c r="F51" s="264"/>
      <c r="G51" s="234" t="s">
        <v>1559</v>
      </c>
    </row>
    <row r="52" spans="1:7" s="208" customFormat="1" ht="16.5" thickBot="1">
      <c r="A52" s="265" t="s">
        <v>1560</v>
      </c>
      <c r="B52" s="266"/>
      <c r="C52" s="267">
        <f ca="1">C31+C51</f>
        <v>384977778</v>
      </c>
      <c r="D52" s="266"/>
      <c r="E52" s="266"/>
      <c r="F52" s="266"/>
      <c r="G52" s="268"/>
    </row>
    <row r="55" spans="1:7" ht="15">
      <c r="B55" s="270" t="s">
        <v>1561</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70044.73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70044.73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1626</v>
      </c>
      <c r="C20" s="21">
        <f ca="1">ROUND(D20*E20/10000,0)</f>
        <v>1401</v>
      </c>
      <c r="D20" s="846">
        <f ca="1">IF(C1="",'数据-汇总表'!E6,IF(INDIRECT("'数据-取费表'!c"&amp;$K$1)="住宅",INDIRECT("'数据-取费表'!s"&amp;$K$1),INDIRECT("'数据-取费表'!k"&amp;$K$1)+INDIRECT("'数据-取费表'!s"&amp;$K$1)))</f>
        <v>70044.73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1.4999999999999999E-2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1.4999999999999999E-2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5" zoomScaleNormal="60" zoomScaleSheetLayoutView="85" workbookViewId="0">
      <selection activeCell="L40" sqref="L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8.75" style="357" customWidth="1"/>
    <col min="6" max="6" width="12.25" style="357" customWidth="1"/>
    <col min="7" max="7" width="19.5" style="357" customWidth="1"/>
    <col min="8" max="8" width="12.25" style="357" customWidth="1"/>
    <col min="9" max="9" width="15.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67515</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9639</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700" t="s">
        <v>1769</v>
      </c>
      <c r="D4" s="3701"/>
      <c r="E4" s="3702" t="s">
        <v>1770</v>
      </c>
      <c r="F4" s="3703"/>
      <c r="G4" s="3700" t="s">
        <v>1771</v>
      </c>
      <c r="H4" s="3701"/>
      <c r="I4" s="3700" t="s">
        <v>1772</v>
      </c>
      <c r="J4" s="3701"/>
      <c r="K4" s="559" t="s">
        <v>1773</v>
      </c>
      <c r="L4" s="2714"/>
      <c r="M4" s="2715"/>
      <c r="N4" s="2715"/>
      <c r="O4" s="2715"/>
      <c r="P4" s="3704" t="s">
        <v>1774</v>
      </c>
      <c r="Q4" s="3705"/>
      <c r="R4" s="3687" t="s">
        <v>1770</v>
      </c>
      <c r="S4" s="3688"/>
      <c r="T4" s="3687" t="s">
        <v>1771</v>
      </c>
      <c r="U4" s="3688"/>
      <c r="V4" s="3712" t="s">
        <v>1772</v>
      </c>
      <c r="W4" s="3712"/>
      <c r="X4" s="1354"/>
      <c r="Y4" s="3687" t="s">
        <v>1774</v>
      </c>
      <c r="Z4" s="3688"/>
      <c r="AA4" s="3682" t="s">
        <v>1770</v>
      </c>
      <c r="AB4" s="3683" t="s">
        <v>1771</v>
      </c>
      <c r="AC4" s="3682" t="s">
        <v>1772</v>
      </c>
    </row>
    <row r="5" spans="1:30" ht="15">
      <c r="A5" s="358"/>
      <c r="B5" s="359"/>
      <c r="C5" s="3693" t="s">
        <v>1672</v>
      </c>
      <c r="D5" s="3694"/>
      <c r="E5" s="3691" t="str">
        <f>案例!A2</f>
        <v>北京市海淀区西北旺镇永丰产业基地(新)HD00-0403-009地块F3其他类多功能用地</v>
      </c>
      <c r="F5" s="3692"/>
      <c r="G5" s="3693" t="str">
        <f>案例!A3</f>
        <v>北京市海淀区西北旺镇永丰产业基地(新)HD00-0403-001地块F3其他类多功能用地</v>
      </c>
      <c r="H5" s="3694"/>
      <c r="I5" s="3693" t="str">
        <f>案例!A18</f>
        <v>北京市昌平区朱辛庄新区(二期)土地一级开发项目ZXZ-010地块F3其他类多功能用地</v>
      </c>
      <c r="J5" s="3694"/>
      <c r="K5" s="559"/>
      <c r="L5" s="2714"/>
      <c r="M5" s="2715"/>
      <c r="N5" s="2715"/>
      <c r="O5" s="2715"/>
      <c r="P5" s="3706"/>
      <c r="Q5" s="3707"/>
      <c r="R5" s="3689"/>
      <c r="S5" s="3690"/>
      <c r="T5" s="3689"/>
      <c r="U5" s="3690"/>
      <c r="V5" s="3712"/>
      <c r="W5" s="3712"/>
      <c r="X5" s="1354"/>
      <c r="Y5" s="3689"/>
      <c r="Z5" s="3690"/>
      <c r="AA5" s="3683"/>
      <c r="AB5" s="3683"/>
      <c r="AC5" s="3683"/>
    </row>
    <row r="6" spans="1:30" ht="15.75" thickBot="1">
      <c r="A6" s="360"/>
      <c r="B6" s="361"/>
      <c r="C6" s="3695" t="s">
        <v>1676</v>
      </c>
      <c r="D6" s="3696"/>
      <c r="E6" s="3697" t="s">
        <v>1676</v>
      </c>
      <c r="F6" s="3698"/>
      <c r="G6" s="3695" t="s">
        <v>1676</v>
      </c>
      <c r="H6" s="3696"/>
      <c r="I6" s="3695" t="s">
        <v>1676</v>
      </c>
      <c r="J6" s="3696"/>
      <c r="K6" s="559" t="s">
        <v>1677</v>
      </c>
      <c r="L6" s="2714"/>
      <c r="M6" s="2715"/>
      <c r="N6" s="2715"/>
      <c r="O6" s="2715"/>
      <c r="P6" s="3708"/>
      <c r="Q6" s="3709"/>
      <c r="R6" s="3689"/>
      <c r="S6" s="3690"/>
      <c r="T6" s="3710"/>
      <c r="U6" s="3711"/>
      <c r="V6" s="3712"/>
      <c r="W6" s="3712"/>
      <c r="X6" s="1354"/>
      <c r="Y6" s="3710"/>
      <c r="Z6" s="3711"/>
      <c r="AA6" s="3684"/>
      <c r="AB6" s="3684"/>
      <c r="AC6" s="3684"/>
    </row>
    <row r="7" spans="1:30" s="108" customFormat="1" ht="15.75" thickBot="1">
      <c r="A7" s="362" t="s">
        <v>1678</v>
      </c>
      <c r="B7" s="363"/>
      <c r="C7" s="364">
        <f>'数据-取费表'!B2</f>
        <v>44929</v>
      </c>
      <c r="D7" s="365">
        <v>100</v>
      </c>
      <c r="E7" s="366">
        <f>案例!M2</f>
        <v>44865.000497685185</v>
      </c>
      <c r="F7" s="367">
        <f>SUMIF(69:69,YEAR(E7)&amp;"-"&amp;INT((MONTH(E7)+2)/3),70:70)</f>
        <v>99.7</v>
      </c>
      <c r="G7" s="1973">
        <f>案例!M3</f>
        <v>44865.000497685185</v>
      </c>
      <c r="H7" s="365">
        <f>SUMIF(69:69,YEAR(G7)&amp;"-"&amp;INT((MONTH(G7)+2)/3),70:70)</f>
        <v>99.7</v>
      </c>
      <c r="I7" s="1973">
        <f>案例!M18</f>
        <v>43923.000497685185</v>
      </c>
      <c r="J7" s="365">
        <f>SUMIF(69:69,YEAR(I7)&amp;"-"&amp;INT((MONTH(I7)+2)/3),70:70)</f>
        <v>96.700000000000031</v>
      </c>
      <c r="K7" s="560"/>
      <c r="L7" s="2716"/>
      <c r="M7" s="2717"/>
      <c r="N7" s="2717"/>
      <c r="O7" s="2717"/>
      <c r="P7" s="3685" t="s">
        <v>1679</v>
      </c>
      <c r="Q7" s="3713"/>
      <c r="R7" s="701" t="s">
        <v>14</v>
      </c>
      <c r="S7" s="702">
        <f t="shared" ref="S7:S15" si="0">F7</f>
        <v>99.7</v>
      </c>
      <c r="T7" s="701" t="s">
        <v>14</v>
      </c>
      <c r="U7" s="702">
        <f t="shared" ref="U7:U15" si="1">H7</f>
        <v>99.7</v>
      </c>
      <c r="V7" s="701" t="s">
        <v>14</v>
      </c>
      <c r="W7" s="702">
        <f t="shared" ref="W7:W15" si="2">J7</f>
        <v>96.700000000000031</v>
      </c>
      <c r="X7" s="703"/>
      <c r="Y7" s="3685" t="s">
        <v>1679</v>
      </c>
      <c r="Z7" s="3686"/>
      <c r="AA7" s="704">
        <f>D7/F7</f>
        <v>1.0030090270812437</v>
      </c>
      <c r="AB7" s="704">
        <f>D7/H7</f>
        <v>1.0030090270812437</v>
      </c>
      <c r="AC7" s="704">
        <f>D7/J7</f>
        <v>1.0341261633919334</v>
      </c>
    </row>
    <row r="8" spans="1:30" s="108" customFormat="1" ht="15.75" thickBot="1">
      <c r="A8" s="362" t="s">
        <v>1680</v>
      </c>
      <c r="B8" s="363"/>
      <c r="C8" s="368" t="s">
        <v>1681</v>
      </c>
      <c r="D8" s="365">
        <v>100</v>
      </c>
      <c r="E8" s="368" t="s">
        <v>3721</v>
      </c>
      <c r="F8" s="367">
        <f>SUMIF(72:72,E8,73:73)-SUMIF(72:72,C8,73:73)+100</f>
        <v>100</v>
      </c>
      <c r="G8" s="368" t="s">
        <v>3721</v>
      </c>
      <c r="H8" s="365">
        <f>SUMIF(72:72,G8,73:73)-SUMIF(72:72,C8,73:73)+100</f>
        <v>100</v>
      </c>
      <c r="I8" s="368" t="s">
        <v>3721</v>
      </c>
      <c r="J8" s="365">
        <f>SUMIF(72:72,I8,73:73)-SUMIF(72:72,C8,73:73)+100</f>
        <v>100</v>
      </c>
      <c r="K8" s="560"/>
      <c r="L8" s="2716"/>
      <c r="M8" s="2717"/>
      <c r="N8" s="2717"/>
      <c r="O8" s="2717"/>
      <c r="P8" s="3685" t="s">
        <v>1682</v>
      </c>
      <c r="Q8" s="3686"/>
      <c r="R8" s="701" t="s">
        <v>14</v>
      </c>
      <c r="S8" s="702">
        <f t="shared" si="0"/>
        <v>100</v>
      </c>
      <c r="T8" s="701" t="s">
        <v>14</v>
      </c>
      <c r="U8" s="702">
        <f t="shared" si="1"/>
        <v>100</v>
      </c>
      <c r="V8" s="701" t="s">
        <v>14</v>
      </c>
      <c r="W8" s="702">
        <f t="shared" si="2"/>
        <v>100</v>
      </c>
      <c r="X8" s="703"/>
      <c r="Y8" s="3685" t="s">
        <v>1682</v>
      </c>
      <c r="Z8" s="3686"/>
      <c r="AA8" s="704">
        <f t="shared" ref="AA8:AA45" si="3">D8/F8</f>
        <v>1</v>
      </c>
      <c r="AB8" s="704">
        <f t="shared" ref="AB8:AB45" si="4">D8/H8</f>
        <v>1</v>
      </c>
      <c r="AC8" s="704">
        <f t="shared" ref="AC8:AC45" si="5">D8/J8</f>
        <v>1</v>
      </c>
    </row>
    <row r="9" spans="1:30" s="108" customFormat="1" ht="15">
      <c r="A9" s="369" t="s">
        <v>1683</v>
      </c>
      <c r="B9" s="63" t="s">
        <v>1684</v>
      </c>
      <c r="C9" s="1976" t="s">
        <v>3720</v>
      </c>
      <c r="D9" s="126">
        <v>100</v>
      </c>
      <c r="E9" s="1976" t="s">
        <v>3722</v>
      </c>
      <c r="F9" s="126">
        <f>SUMIF(74:74,E9,75:75)-SUMIF(74:74,C9,75:75)+100</f>
        <v>120</v>
      </c>
      <c r="G9" s="1976" t="s">
        <v>3722</v>
      </c>
      <c r="H9" s="126">
        <f>SUMIF(74:74,G9,75:75)-SUMIF(74:74,C9,75:75)+100</f>
        <v>120</v>
      </c>
      <c r="I9" s="1976" t="s">
        <v>3722</v>
      </c>
      <c r="J9" s="126">
        <f>SUMIF(74:74,I9,75:75)-SUMIF(74:74,C9,75:75)+100</f>
        <v>120</v>
      </c>
      <c r="K9" s="560"/>
      <c r="L9" s="2716"/>
      <c r="M9" s="2717"/>
      <c r="N9" s="2717"/>
      <c r="O9" s="2771"/>
      <c r="P9" s="3717" t="s">
        <v>1685</v>
      </c>
      <c r="Q9" s="1342" t="str">
        <f t="shared" ref="Q9:Q15" si="6">B9</f>
        <v>用途</v>
      </c>
      <c r="R9" s="701" t="s">
        <v>14</v>
      </c>
      <c r="S9" s="702">
        <f t="shared" si="0"/>
        <v>120</v>
      </c>
      <c r="T9" s="701" t="s">
        <v>14</v>
      </c>
      <c r="U9" s="702">
        <f t="shared" si="1"/>
        <v>120</v>
      </c>
      <c r="V9" s="701" t="s">
        <v>14</v>
      </c>
      <c r="W9" s="702">
        <f t="shared" si="2"/>
        <v>120</v>
      </c>
      <c r="X9" s="703"/>
      <c r="Y9" s="3629" t="s">
        <v>1686</v>
      </c>
      <c r="Z9" s="52" t="str">
        <f t="shared" ref="Z9:Z15" si="7">Q9</f>
        <v>用途</v>
      </c>
      <c r="AA9" s="704">
        <f t="shared" si="3"/>
        <v>0.83333333333333337</v>
      </c>
      <c r="AB9" s="704">
        <f t="shared" si="4"/>
        <v>0.83333333333333337</v>
      </c>
      <c r="AC9" s="704">
        <f t="shared" si="5"/>
        <v>0.83333333333333337</v>
      </c>
    </row>
    <row r="10" spans="1:30" s="378" customFormat="1" ht="27">
      <c r="A10" s="374"/>
      <c r="B10" s="375" t="s">
        <v>1687</v>
      </c>
      <c r="C10" s="383">
        <f>'数据-取费表'!F7</f>
        <v>29.79</v>
      </c>
      <c r="D10" s="127">
        <v>100</v>
      </c>
      <c r="E10" s="416" t="s">
        <v>3790</v>
      </c>
      <c r="F10" s="127">
        <f>ROUND(100/'数据-取费表'!G16,0)</f>
        <v>119</v>
      </c>
      <c r="G10" s="414" t="s">
        <v>3790</v>
      </c>
      <c r="H10" s="127">
        <f>ROUND(100/'数据-取费表'!G16,0)</f>
        <v>119</v>
      </c>
      <c r="I10" s="414" t="s">
        <v>3790</v>
      </c>
      <c r="J10" s="127">
        <f>ROUND(100/'数据-取费表'!G16,0)</f>
        <v>119</v>
      </c>
      <c r="K10" s="620"/>
      <c r="L10" s="2718"/>
      <c r="M10" s="2719"/>
      <c r="N10" s="2719"/>
      <c r="O10" s="2772"/>
      <c r="P10" s="3717"/>
      <c r="Q10" s="1342" t="str">
        <f t="shared" si="6"/>
        <v>土地使用年限（年）</v>
      </c>
      <c r="R10" s="701" t="s">
        <v>14</v>
      </c>
      <c r="S10" s="702">
        <f t="shared" si="0"/>
        <v>119</v>
      </c>
      <c r="T10" s="701" t="s">
        <v>14</v>
      </c>
      <c r="U10" s="702">
        <f t="shared" si="1"/>
        <v>119</v>
      </c>
      <c r="V10" s="701" t="s">
        <v>14</v>
      </c>
      <c r="W10" s="702">
        <f t="shared" si="2"/>
        <v>119</v>
      </c>
      <c r="X10" s="703"/>
      <c r="Y10" s="3629"/>
      <c r="Z10" s="52" t="str">
        <f t="shared" si="7"/>
        <v>土地使用年限（年）</v>
      </c>
      <c r="AA10" s="704">
        <f t="shared" si="3"/>
        <v>0.84033613445378152</v>
      </c>
      <c r="AB10" s="704">
        <f t="shared" si="4"/>
        <v>0.84033613445378152</v>
      </c>
      <c r="AC10" s="704">
        <f t="shared" si="5"/>
        <v>0.84033613445378152</v>
      </c>
    </row>
    <row r="11" spans="1:30" ht="15">
      <c r="A11" s="379"/>
      <c r="B11" s="375" t="s">
        <v>1688</v>
      </c>
      <c r="C11" s="380">
        <f>'数据-汇总表'!I4</f>
        <v>0.78</v>
      </c>
      <c r="D11" s="127">
        <v>100</v>
      </c>
      <c r="E11" s="380">
        <v>2.2000000000000002</v>
      </c>
      <c r="F11" s="127">
        <f>LOOKUP(E11,79:79,80:80)-LOOKUP(C11,79:79,80:80)+100</f>
        <v>96</v>
      </c>
      <c r="G11" s="381">
        <v>2.2000000000000002</v>
      </c>
      <c r="H11" s="127">
        <f>LOOKUP(G11,79:79,80:80)-LOOKUP(C11,79:79,80:80)+100</f>
        <v>96</v>
      </c>
      <c r="I11" s="380">
        <v>3</v>
      </c>
      <c r="J11" s="127">
        <f>LOOKUP(I11,79:79,80:80)-LOOKUP(C11,79:79,80:80)+100</f>
        <v>94</v>
      </c>
      <c r="K11" s="621">
        <v>2</v>
      </c>
      <c r="L11" s="2720"/>
      <c r="M11" s="2715"/>
      <c r="N11" s="2715"/>
      <c r="O11" s="2773"/>
      <c r="P11" s="3717"/>
      <c r="Q11" s="1342" t="str">
        <f t="shared" si="6"/>
        <v>容积率</v>
      </c>
      <c r="R11" s="701" t="s">
        <v>14</v>
      </c>
      <c r="S11" s="702">
        <f t="shared" si="0"/>
        <v>96</v>
      </c>
      <c r="T11" s="701" t="s">
        <v>14</v>
      </c>
      <c r="U11" s="702">
        <f t="shared" si="1"/>
        <v>96</v>
      </c>
      <c r="V11" s="701" t="s">
        <v>14</v>
      </c>
      <c r="W11" s="702">
        <f t="shared" si="2"/>
        <v>94</v>
      </c>
      <c r="X11" s="703"/>
      <c r="Y11" s="3629"/>
      <c r="Z11" s="52" t="str">
        <f t="shared" si="7"/>
        <v>容积率</v>
      </c>
      <c r="AA11" s="704">
        <f t="shared" si="3"/>
        <v>1.0416666666666667</v>
      </c>
      <c r="AB11" s="704">
        <f t="shared" si="4"/>
        <v>1.0416666666666667</v>
      </c>
      <c r="AC11" s="704">
        <f t="shared" si="5"/>
        <v>1.0638297872340425</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7"/>
      <c r="Q12" s="1342"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7"/>
      <c r="Q13" s="1342">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7"/>
      <c r="Q14" s="1342">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9" t="s">
        <v>1690</v>
      </c>
      <c r="Q15" s="1351" t="str">
        <f t="shared" si="6"/>
        <v>居住社区成熟度</v>
      </c>
      <c r="R15" s="705" t="s">
        <v>14</v>
      </c>
      <c r="S15" s="706">
        <f t="shared" si="0"/>
        <v>100</v>
      </c>
      <c r="T15" s="705" t="s">
        <v>14</v>
      </c>
      <c r="U15" s="706">
        <f t="shared" si="1"/>
        <v>100</v>
      </c>
      <c r="V15" s="705" t="s">
        <v>14</v>
      </c>
      <c r="W15" s="706">
        <f t="shared" si="2"/>
        <v>100</v>
      </c>
      <c r="X15" s="1354"/>
      <c r="Y15" s="3719"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0"/>
      <c r="Q16" s="1351"/>
      <c r="R16" s="705"/>
      <c r="S16" s="706"/>
      <c r="T16" s="705"/>
      <c r="U16" s="706"/>
      <c r="V16" s="705"/>
      <c r="W16" s="706"/>
      <c r="X16" s="1354"/>
      <c r="Y16" s="3720"/>
      <c r="Z16" s="1355"/>
      <c r="AA16" s="1352">
        <v>1</v>
      </c>
      <c r="AB16" s="1352">
        <v>1</v>
      </c>
      <c r="AC16" s="1352">
        <v>1</v>
      </c>
    </row>
    <row r="17" spans="1:29" ht="71.25" hidden="1">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0"/>
      <c r="Q17" s="1351" t="str">
        <f>B17</f>
        <v>商业繁华度</v>
      </c>
      <c r="R17" s="705" t="s">
        <v>14</v>
      </c>
      <c r="S17" s="706">
        <f>F17</f>
        <v>100</v>
      </c>
      <c r="T17" s="705" t="s">
        <v>14</v>
      </c>
      <c r="U17" s="706">
        <f>H17</f>
        <v>100</v>
      </c>
      <c r="V17" s="705" t="s">
        <v>14</v>
      </c>
      <c r="W17" s="706">
        <f>J17</f>
        <v>100</v>
      </c>
      <c r="X17" s="1354"/>
      <c r="Y17" s="3720"/>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0"/>
      <c r="Q18" s="1351"/>
      <c r="R18" s="705"/>
      <c r="S18" s="706"/>
      <c r="T18" s="705"/>
      <c r="U18" s="706"/>
      <c r="V18" s="705"/>
      <c r="W18" s="706"/>
      <c r="X18" s="1354"/>
      <c r="Y18" s="3720"/>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98</v>
      </c>
      <c r="K19" s="621">
        <v>2</v>
      </c>
      <c r="L19" s="2721"/>
      <c r="M19" s="2715"/>
      <c r="N19" s="2715"/>
      <c r="O19" s="2773"/>
      <c r="P19" s="3720"/>
      <c r="Q19" s="1351" t="str">
        <f>B19</f>
        <v>办公集聚程度</v>
      </c>
      <c r="R19" s="705" t="s">
        <v>14</v>
      </c>
      <c r="S19" s="706">
        <f>F19</f>
        <v>100</v>
      </c>
      <c r="T19" s="705" t="s">
        <v>14</v>
      </c>
      <c r="U19" s="706">
        <f>H19</f>
        <v>100</v>
      </c>
      <c r="V19" s="705" t="s">
        <v>14</v>
      </c>
      <c r="W19" s="706">
        <f>J19</f>
        <v>98</v>
      </c>
      <c r="X19" s="1354"/>
      <c r="Y19" s="3720"/>
      <c r="Z19" s="1355" t="str">
        <f>Q19</f>
        <v>办公集聚程度</v>
      </c>
      <c r="AA19" s="1352">
        <f t="shared" si="3"/>
        <v>1</v>
      </c>
      <c r="AB19" s="1352">
        <f t="shared" si="4"/>
        <v>1</v>
      </c>
      <c r="AC19" s="1352">
        <f t="shared" si="5"/>
        <v>1.0204081632653061</v>
      </c>
    </row>
    <row r="20" spans="1:29" ht="15">
      <c r="A20" s="379"/>
      <c r="B20" s="407"/>
      <c r="C20" s="398" t="s">
        <v>3724</v>
      </c>
      <c r="D20" s="399"/>
      <c r="E20" s="1897" t="s">
        <v>3724</v>
      </c>
      <c r="F20" s="399"/>
      <c r="G20" s="1897" t="s">
        <v>3724</v>
      </c>
      <c r="H20" s="399"/>
      <c r="I20" s="1896" t="s">
        <v>3725</v>
      </c>
      <c r="J20" s="399"/>
      <c r="K20" s="620"/>
      <c r="L20" s="2721"/>
      <c r="M20" s="2715"/>
      <c r="N20" s="2715"/>
      <c r="O20" s="2773"/>
      <c r="P20" s="3720"/>
      <c r="Q20" s="1351"/>
      <c r="R20" s="705"/>
      <c r="S20" s="706"/>
      <c r="T20" s="705"/>
      <c r="U20" s="706"/>
      <c r="V20" s="705"/>
      <c r="W20" s="706"/>
      <c r="X20" s="1354"/>
      <c r="Y20" s="3720"/>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105</v>
      </c>
      <c r="G21" s="403"/>
      <c r="H21" s="401">
        <f>SUMIF(93:93,G22,94:94)-SUMIF(93:93,C22,94:94)+100</f>
        <v>105</v>
      </c>
      <c r="I21" s="405"/>
      <c r="J21" s="401">
        <f>SUMIF(93:93,I22,94:94)-SUMIF(93:93,C22,94:94)+100</f>
        <v>100</v>
      </c>
      <c r="K21" s="621">
        <v>5</v>
      </c>
      <c r="L21" s="2721"/>
      <c r="M21" s="2715"/>
      <c r="N21" s="2715"/>
      <c r="O21" s="2773"/>
      <c r="P21" s="3720"/>
      <c r="Q21" s="1351" t="str">
        <f>B21</f>
        <v>交通便捷度</v>
      </c>
      <c r="R21" s="705" t="s">
        <v>14</v>
      </c>
      <c r="S21" s="706">
        <f>F21</f>
        <v>105</v>
      </c>
      <c r="T21" s="705" t="s">
        <v>14</v>
      </c>
      <c r="U21" s="706">
        <f>H21</f>
        <v>105</v>
      </c>
      <c r="V21" s="705" t="s">
        <v>14</v>
      </c>
      <c r="W21" s="706">
        <f>J21</f>
        <v>100</v>
      </c>
      <c r="X21" s="1354"/>
      <c r="Y21" s="3720"/>
      <c r="Z21" s="1355" t="str">
        <f>Q21</f>
        <v>交通便捷度</v>
      </c>
      <c r="AA21" s="1352">
        <f t="shared" si="3"/>
        <v>0.95238095238095233</v>
      </c>
      <c r="AB21" s="1352">
        <f t="shared" si="4"/>
        <v>0.95238095238095233</v>
      </c>
      <c r="AC21" s="1352">
        <f t="shared" si="5"/>
        <v>1</v>
      </c>
    </row>
    <row r="22" spans="1:29" ht="15">
      <c r="A22" s="379"/>
      <c r="B22" s="1131"/>
      <c r="C22" s="398" t="s">
        <v>3725</v>
      </c>
      <c r="D22" s="401"/>
      <c r="E22" s="398" t="s">
        <v>3724</v>
      </c>
      <c r="F22" s="399"/>
      <c r="G22" s="398" t="s">
        <v>3724</v>
      </c>
      <c r="H22" s="399"/>
      <c r="I22" s="398" t="s">
        <v>3725</v>
      </c>
      <c r="J22" s="399"/>
      <c r="K22" s="620"/>
      <c r="L22" s="2721"/>
      <c r="M22" s="2715"/>
      <c r="N22" s="2715"/>
      <c r="O22" s="2773"/>
      <c r="P22" s="3720"/>
      <c r="Q22" s="1351"/>
      <c r="R22" s="705"/>
      <c r="S22" s="706"/>
      <c r="T22" s="705"/>
      <c r="U22" s="706"/>
      <c r="V22" s="705"/>
      <c r="W22" s="706"/>
      <c r="X22" s="1354"/>
      <c r="Y22" s="3720"/>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20"/>
      <c r="Q23" s="1351" t="str">
        <f t="shared" ref="Q23:Q37" si="8">B23</f>
        <v>区域土地利用方向</v>
      </c>
      <c r="R23" s="705" t="s">
        <v>14</v>
      </c>
      <c r="S23" s="706">
        <f>F23</f>
        <v>100</v>
      </c>
      <c r="T23" s="705" t="s">
        <v>14</v>
      </c>
      <c r="U23" s="706">
        <f>H23</f>
        <v>100</v>
      </c>
      <c r="V23" s="705" t="s">
        <v>14</v>
      </c>
      <c r="W23" s="706">
        <f>J23</f>
        <v>100</v>
      </c>
      <c r="X23" s="1354"/>
      <c r="Y23" s="3720"/>
      <c r="Z23" s="1355" t="str">
        <f>Q23</f>
        <v>区域土地利用方向</v>
      </c>
      <c r="AA23" s="1352">
        <f t="shared" si="3"/>
        <v>1</v>
      </c>
      <c r="AB23" s="1352">
        <f t="shared" si="4"/>
        <v>1</v>
      </c>
      <c r="AC23" s="1352">
        <f t="shared" si="5"/>
        <v>1</v>
      </c>
    </row>
    <row r="24" spans="1:29" ht="15">
      <c r="A24" s="358"/>
      <c r="B24" s="407"/>
      <c r="C24" s="565" t="s">
        <v>3724</v>
      </c>
      <c r="D24" s="399"/>
      <c r="E24" s="565" t="s">
        <v>3724</v>
      </c>
      <c r="F24" s="399"/>
      <c r="G24" s="565" t="s">
        <v>3724</v>
      </c>
      <c r="H24" s="399"/>
      <c r="I24" s="1896" t="s">
        <v>3724</v>
      </c>
      <c r="J24" s="399"/>
      <c r="K24" s="740"/>
      <c r="L24" s="2721"/>
      <c r="M24" s="2715"/>
      <c r="N24" s="2715"/>
      <c r="O24" s="2773"/>
      <c r="P24" s="3720"/>
      <c r="Q24" s="1351"/>
      <c r="R24" s="705"/>
      <c r="S24" s="706"/>
      <c r="T24" s="705"/>
      <c r="U24" s="706"/>
      <c r="V24" s="705"/>
      <c r="W24" s="706"/>
      <c r="X24" s="1354"/>
      <c r="Y24" s="3720"/>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21"/>
      <c r="M25" s="2715"/>
      <c r="N25" s="2715"/>
      <c r="O25" s="2773"/>
      <c r="P25" s="3720"/>
      <c r="Q25" s="1351" t="str">
        <f t="shared" si="8"/>
        <v>自然及人文环境状况</v>
      </c>
      <c r="R25" s="705" t="s">
        <v>14</v>
      </c>
      <c r="S25" s="706">
        <f>F25</f>
        <v>100</v>
      </c>
      <c r="T25" s="705" t="s">
        <v>14</v>
      </c>
      <c r="U25" s="706">
        <f>H25</f>
        <v>100</v>
      </c>
      <c r="V25" s="705" t="s">
        <v>14</v>
      </c>
      <c r="W25" s="706">
        <f>J25</f>
        <v>100</v>
      </c>
      <c r="X25" s="1354"/>
      <c r="Y25" s="3720"/>
      <c r="Z25" s="1355" t="str">
        <f>Q25</f>
        <v>自然及人文环境状况</v>
      </c>
      <c r="AA25" s="1352">
        <f t="shared" si="3"/>
        <v>1</v>
      </c>
      <c r="AB25" s="1352">
        <f t="shared" si="4"/>
        <v>1</v>
      </c>
      <c r="AC25" s="1352">
        <f t="shared" si="5"/>
        <v>1</v>
      </c>
    </row>
    <row r="26" spans="1:29" ht="15">
      <c r="A26" s="358"/>
      <c r="B26" s="407"/>
      <c r="C26" s="398" t="s">
        <v>3724</v>
      </c>
      <c r="D26" s="399"/>
      <c r="E26" s="1903" t="s">
        <v>3724</v>
      </c>
      <c r="F26" s="399"/>
      <c r="G26" s="1903" t="s">
        <v>3724</v>
      </c>
      <c r="H26" s="399"/>
      <c r="I26" s="1903" t="s">
        <v>3724</v>
      </c>
      <c r="J26" s="399"/>
      <c r="K26" s="620"/>
      <c r="L26" s="2721"/>
      <c r="M26" s="2715"/>
      <c r="N26" s="2715"/>
      <c r="O26" s="2773"/>
      <c r="P26" s="3720"/>
      <c r="Q26" s="1351"/>
      <c r="R26" s="705"/>
      <c r="S26" s="706"/>
      <c r="T26" s="705"/>
      <c r="U26" s="706"/>
      <c r="V26" s="705"/>
      <c r="W26" s="706"/>
      <c r="X26" s="1354"/>
      <c r="Y26" s="3720"/>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6"/>
      <c r="M27" s="2717"/>
      <c r="N27" s="2717"/>
      <c r="O27" s="2771"/>
      <c r="P27" s="3720"/>
      <c r="Q27" s="1342" t="str">
        <f t="shared" si="8"/>
        <v>公共配套设施</v>
      </c>
      <c r="R27" s="701" t="s">
        <v>14</v>
      </c>
      <c r="S27" s="702">
        <f>F27</f>
        <v>100</v>
      </c>
      <c r="T27" s="701" t="s">
        <v>14</v>
      </c>
      <c r="U27" s="702">
        <f>H27</f>
        <v>100</v>
      </c>
      <c r="V27" s="701" t="s">
        <v>14</v>
      </c>
      <c r="W27" s="702">
        <f>J27</f>
        <v>100</v>
      </c>
      <c r="X27" s="703"/>
      <c r="Y27" s="3720"/>
      <c r="Z27" s="52" t="str">
        <f>Q27</f>
        <v>公共配套设施</v>
      </c>
      <c r="AA27" s="1352">
        <f>D27/F27</f>
        <v>1</v>
      </c>
      <c r="AB27" s="1352">
        <f>D27/H27</f>
        <v>1</v>
      </c>
      <c r="AC27" s="1352">
        <f>D27/J27</f>
        <v>1</v>
      </c>
    </row>
    <row r="28" spans="1:29" s="108" customFormat="1" ht="15">
      <c r="A28" s="597"/>
      <c r="B28" s="407"/>
      <c r="C28" s="1977" t="s">
        <v>3724</v>
      </c>
      <c r="D28" s="399"/>
      <c r="E28" s="1977" t="s">
        <v>3724</v>
      </c>
      <c r="F28" s="399"/>
      <c r="G28" s="1977" t="s">
        <v>3724</v>
      </c>
      <c r="H28" s="399"/>
      <c r="I28" s="1977" t="s">
        <v>3724</v>
      </c>
      <c r="J28" s="399"/>
      <c r="K28" s="620"/>
      <c r="L28" s="2716"/>
      <c r="M28" s="2717"/>
      <c r="N28" s="2717"/>
      <c r="O28" s="2771"/>
      <c r="P28" s="3720"/>
      <c r="Q28" s="1342"/>
      <c r="R28" s="701"/>
      <c r="S28" s="702"/>
      <c r="T28" s="701"/>
      <c r="U28" s="702"/>
      <c r="V28" s="701"/>
      <c r="W28" s="702"/>
      <c r="X28" s="703"/>
      <c r="Y28" s="3720"/>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6"/>
      <c r="M29" s="2717"/>
      <c r="N29" s="2717"/>
      <c r="O29" s="2771"/>
      <c r="P29" s="3720"/>
      <c r="Q29" s="1342"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2">
        <f>D29/F29</f>
        <v>1</v>
      </c>
      <c r="AB29" s="1352">
        <f>D29/H29</f>
        <v>1</v>
      </c>
      <c r="AC29" s="1352">
        <f>D29/J29</f>
        <v>1</v>
      </c>
    </row>
    <row r="30" spans="1:29" s="108" customFormat="1" ht="15.75" thickBot="1">
      <c r="A30" s="597"/>
      <c r="B30" s="407"/>
      <c r="C30" s="1977" t="s">
        <v>3727</v>
      </c>
      <c r="D30" s="399"/>
      <c r="E30" s="1977" t="s">
        <v>3727</v>
      </c>
      <c r="F30" s="399"/>
      <c r="G30" s="1977" t="s">
        <v>3727</v>
      </c>
      <c r="H30" s="399"/>
      <c r="I30" s="1977" t="s">
        <v>3727</v>
      </c>
      <c r="J30" s="399"/>
      <c r="K30" s="620"/>
      <c r="L30" s="2716"/>
      <c r="M30" s="2717"/>
      <c r="N30" s="2717"/>
      <c r="O30" s="2771"/>
      <c r="P30" s="3720"/>
      <c r="Q30" s="1342"/>
      <c r="R30" s="701"/>
      <c r="S30" s="702"/>
      <c r="T30" s="701"/>
      <c r="U30" s="702"/>
      <c r="V30" s="701"/>
      <c r="W30" s="702"/>
      <c r="X30" s="703"/>
      <c r="Y30" s="3720"/>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0"/>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0"/>
      <c r="Q32" s="1351" t="str">
        <f t="shared" si="8"/>
        <v>毗邻道路的类型与等级</v>
      </c>
      <c r="R32" s="705" t="s">
        <v>14</v>
      </c>
      <c r="S32" s="706">
        <f t="shared" si="10"/>
        <v>100</v>
      </c>
      <c r="T32" s="705" t="s">
        <v>14</v>
      </c>
      <c r="U32" s="706">
        <f t="shared" si="11"/>
        <v>100</v>
      </c>
      <c r="V32" s="705" t="s">
        <v>14</v>
      </c>
      <c r="W32" s="706">
        <f t="shared" si="12"/>
        <v>100</v>
      </c>
      <c r="X32" s="1354"/>
      <c r="Y32" s="3720"/>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21"/>
      <c r="M33" s="2715"/>
      <c r="N33" s="2715"/>
      <c r="O33" s="2773"/>
      <c r="P33" s="3720"/>
      <c r="Q33" s="1351"/>
      <c r="R33" s="705"/>
      <c r="S33" s="706"/>
      <c r="T33" s="705"/>
      <c r="U33" s="706"/>
      <c r="V33" s="705"/>
      <c r="W33" s="706"/>
      <c r="X33" s="1354"/>
      <c r="Y33" s="3720"/>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0"/>
      <c r="Q34" s="1351" t="str">
        <f t="shared" si="8"/>
        <v>土地级别</v>
      </c>
      <c r="R34" s="705" t="s">
        <v>14</v>
      </c>
      <c r="S34" s="706">
        <f t="shared" si="10"/>
        <v>100</v>
      </c>
      <c r="T34" s="705" t="s">
        <v>14</v>
      </c>
      <c r="U34" s="706">
        <f t="shared" si="11"/>
        <v>100</v>
      </c>
      <c r="V34" s="705" t="s">
        <v>14</v>
      </c>
      <c r="W34" s="706">
        <f t="shared" si="12"/>
        <v>100</v>
      </c>
      <c r="X34" s="1354"/>
      <c r="Y34" s="3720"/>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0"/>
      <c r="Q35" s="1351">
        <f t="shared" si="8"/>
        <v>111</v>
      </c>
      <c r="R35" s="705" t="s">
        <v>14</v>
      </c>
      <c r="S35" s="706">
        <f t="shared" si="10"/>
        <v>100</v>
      </c>
      <c r="T35" s="705" t="s">
        <v>14</v>
      </c>
      <c r="U35" s="706">
        <f t="shared" si="11"/>
        <v>100</v>
      </c>
      <c r="V35" s="705" t="s">
        <v>14</v>
      </c>
      <c r="W35" s="706">
        <f t="shared" si="12"/>
        <v>100</v>
      </c>
      <c r="X35" s="1354"/>
      <c r="Y35" s="3720"/>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1695</v>
      </c>
      <c r="Q36" s="1351">
        <f t="shared" si="8"/>
        <v>111</v>
      </c>
      <c r="R36" s="705" t="s">
        <v>14</v>
      </c>
      <c r="S36" s="706">
        <f t="shared" si="10"/>
        <v>100</v>
      </c>
      <c r="T36" s="705" t="s">
        <v>14</v>
      </c>
      <c r="U36" s="706">
        <f t="shared" si="11"/>
        <v>100</v>
      </c>
      <c r="V36" s="705" t="s">
        <v>14</v>
      </c>
      <c r="W36" s="706">
        <f t="shared" si="12"/>
        <v>100</v>
      </c>
      <c r="X36" s="1354"/>
      <c r="Y36" s="3724"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1693</v>
      </c>
      <c r="B38" s="407" t="s">
        <v>1873</v>
      </c>
      <c r="C38" s="627">
        <f>'数据-基础表'!A3</f>
        <v>62378.94</v>
      </c>
      <c r="D38" s="418">
        <v>100</v>
      </c>
      <c r="E38" s="627">
        <f>案例!G2</f>
        <v>32733.22</v>
      </c>
      <c r="F38" s="418">
        <f>LOOKUP(E38,116:116,117:117)-LOOKUP(C38,116:116,117:117)+100</f>
        <v>99</v>
      </c>
      <c r="G38" s="627">
        <f>案例!G3</f>
        <v>29506.55</v>
      </c>
      <c r="H38" s="418">
        <f>LOOKUP(G38,116:116,117:117)-LOOKUP(C38,116:116,117:117)+100</f>
        <v>99</v>
      </c>
      <c r="I38" s="479">
        <f>案例!G18</f>
        <v>12501.51</v>
      </c>
      <c r="J38" s="418">
        <f>LOOKUP(I38,116:116,117:117)-LOOKUP(C38,116:116,117:117)+100</f>
        <v>98.5</v>
      </c>
      <c r="K38" s="562"/>
      <c r="L38" s="2721"/>
      <c r="M38" s="2715"/>
      <c r="N38" s="2715"/>
      <c r="O38" s="2773"/>
      <c r="P38" s="3724"/>
      <c r="Q38" s="1351" t="str">
        <f>B38</f>
        <v>宗地面积</v>
      </c>
      <c r="R38" s="705" t="s">
        <v>14</v>
      </c>
      <c r="S38" s="706">
        <f t="shared" si="10"/>
        <v>99</v>
      </c>
      <c r="T38" s="705" t="s">
        <v>14</v>
      </c>
      <c r="U38" s="706">
        <f t="shared" si="11"/>
        <v>99</v>
      </c>
      <c r="V38" s="705" t="s">
        <v>14</v>
      </c>
      <c r="W38" s="706">
        <f t="shared" si="12"/>
        <v>98.5</v>
      </c>
      <c r="X38" s="1354"/>
      <c r="Y38" s="3724"/>
      <c r="Z38" s="1355" t="str">
        <f t="shared" si="13"/>
        <v>宗地面积</v>
      </c>
      <c r="AA38" s="1352">
        <f t="shared" si="3"/>
        <v>1.0101010101010102</v>
      </c>
      <c r="AB38" s="1352">
        <f t="shared" si="4"/>
        <v>1.0101010101010102</v>
      </c>
      <c r="AC38" s="1352">
        <f t="shared" si="5"/>
        <v>1.015228426395939</v>
      </c>
    </row>
    <row r="39" spans="1:29" ht="15">
      <c r="A39" s="423"/>
      <c r="B39" s="375" t="s">
        <v>1874</v>
      </c>
      <c r="C39" s="1905" t="s">
        <v>3728</v>
      </c>
      <c r="D39" s="386">
        <v>100</v>
      </c>
      <c r="E39" s="1905" t="s">
        <v>3728</v>
      </c>
      <c r="F39" s="386">
        <f>SUMIF(118:118,E39,119:119)-SUMIF(118:118,C39,119:119)+100</f>
        <v>100</v>
      </c>
      <c r="G39" s="1905" t="s">
        <v>3728</v>
      </c>
      <c r="H39" s="386">
        <f>SUMIF(118:118,G39,119:119)-SUMIF(118:118,C39,119:119)+100</f>
        <v>100</v>
      </c>
      <c r="I39" s="1905" t="s">
        <v>3728</v>
      </c>
      <c r="J39" s="386">
        <f>SUMIF(118:118,I39,119:119)-SUMIF(118:118,C39,119:119)+100</f>
        <v>100</v>
      </c>
      <c r="K39" s="561">
        <v>2</v>
      </c>
      <c r="L39" s="2721"/>
      <c r="M39" s="2715"/>
      <c r="N39" s="2715"/>
      <c r="O39" s="2773"/>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1875</v>
      </c>
      <c r="C40" s="1905" t="s">
        <v>3730</v>
      </c>
      <c r="D40" s="386">
        <v>100</v>
      </c>
      <c r="E40" s="1905" t="s">
        <v>3730</v>
      </c>
      <c r="F40" s="386">
        <f>SUMIF(120:120,E40,121:121)-SUMIF(120:120,C40,121:121)+100</f>
        <v>100</v>
      </c>
      <c r="G40" s="1905" t="s">
        <v>3730</v>
      </c>
      <c r="H40" s="386">
        <f>SUMIF(120:120,G40,121:121)-SUMIF(120:120,C40,121:121)+100</f>
        <v>100</v>
      </c>
      <c r="I40" s="1905" t="s">
        <v>3730</v>
      </c>
      <c r="J40" s="386">
        <f>SUMIF(120:120,I40,121:121)-SUMIF(120:120,C40,121:121)+100</f>
        <v>100</v>
      </c>
      <c r="K40" s="561">
        <v>2</v>
      </c>
      <c r="L40" s="2721"/>
      <c r="M40" s="2715"/>
      <c r="N40" s="2715"/>
      <c r="O40" s="2773"/>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1876</v>
      </c>
      <c r="C41" s="1979" t="s">
        <v>3733</v>
      </c>
      <c r="D41" s="127">
        <v>100</v>
      </c>
      <c r="E41" s="1979" t="s">
        <v>3735</v>
      </c>
      <c r="F41" s="386">
        <f>SUMIF(122:122,E41,123:123)-SUMIF(122:122,C41,123:123)+100</f>
        <v>99.5</v>
      </c>
      <c r="G41" s="1979" t="s">
        <v>3735</v>
      </c>
      <c r="H41" s="386">
        <f>SUMIF(122:122,G41,123:123)-SUMIF(122:122,C41,123:123)+100</f>
        <v>99.5</v>
      </c>
      <c r="I41" s="1979" t="s">
        <v>3735</v>
      </c>
      <c r="J41" s="386">
        <f>SUMIF(122:122,I41,123:123)-SUMIF(122:122,C41,123:123)+100</f>
        <v>99.5</v>
      </c>
      <c r="K41" s="561">
        <v>0.5</v>
      </c>
      <c r="L41" s="2716"/>
      <c r="M41" s="2717"/>
      <c r="N41" s="2717"/>
      <c r="O41" s="2771"/>
      <c r="P41" s="3724"/>
      <c r="Q41" s="1351" t="str">
        <f t="shared" si="14"/>
        <v>宗地开发程度</v>
      </c>
      <c r="R41" s="701" t="s">
        <v>14</v>
      </c>
      <c r="S41" s="702">
        <f t="shared" si="10"/>
        <v>99.5</v>
      </c>
      <c r="T41" s="701" t="s">
        <v>14</v>
      </c>
      <c r="U41" s="702">
        <f t="shared" si="11"/>
        <v>99.5</v>
      </c>
      <c r="V41" s="701" t="s">
        <v>14</v>
      </c>
      <c r="W41" s="702">
        <f t="shared" si="12"/>
        <v>99.5</v>
      </c>
      <c r="X41" s="703"/>
      <c r="Y41" s="3724"/>
      <c r="Z41" s="52" t="str">
        <f t="shared" si="13"/>
        <v>宗地开发程度</v>
      </c>
      <c r="AA41" s="704">
        <f t="shared" si="3"/>
        <v>1.0050251256281406</v>
      </c>
      <c r="AB41" s="704">
        <f t="shared" si="4"/>
        <v>1.0050251256281406</v>
      </c>
      <c r="AC41" s="704">
        <f t="shared" si="5"/>
        <v>1.0050251256281406</v>
      </c>
    </row>
    <row r="42" spans="1:29" ht="15.75" thickBot="1">
      <c r="A42" s="423"/>
      <c r="B42" s="375" t="s">
        <v>1877</v>
      </c>
      <c r="C42" s="1905" t="s">
        <v>3724</v>
      </c>
      <c r="D42" s="386">
        <v>100</v>
      </c>
      <c r="E42" s="1905" t="s">
        <v>3724</v>
      </c>
      <c r="F42" s="386">
        <f>SUMIF(124:124,E42,125:125)-SUMIF(124:124,C42,125:125)+100</f>
        <v>100</v>
      </c>
      <c r="G42" s="1905" t="s">
        <v>3724</v>
      </c>
      <c r="H42" s="386">
        <f>SUMIF(124:124,G42,125:125)-SUMIF(124:124,C42,125:125)+100</f>
        <v>100</v>
      </c>
      <c r="I42" s="1905" t="s">
        <v>3724</v>
      </c>
      <c r="J42" s="386">
        <f>SUMIF(124:124,I42,125:125)-SUMIF(124:124,C42,125:125)+100</f>
        <v>100</v>
      </c>
      <c r="K42" s="561">
        <v>2</v>
      </c>
      <c r="L42" s="2721"/>
      <c r="M42" s="2715"/>
      <c r="N42" s="2715"/>
      <c r="O42" s="2773"/>
      <c r="P42" s="3724" t="s">
        <v>1695</v>
      </c>
      <c r="Q42" s="1351" t="str">
        <f t="shared" si="14"/>
        <v>工程地质条件</v>
      </c>
      <c r="R42" s="705" t="s">
        <v>14</v>
      </c>
      <c r="S42" s="706">
        <f t="shared" si="10"/>
        <v>100</v>
      </c>
      <c r="T42" s="705" t="s">
        <v>14</v>
      </c>
      <c r="U42" s="706">
        <f t="shared" si="11"/>
        <v>100</v>
      </c>
      <c r="V42" s="705" t="s">
        <v>14</v>
      </c>
      <c r="W42" s="706">
        <f t="shared" si="12"/>
        <v>100</v>
      </c>
      <c r="X42" s="1354"/>
      <c r="Y42" s="3724"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1843</v>
      </c>
      <c r="B46" s="1981" t="s">
        <v>1878</v>
      </c>
      <c r="C46" s="630" t="s">
        <v>0</v>
      </c>
      <c r="D46" s="432"/>
      <c r="E46" s="433">
        <f>案例!R2</f>
        <v>20691</v>
      </c>
      <c r="F46" s="434"/>
      <c r="G46" s="435">
        <f>案例!R3</f>
        <v>20797</v>
      </c>
      <c r="H46" s="436"/>
      <c r="I46" s="433">
        <f>案例!R18</f>
        <v>14931</v>
      </c>
      <c r="J46" s="436"/>
      <c r="K46" s="714"/>
      <c r="L46" s="2723"/>
      <c r="M46" s="2724"/>
      <c r="N46" s="2715"/>
      <c r="O46" s="2724"/>
      <c r="P46" s="3717" t="str">
        <f>A46</f>
        <v>成交单价</v>
      </c>
      <c r="Q46" s="3717"/>
      <c r="R46" s="3712">
        <f>E46</f>
        <v>20691</v>
      </c>
      <c r="S46" s="3712"/>
      <c r="T46" s="3712">
        <f>G46</f>
        <v>20797</v>
      </c>
      <c r="U46" s="3712"/>
      <c r="V46" s="3712">
        <f>I46</f>
        <v>14931</v>
      </c>
      <c r="W46" s="3712"/>
      <c r="X46" s="690"/>
      <c r="Y46" s="712"/>
      <c r="Z46" s="690"/>
      <c r="AA46" s="690"/>
      <c r="AB46" s="690"/>
      <c r="AC46" s="690"/>
    </row>
    <row r="47" spans="1:29" ht="15.75" thickBot="1">
      <c r="A47" s="437" t="s">
        <v>1792</v>
      </c>
      <c r="B47" s="631"/>
      <c r="C47" s="440">
        <f>R48</f>
        <v>13775</v>
      </c>
      <c r="D47" s="2316" t="s">
        <v>2136</v>
      </c>
      <c r="E47" s="440">
        <f>R47</f>
        <v>14637</v>
      </c>
      <c r="F47" s="2317"/>
      <c r="G47" s="439">
        <f>T47</f>
        <v>14712</v>
      </c>
      <c r="H47" s="2317"/>
      <c r="I47" s="440">
        <f>V47</f>
        <v>11976</v>
      </c>
      <c r="J47" s="2317"/>
      <c r="K47" s="2319">
        <f>F47+H47+J47</f>
        <v>0</v>
      </c>
      <c r="L47" s="2723"/>
      <c r="M47" s="2724"/>
      <c r="N47" s="2724"/>
      <c r="O47" s="2724"/>
      <c r="P47" s="3717" t="str">
        <f>A47</f>
        <v>比较价值（元/平方米）</v>
      </c>
      <c r="Q47" s="3717"/>
      <c r="R47" s="3745">
        <f>ROUND(PRODUCT(R46,AA7:AA45),0)</f>
        <v>14637</v>
      </c>
      <c r="S47" s="3745"/>
      <c r="T47" s="3745">
        <f>ROUND(PRODUCT(T46,AB7:AB45),0)</f>
        <v>14712</v>
      </c>
      <c r="U47" s="3745"/>
      <c r="V47" s="3745">
        <f>ROUND(PRODUCT(V46,AC7:AC45),0)</f>
        <v>11976</v>
      </c>
      <c r="W47" s="3745"/>
      <c r="X47" s="690"/>
      <c r="Y47" s="690"/>
      <c r="Z47" s="690"/>
      <c r="AA47" s="690"/>
      <c r="AB47" s="690"/>
      <c r="AC47" s="690"/>
    </row>
    <row r="48" spans="1:29" ht="15.75" thickBot="1">
      <c r="A48" s="441" t="s">
        <v>1879</v>
      </c>
      <c r="B48" s="442"/>
      <c r="C48" s="443">
        <f>R48</f>
        <v>13775</v>
      </c>
      <c r="D48" s="443"/>
      <c r="E48" s="443"/>
      <c r="F48" s="443"/>
      <c r="G48" s="443"/>
      <c r="H48" s="443"/>
      <c r="I48" s="443"/>
      <c r="J48" s="443"/>
      <c r="K48" s="715"/>
      <c r="L48" s="2723"/>
      <c r="M48" s="2724"/>
      <c r="N48" s="2724"/>
      <c r="O48" s="2724"/>
      <c r="P48" s="3714" t="str">
        <f>A48</f>
        <v>估价对象XX用房的比较价值（楼面单价，元/平方米）</v>
      </c>
      <c r="Q48" s="3715"/>
      <c r="R48" s="3746">
        <f>ROUND(IF(D47="简单平均",AVERAGE(R47:W47),R47*F47+T47*H47+V47*J47),0)</f>
        <v>13775</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0.41360934617749545</v>
      </c>
      <c r="F51" s="449" t="str">
        <f>IF(OR(E51&gt;=0.3,E51&lt;=-0.3),"超过30%","")</f>
        <v>超过30%</v>
      </c>
      <c r="G51" s="448">
        <f>IF(G46&lt;G47,G47/G46-1,G46/G47-1)</f>
        <v>0.41360793909733551</v>
      </c>
      <c r="H51" s="449" t="str">
        <f>IF(OR(G51&gt;=0.3,G51&lt;=-0.3),"超过30%","")</f>
        <v>超过30%</v>
      </c>
      <c r="I51" s="448">
        <f>IF(I46&lt;I47,I47/I46-1,I46/I47-1)</f>
        <v>0.24674348697394799</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5.1240008198401021E-3</v>
      </c>
      <c r="F52" s="449" t="str">
        <f>IF(OR(E52&gt;=0.2,E52&lt;=-0.2),"超过20%","")</f>
        <v/>
      </c>
      <c r="G52" s="448">
        <f>IF(G47&lt;I47,I47/G47-1,G47/I47-1)</f>
        <v>0.22845691382765532</v>
      </c>
      <c r="H52" s="449" t="str">
        <f>IF(OR(G52&gt;=0.2,G52&lt;=-0.2),"超过20%","")</f>
        <v>超过20%</v>
      </c>
      <c r="I52" s="448">
        <f>IF(I47&lt;E47,E47/I47-1,I47/E47-1)</f>
        <v>0.22219438877755504</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5.1230003383113676E-3</v>
      </c>
      <c r="F53" s="449" t="str">
        <f>IF(OR(E53&gt;=0.3,E53&lt;=-0.3),"超过30%","")</f>
        <v/>
      </c>
      <c r="G53" s="448">
        <f>IF(G46&lt;I46,I46/G46-1,G46/I46-1)</f>
        <v>0.39287388654477251</v>
      </c>
      <c r="H53" s="449" t="str">
        <f>IF(OR(G53&gt;=0.3,G53&lt;=-0.3),"超过30%","")</f>
        <v>超过30%</v>
      </c>
      <c r="I53" s="448">
        <f>IF(I46&lt;E46,E46/I46-1,I46/E46-1)</f>
        <v>0.38577456298975288</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00" t="s">
        <v>1886</v>
      </c>
      <c r="H55" s="3747"/>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13775</v>
      </c>
      <c r="C56" s="638">
        <v>1</v>
      </c>
      <c r="D56" s="944">
        <v>1</v>
      </c>
      <c r="E56" s="638">
        <f>'数据-汇总表'!E8+'数据-汇总表'!E9</f>
        <v>47659.19</v>
      </c>
      <c r="F56" s="886">
        <f t="shared" ref="F56:F64" si="15">ROUND(B56*E56/10000,0)</f>
        <v>65651</v>
      </c>
      <c r="G56" s="3699"/>
      <c r="H56" s="371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f>ROUND($C$48*C57*D57,0)</f>
        <v>0</v>
      </c>
      <c r="C57" s="171">
        <f t="shared" ref="C57:C64" si="16">IF($C$55="北京市系数",I57,J57)</f>
        <v>0</v>
      </c>
      <c r="D57" s="945">
        <v>0.25</v>
      </c>
      <c r="E57" s="642"/>
      <c r="F57" s="886">
        <f t="shared" si="15"/>
        <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f t="shared" si="17"/>
        <v>861</v>
      </c>
      <c r="C60" s="171">
        <f t="shared" si="16"/>
        <v>0.25</v>
      </c>
      <c r="D60" s="945">
        <v>0.25</v>
      </c>
      <c r="E60" s="217">
        <f>'数据-汇总表'!E11</f>
        <v>21645.89</v>
      </c>
      <c r="F60" s="886">
        <f t="shared" si="15"/>
        <v>1864</v>
      </c>
      <c r="G60" s="1986" t="s">
        <v>1895</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f t="shared" si="17"/>
        <v>861</v>
      </c>
      <c r="C61" s="171">
        <f t="shared" si="16"/>
        <v>0.25</v>
      </c>
      <c r="D61" s="945">
        <v>0.25</v>
      </c>
      <c r="E61" s="217">
        <f>'数据-汇总表'!E12</f>
        <v>0</v>
      </c>
      <c r="F61" s="886">
        <f t="shared" si="15"/>
        <v>0</v>
      </c>
      <c r="G61" s="892" t="s">
        <v>1897</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f t="shared" si="17"/>
        <v>517</v>
      </c>
      <c r="C62" s="171">
        <f t="shared" si="16"/>
        <v>0.15</v>
      </c>
      <c r="D62" s="945">
        <v>0.25</v>
      </c>
      <c r="E62" s="217">
        <f>'数据-汇总表'!E13</f>
        <v>0</v>
      </c>
      <c r="F62" s="886">
        <f t="shared" si="15"/>
        <v>0</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f t="shared" si="17"/>
        <v>0</v>
      </c>
      <c r="C63" s="171">
        <f t="shared" si="16"/>
        <v>0</v>
      </c>
      <c r="D63" s="945">
        <v>0.25</v>
      </c>
      <c r="E63" s="217">
        <f>'数据-汇总表'!E14</f>
        <v>0</v>
      </c>
      <c r="F63" s="886">
        <f t="shared" si="15"/>
        <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f t="shared" si="17"/>
        <v>517</v>
      </c>
      <c r="C64" s="171">
        <f t="shared" si="16"/>
        <v>0.15</v>
      </c>
      <c r="D64" s="945">
        <v>0.25</v>
      </c>
      <c r="E64" s="217">
        <f>'数据-汇总表'!E15</f>
        <v>0</v>
      </c>
      <c r="F64" s="886">
        <f t="shared" si="15"/>
        <v>0</v>
      </c>
      <c r="G64" s="1987" t="s">
        <v>1895</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69305.08</v>
      </c>
      <c r="F65" s="645">
        <f>IF(B46="楼面地价",SUM(F56:F64),ROUND(C48*E65/10000,0))</f>
        <v>67515</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3723</v>
      </c>
      <c r="B70" s="288" t="str">
        <f>"北京市平均增长率"&amp;TEXT(SUMIF(基准地价修正!N25:N29,A70,基准地价修正!P25:P29),"0.00%")</f>
        <v>北京市平均增长率0.00%</v>
      </c>
      <c r="C70" s="552">
        <v>100</v>
      </c>
      <c r="D70" s="544">
        <f>C70-0.3</f>
        <v>99.7</v>
      </c>
      <c r="E70" s="544">
        <f t="shared" ref="E70:O70" si="20">D70-0.3</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t="s">
        <v>3718</v>
      </c>
      <c r="D74" s="479" t="s">
        <v>3719</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v>
      </c>
      <c r="H78" s="496" t="str">
        <f t="shared" si="21"/>
        <v>（含）-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98</v>
      </c>
      <c r="E92" s="493">
        <f>D92-$K19</f>
        <v>96</v>
      </c>
      <c r="F92" s="493">
        <f>E92-$K19</f>
        <v>94</v>
      </c>
      <c r="G92" s="493">
        <f>F92-$K19</f>
        <v>92</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95</v>
      </c>
      <c r="E94" s="493">
        <f>D94-$K21</f>
        <v>90</v>
      </c>
      <c r="F94" s="493">
        <f>E94-$K21</f>
        <v>85</v>
      </c>
      <c r="G94" s="493">
        <f>F94-$K21</f>
        <v>80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1693</v>
      </c>
      <c r="B115" s="477" t="s">
        <v>1911</v>
      </c>
      <c r="C115" s="478" t="str">
        <f>C116&amp;"(含)"&amp;"-"&amp;D116</f>
        <v>0(含)-20000</v>
      </c>
      <c r="D115" s="478" t="str">
        <f t="shared" ref="D115:M115" si="26">D116&amp;"(含)"&amp;"-"&amp;E116</f>
        <v>20000(含)-40000</v>
      </c>
      <c r="E115" s="478" t="str">
        <f t="shared" si="26"/>
        <v>40000(含)-60000</v>
      </c>
      <c r="F115" s="478" t="str">
        <f t="shared" si="26"/>
        <v>60000(含)-80000</v>
      </c>
      <c r="G115" s="478" t="str">
        <f t="shared" si="26"/>
        <v>80000(含)-100000</v>
      </c>
      <c r="H115" s="478" t="str">
        <f t="shared" si="26"/>
        <v>100000(含)-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f>C116+20000</f>
        <v>20000</v>
      </c>
      <c r="E116" s="544">
        <f t="shared" ref="E116:H116" si="27">D116+20000</f>
        <v>40000</v>
      </c>
      <c r="F116" s="544">
        <f t="shared" si="27"/>
        <v>60000</v>
      </c>
      <c r="G116" s="544">
        <f t="shared" si="27"/>
        <v>80000</v>
      </c>
      <c r="H116" s="544">
        <f t="shared" si="27"/>
        <v>100000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f>C117+0.5</f>
        <v>100.5</v>
      </c>
      <c r="E117" s="540">
        <f t="shared" ref="E117:H117" si="28">D117+0.5</f>
        <v>101</v>
      </c>
      <c r="F117" s="540">
        <f t="shared" si="28"/>
        <v>101.5</v>
      </c>
      <c r="G117" s="540">
        <f t="shared" si="28"/>
        <v>102</v>
      </c>
      <c r="H117" s="540">
        <f t="shared" si="28"/>
        <v>102.5</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3466" t="s">
        <v>3729</v>
      </c>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3467" t="s">
        <v>3731</v>
      </c>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3467" t="s">
        <v>3732</v>
      </c>
      <c r="D122" s="3467" t="s">
        <v>3734</v>
      </c>
      <c r="E122" s="3467" t="s">
        <v>3736</v>
      </c>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1">C123-$K41</f>
        <v>99.5</v>
      </c>
      <c r="E123" s="493">
        <f t="shared" si="31"/>
        <v>99</v>
      </c>
      <c r="F123" s="493">
        <f t="shared" si="31"/>
        <v>98.5</v>
      </c>
      <c r="G123" s="493">
        <f t="shared" si="31"/>
        <v>98</v>
      </c>
      <c r="H123" s="493">
        <f t="shared" si="31"/>
        <v>97.5</v>
      </c>
      <c r="I123" s="493">
        <f t="shared" si="31"/>
        <v>97</v>
      </c>
      <c r="J123" s="493">
        <f t="shared" si="31"/>
        <v>96.5</v>
      </c>
      <c r="K123" s="493">
        <f t="shared" si="31"/>
        <v>96</v>
      </c>
      <c r="L123" s="493">
        <f t="shared" si="31"/>
        <v>95.5</v>
      </c>
      <c r="M123" s="494">
        <f t="shared" si="31"/>
        <v>95</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3467" t="s">
        <v>3737</v>
      </c>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M45" sqref="M4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96797</v>
      </c>
      <c r="C2" s="1871" t="s">
        <v>1650</v>
      </c>
      <c r="D2" s="1872" t="s">
        <v>1651</v>
      </c>
      <c r="E2" s="2606">
        <f>SUM(E6:E13)</f>
        <v>70044.73</v>
      </c>
      <c r="F2" s="2706"/>
      <c r="G2" s="1488"/>
      <c r="H2" s="1488"/>
      <c r="I2" s="1488"/>
      <c r="J2" s="1488"/>
      <c r="K2" s="1488"/>
      <c r="L2" s="1488"/>
      <c r="M2" s="1488"/>
      <c r="N2" s="1488"/>
      <c r="O2" s="1488"/>
      <c r="P2" s="1488"/>
      <c r="Q2" s="1488"/>
      <c r="R2" s="1488"/>
      <c r="S2" s="1488"/>
    </row>
    <row r="3" spans="1:22" ht="15.75">
      <c r="A3" s="1869" t="s">
        <v>686</v>
      </c>
      <c r="B3" s="2600">
        <f ca="1">ROUND(B2*10000/E2,0)</f>
        <v>13819</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80" t="s">
        <v>1653</v>
      </c>
      <c r="C5" s="3681"/>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90506</v>
      </c>
      <c r="C6" s="1871" t="s">
        <v>1650</v>
      </c>
      <c r="D6" s="2708"/>
      <c r="E6" s="2605">
        <f>IF(OR(A6=0,F6="否"),0,'数据-取费表'!K6+'数据-取费表'!S6)</f>
        <v>59487.76</v>
      </c>
      <c r="F6" s="1875" t="s">
        <v>1656</v>
      </c>
      <c r="G6" s="1488"/>
      <c r="H6" s="1488"/>
      <c r="I6" s="1488"/>
      <c r="J6" s="1488"/>
      <c r="K6" s="1488"/>
      <c r="L6" s="1488"/>
      <c r="M6" s="1488"/>
      <c r="N6" s="1488"/>
      <c r="O6" s="1488"/>
      <c r="P6" s="1488"/>
      <c r="Q6" s="1488"/>
      <c r="R6" s="1488"/>
      <c r="S6" s="1488"/>
    </row>
    <row r="7" spans="1:22">
      <c r="A7" s="2603" t="str">
        <f>'数据-取费表'!AN7</f>
        <v>收益法-酒店模型</v>
      </c>
      <c r="B7" s="2601">
        <f ca="1">IF(F7="是",'数据-取费表'!AO7,0)</f>
        <v>6291</v>
      </c>
      <c r="C7" s="1871" t="s">
        <v>1650</v>
      </c>
      <c r="D7" s="2708"/>
      <c r="E7" s="2605">
        <f>IF(OR(A7=0,F7="否"),0,'数据-取费表'!K7+'数据-取费表'!S7)</f>
        <v>10556.97</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2" sqref="L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29.79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90506</v>
      </c>
      <c r="C2" s="1386" t="s">
        <v>805</v>
      </c>
      <c r="D2" s="1386"/>
      <c r="E2" s="1387"/>
      <c r="F2" s="1388"/>
      <c r="G2" s="2705"/>
      <c r="H2" s="2694"/>
      <c r="I2" s="2694"/>
      <c r="J2" s="2694"/>
      <c r="K2" s="2695"/>
      <c r="L2" s="2694"/>
      <c r="M2" s="2694"/>
    </row>
    <row r="3" spans="1:37" ht="18" customHeight="1" thickBot="1">
      <c r="A3" s="1389" t="s">
        <v>806</v>
      </c>
      <c r="B3" s="1390">
        <f ca="1">IF(ISERROR(B2*10000/F43),0,ROUND(B2*10000/F43,0))</f>
        <v>15377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5808</v>
      </c>
      <c r="D5" s="1363" t="s">
        <v>693</v>
      </c>
      <c r="E5" s="1071"/>
      <c r="F5" s="1072"/>
      <c r="G5" s="1383"/>
      <c r="H5" s="299">
        <v>1</v>
      </c>
      <c r="I5" s="300" t="s">
        <v>692</v>
      </c>
      <c r="J5" s="1070">
        <f ca="1">J6+J10+J12</f>
        <v>0</v>
      </c>
      <c r="K5" s="1363" t="s">
        <v>693</v>
      </c>
      <c r="L5" s="1071"/>
      <c r="M5" s="1072"/>
    </row>
    <row r="6" spans="1:37" ht="18" customHeight="1">
      <c r="A6" s="1069" t="s">
        <v>398</v>
      </c>
      <c r="B6" s="3656" t="s">
        <v>694</v>
      </c>
      <c r="C6" s="1074">
        <f ca="1">ROUND(F6*F8*F7*(1-F9)/10000,0)</f>
        <v>5801</v>
      </c>
      <c r="D6" s="155" t="s">
        <v>2107</v>
      </c>
      <c r="E6" s="302" t="s">
        <v>696</v>
      </c>
      <c r="F6" s="303">
        <f ca="1">INDIRECT("'数据-取费表'!u"&amp;$G$1)</f>
        <v>3</v>
      </c>
      <c r="G6" s="1383"/>
      <c r="H6" s="1069" t="s">
        <v>398</v>
      </c>
      <c r="I6" s="3656" t="s">
        <v>694</v>
      </c>
      <c r="J6" s="301">
        <f ca="1">ROUND(M6*M8*M7*(1-M9)/10000,0)</f>
        <v>0</v>
      </c>
      <c r="K6" s="155" t="s">
        <v>2106</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58859.590000000004</v>
      </c>
      <c r="G7" s="1383"/>
      <c r="H7" s="304"/>
      <c r="I7" s="3657"/>
      <c r="J7" s="306"/>
      <c r="K7" s="307"/>
      <c r="L7" s="302" t="s">
        <v>697</v>
      </c>
      <c r="M7" s="303">
        <f ca="1">F7</f>
        <v>58859.590000000004</v>
      </c>
    </row>
    <row r="8" spans="1:37" ht="18" customHeight="1">
      <c r="A8" s="304"/>
      <c r="B8" s="3657"/>
      <c r="C8" s="306"/>
      <c r="D8" s="307"/>
      <c r="E8" s="302" t="s">
        <v>698</v>
      </c>
      <c r="F8" s="303">
        <f ca="1">INDIRECT("'数据-取费表'!ai"&amp;$G$1)</f>
        <v>365</v>
      </c>
      <c r="G8" s="1383"/>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3"/>
      <c r="H9" s="304"/>
      <c r="I9" s="3658"/>
      <c r="J9" s="306"/>
      <c r="K9" s="307"/>
      <c r="L9" s="313" t="s">
        <v>699</v>
      </c>
      <c r="M9" s="314">
        <f ca="1">INDIRECT("'数据-取费表'!ab"&amp;$G$1)</f>
        <v>0</v>
      </c>
    </row>
    <row r="10" spans="1:37" ht="18" customHeight="1">
      <c r="A10" s="1069" t="s">
        <v>402</v>
      </c>
      <c r="B10" s="1364" t="s">
        <v>700</v>
      </c>
      <c r="C10" s="316">
        <f ca="1">ROUND(IF(F10="押一",C6/12*F11,IF(F10="押二",C6/12*2*F11,IF(F10="押三",C6/12*3*F11,C11*F11))),0)</f>
        <v>7</v>
      </c>
      <c r="D10" s="1365" t="s">
        <v>2115</v>
      </c>
      <c r="E10" s="313" t="s">
        <v>701</v>
      </c>
      <c r="F10" s="1116" t="s">
        <v>3388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25834</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20821</v>
      </c>
      <c r="D14" s="1344" t="s">
        <v>708</v>
      </c>
      <c r="E14" s="1341"/>
      <c r="F14" s="319"/>
      <c r="G14" s="1383"/>
      <c r="H14" s="982" t="s">
        <v>398</v>
      </c>
      <c r="I14" s="302" t="s">
        <v>709</v>
      </c>
      <c r="J14" s="21">
        <f ca="1">C29</f>
        <v>30393</v>
      </c>
      <c r="K14" s="12"/>
      <c r="L14" s="807"/>
      <c r="M14" s="808"/>
    </row>
    <row r="15" spans="1:37" s="1396" customFormat="1" ht="18" customHeight="1" thickBot="1">
      <c r="A15" s="982" t="s">
        <v>399</v>
      </c>
      <c r="B15" s="302" t="s">
        <v>710</v>
      </c>
      <c r="C15" s="21">
        <f ca="1">ROUND(C14*F15,0)</f>
        <v>1041</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312</v>
      </c>
      <c r="K16" s="1087" t="s">
        <v>715</v>
      </c>
      <c r="L16" s="1088"/>
      <c r="M16" s="1072"/>
    </row>
    <row r="17" spans="1:37" s="1396" customFormat="1" ht="18" customHeight="1">
      <c r="A17" s="982" t="s">
        <v>681</v>
      </c>
      <c r="B17" s="302" t="s">
        <v>716</v>
      </c>
      <c r="C17" s="21">
        <f ca="1">ROUND(F17*(F43+INDIRECT("'数据-取费表'!S"&amp;$G$1))/10000,0)</f>
        <v>1190</v>
      </c>
      <c r="D17" s="302" t="s">
        <v>717</v>
      </c>
      <c r="E17" s="302" t="s">
        <v>718</v>
      </c>
      <c r="F17" s="23">
        <f>'数据-取费表'!B35</f>
        <v>200</v>
      </c>
      <c r="G17" s="1395"/>
      <c r="H17" s="982" t="s">
        <v>398</v>
      </c>
      <c r="I17" s="302" t="s">
        <v>719</v>
      </c>
      <c r="J17" s="2315">
        <f ca="1">ROUND(IF(AND(项目基本情况!B11="自然人",项目基本情况!B10="北京市"),J6*M17/(1+'数据-取费表'!C42),J18+J19+J20),2)</f>
        <v>7.95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23364</v>
      </c>
      <c r="D19" s="131" t="s">
        <v>726</v>
      </c>
      <c r="E19" s="1359"/>
      <c r="F19" s="23"/>
      <c r="G19" s="1383"/>
      <c r="H19" s="982" t="s">
        <v>399</v>
      </c>
      <c r="I19" s="302" t="s">
        <v>727</v>
      </c>
      <c r="J19" s="21">
        <f ca="1">IF(K19="按租金收入计税",ROUND(J6*M19/(1+'数据-取费表'!C42),2),ROUND(C29*M19*0.7,2))</f>
        <v>0</v>
      </c>
      <c r="K19" s="1369" t="s">
        <v>3343</v>
      </c>
      <c r="L19" s="302" t="s">
        <v>712</v>
      </c>
      <c r="M19" s="322">
        <f>IF(K19="按租金收入计税",'数据-取费表'!B51,'数据-取费表'!B50)</f>
        <v>0.12</v>
      </c>
    </row>
    <row r="20" spans="1:37" s="1396" customFormat="1" ht="18" customHeight="1">
      <c r="A20" s="982" t="s">
        <v>402</v>
      </c>
      <c r="B20" s="302" t="s">
        <v>728</v>
      </c>
      <c r="C20" s="21">
        <f ca="1">ROUND(C19*F20,0)</f>
        <v>350</v>
      </c>
      <c r="D20" s="323" t="s">
        <v>729</v>
      </c>
      <c r="E20" s="302" t="s">
        <v>712</v>
      </c>
      <c r="F20" s="322">
        <f>'数据-取费表'!B37</f>
        <v>1.4999999999999999E-2</v>
      </c>
      <c r="G20" s="1395"/>
      <c r="H20" s="982" t="s">
        <v>680</v>
      </c>
      <c r="I20" s="155" t="s">
        <v>730</v>
      </c>
      <c r="J20" s="22">
        <f ca="1">ROUND(M20*M21/10000,2)</f>
        <v>7.95</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1.4999999999999999E-2</v>
      </c>
      <c r="G21" s="1395"/>
      <c r="H21" s="326"/>
      <c r="I21" s="311"/>
      <c r="J21" s="26"/>
      <c r="K21" s="327"/>
      <c r="L21" s="302" t="s">
        <v>736</v>
      </c>
      <c r="M21" s="303">
        <f ca="1">INDIRECT("'数据-取费表'!r"&amp;$G$1)</f>
        <v>52977.34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303.93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985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-312</v>
      </c>
      <c r="K25" s="1095" t="s">
        <v>753</v>
      </c>
      <c r="L25" s="1096"/>
      <c r="M25" s="1097"/>
    </row>
    <row r="26" spans="1:37">
      <c r="A26" s="982" t="s">
        <v>397</v>
      </c>
      <c r="B26" s="302" t="s">
        <v>754</v>
      </c>
      <c r="C26" s="21">
        <f ca="1">ROUND((C19+C20)*F26,0)</f>
        <v>3557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30393</v>
      </c>
      <c r="D29" s="1092"/>
      <c r="E29" s="1090"/>
      <c r="F29" s="1093"/>
      <c r="G29" s="1395"/>
      <c r="H29" s="334" t="s">
        <v>396</v>
      </c>
      <c r="I29" s="335" t="s">
        <v>768</v>
      </c>
      <c r="J29" s="336">
        <f ca="1">ROUND(J26/(1+F40)^F41,0)</f>
        <v>0</v>
      </c>
      <c r="K29" s="337" t="s">
        <v>769</v>
      </c>
      <c r="L29" s="338"/>
      <c r="M29" s="339">
        <f ca="1">INDIRECT("'数据-取费表'!k"&amp;$G$1)</f>
        <v>58859.590000000004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1376</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974.78</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IF(项目基本情况!B11="自然人","——",ROUND(C6*F32/(1+'数据-取费表'!C42),2))</f>
        <v>303.86</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662.97</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7.95</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52977.34</v>
      </c>
      <c r="G35" s="1383"/>
      <c r="H35" s="2696"/>
      <c r="I35" s="1397"/>
      <c r="J35" s="1398"/>
      <c r="K35" s="2700"/>
      <c r="L35" s="2699"/>
      <c r="M35" s="2699"/>
    </row>
    <row r="36" spans="1:18" ht="18" customHeight="1">
      <c r="A36" s="1102" t="s">
        <v>402</v>
      </c>
      <c r="B36" s="302" t="s">
        <v>738</v>
      </c>
      <c r="C36" s="21">
        <f ca="1">ROUND(C29*F36,2)</f>
        <v>303.93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38.75</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58.08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4432</v>
      </c>
      <c r="D39" s="1095" t="s">
        <v>773</v>
      </c>
      <c r="E39" s="1096"/>
      <c r="F39" s="1097"/>
      <c r="G39" s="1383"/>
      <c r="H39" s="2699"/>
      <c r="I39" s="1397"/>
      <c r="J39" s="1398"/>
      <c r="K39" s="2703"/>
      <c r="L39" s="2699"/>
      <c r="M39" s="2699"/>
    </row>
    <row r="40" spans="1:18" ht="18" customHeight="1">
      <c r="A40" s="299" t="s">
        <v>395</v>
      </c>
      <c r="B40" s="300" t="s">
        <v>774</v>
      </c>
      <c r="C40" s="301">
        <f ca="1">ROUND(C39*(1-((1+F42)/(1+F40))^F41)/(F40-F42),0)</f>
        <v>90506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29.79</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ROUND(C40*10000/F43,0)</f>
        <v>15377</v>
      </c>
      <c r="D43" s="337" t="s">
        <v>777</v>
      </c>
      <c r="E43" s="338" t="s">
        <v>778</v>
      </c>
      <c r="F43" s="339">
        <f ca="1">INDIRECT("'数据-取费表'!k"&amp;$G$1)</f>
        <v>58859.590000000004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-95593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3389</v>
      </c>
      <c r="K47" s="1415" t="s">
        <v>816</v>
      </c>
      <c r="L47" s="1416">
        <f ca="1">INDIRECT("'数据-取费表'!d"&amp;$G$1)</f>
        <v>50</v>
      </c>
      <c r="M47" s="1379" t="str">
        <f>IF(ISNUMBER(FIND("住宅",C1)),"住宅","非住宅")</f>
        <v>非住宅</v>
      </c>
      <c r="O47" s="1417" t="s">
        <v>403</v>
      </c>
      <c r="P47" s="1418" t="s">
        <v>817</v>
      </c>
      <c r="Q47" s="1419">
        <f ca="1">C40+J29</f>
        <v>90506</v>
      </c>
      <c r="R47" s="1419" t="s">
        <v>818</v>
      </c>
    </row>
    <row r="48" spans="1:18" s="1383" customFormat="1" ht="28.5" thickBot="1">
      <c r="A48" s="1110" t="s">
        <v>438</v>
      </c>
      <c r="B48" s="300" t="s">
        <v>692</v>
      </c>
      <c r="C48" s="1358">
        <f ca="1">C49+C53+C55</f>
        <v>0</v>
      </c>
      <c r="D48" s="1112"/>
      <c r="E48" s="1113"/>
      <c r="F48" s="962"/>
      <c r="G48" s="722"/>
      <c r="H48" s="723"/>
      <c r="I48" s="1420" t="s">
        <v>819</v>
      </c>
      <c r="J48" s="1421" t="s">
        <v>3390</v>
      </c>
      <c r="K48" s="1422" t="s">
        <v>820</v>
      </c>
      <c r="L48" s="1423">
        <f ca="1">INDIRECT("'数据-取费表'!f"&amp;$G$1)</f>
        <v>29.79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2014</v>
      </c>
      <c r="K49" s="1422" t="s">
        <v>824</v>
      </c>
      <c r="L49" s="1426"/>
      <c r="O49" s="1427" t="s">
        <v>405</v>
      </c>
      <c r="P49" s="1418" t="s">
        <v>825</v>
      </c>
      <c r="Q49" s="1419">
        <f ca="1">C29</f>
        <v>30393</v>
      </c>
      <c r="R49" s="1419" t="s">
        <v>818</v>
      </c>
    </row>
    <row r="50" spans="1:18" s="1383" customFormat="1" ht="13.5" thickBot="1">
      <c r="A50" s="976"/>
      <c r="B50" s="979"/>
      <c r="C50" s="1118"/>
      <c r="D50" s="953"/>
      <c r="E50" s="1056" t="s">
        <v>697</v>
      </c>
      <c r="F50" s="1057">
        <f ca="1">F7</f>
        <v>58859.590000000004</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48115</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29.79</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29.79</v>
      </c>
      <c r="K53" s="3659" t="s">
        <v>837</v>
      </c>
      <c r="L53" s="3660"/>
      <c r="O53" s="1417" t="s">
        <v>409</v>
      </c>
      <c r="P53" s="1418" t="s">
        <v>838</v>
      </c>
      <c r="Q53" s="1419">
        <f ca="1">Q47+Q48</f>
        <v>90506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25834</v>
      </c>
      <c r="D56" s="1446"/>
      <c r="E56" s="1447"/>
      <c r="F56" s="1439"/>
      <c r="I56" s="1448" t="s">
        <v>842</v>
      </c>
      <c r="J56" s="1449" t="s">
        <v>3377</v>
      </c>
      <c r="K56" s="1420" t="s">
        <v>843</v>
      </c>
      <c r="L56" s="1423" t="str">
        <f ca="1">IF(L48&lt;J51,"——",L48-J53)</f>
        <v>——</v>
      </c>
      <c r="O56" s="1417" t="s">
        <v>403</v>
      </c>
      <c r="P56" s="1418" t="s">
        <v>817</v>
      </c>
      <c r="Q56" s="1419">
        <f ca="1">C40+J29</f>
        <v>90506</v>
      </c>
      <c r="R56" s="1419" t="s">
        <v>818</v>
      </c>
    </row>
    <row r="57" spans="1:18" s="1383" customFormat="1" ht="24.75" thickBot="1">
      <c r="A57" s="1450"/>
      <c r="B57" s="950" t="s">
        <v>767</v>
      </c>
      <c r="C57" s="238">
        <f ca="1">C29</f>
        <v>30393</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8</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7.95</v>
      </c>
      <c r="D62" s="965" t="s">
        <v>786</v>
      </c>
      <c r="E62" s="950" t="s">
        <v>787</v>
      </c>
      <c r="F62" s="325">
        <f t="shared" si="0"/>
        <v>1.5</v>
      </c>
      <c r="I62" s="1461" t="s">
        <v>858</v>
      </c>
      <c r="J62" s="1462" t="s">
        <v>859</v>
      </c>
      <c r="K62" s="1462" t="s">
        <v>860</v>
      </c>
      <c r="L62" s="1462" t="s">
        <v>861</v>
      </c>
      <c r="M62" s="1463" t="s">
        <v>862</v>
      </c>
      <c r="O62" s="1417" t="s">
        <v>409</v>
      </c>
      <c r="P62" s="1418" t="s">
        <v>863</v>
      </c>
      <c r="Q62" s="1419">
        <f ca="1">Q56+Q57</f>
        <v>90506</v>
      </c>
      <c r="R62" s="1419" t="s">
        <v>410</v>
      </c>
    </row>
    <row r="63" spans="1:18" s="1383" customFormat="1" ht="13.5" thickBot="1">
      <c r="A63" s="326"/>
      <c r="B63" s="956"/>
      <c r="C63" s="26"/>
      <c r="D63" s="966"/>
      <c r="E63" s="950" t="s">
        <v>788</v>
      </c>
      <c r="F63" s="303">
        <f t="shared" ca="1" si="0"/>
        <v>52977.34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303.93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38.75</v>
      </c>
      <c r="D65" s="964" t="s">
        <v>743</v>
      </c>
      <c r="E65" s="950" t="s">
        <v>744</v>
      </c>
      <c r="F65" s="330">
        <f t="shared" ca="1" si="0"/>
        <v>1.5E-3</v>
      </c>
      <c r="I65" s="1461" t="s">
        <v>867</v>
      </c>
      <c r="J65" s="1462">
        <v>40</v>
      </c>
      <c r="K65" s="1462">
        <v>30</v>
      </c>
      <c r="L65" s="1462">
        <v>50</v>
      </c>
      <c r="M65" s="1464">
        <v>0.02</v>
      </c>
      <c r="O65" s="1417" t="s">
        <v>403</v>
      </c>
      <c r="P65" s="1418" t="s">
        <v>868</v>
      </c>
      <c r="Q65" s="1419">
        <f ca="1">C40+J29</f>
        <v>90506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-351</v>
      </c>
      <c r="D67" s="963" t="s">
        <v>753</v>
      </c>
      <c r="E67" s="968"/>
      <c r="F67" s="969"/>
      <c r="O67" s="1427" t="s">
        <v>405</v>
      </c>
      <c r="P67" s="1418" t="s">
        <v>850</v>
      </c>
      <c r="Q67" s="1465">
        <f ca="1">L51</f>
        <v>48115</v>
      </c>
      <c r="R67" s="1419" t="s">
        <v>870</v>
      </c>
    </row>
    <row r="68" spans="1:18" s="1383" customFormat="1" ht="16.5" thickBot="1">
      <c r="A68" s="947" t="s">
        <v>395</v>
      </c>
      <c r="B68" s="948" t="s">
        <v>774</v>
      </c>
      <c r="C68" s="301">
        <f ca="1">ROUND(C67*(1-((1+F70)/(1+F68))^F69)/(F68-F70),0)</f>
        <v>-5087</v>
      </c>
      <c r="D68" s="965" t="s">
        <v>758</v>
      </c>
      <c r="E68" s="950" t="s">
        <v>759</v>
      </c>
      <c r="F68" s="312">
        <f ca="1">F40</f>
        <v>5.5E-2</v>
      </c>
      <c r="O68" s="1427" t="s">
        <v>406</v>
      </c>
      <c r="P68" s="1466" t="s">
        <v>871</v>
      </c>
      <c r="Q68" s="1419">
        <f ca="1">ROUND(Q69-Q70*Q71,0)</f>
        <v>2624</v>
      </c>
      <c r="R68" s="1419" t="s">
        <v>414</v>
      </c>
    </row>
    <row r="69" spans="1:18" s="1383" customFormat="1" ht="13.5" thickBot="1">
      <c r="A69" s="951"/>
      <c r="B69" s="952"/>
      <c r="C69" s="306"/>
      <c r="D69" s="970" t="s">
        <v>762</v>
      </c>
      <c r="E69" s="950" t="s">
        <v>763</v>
      </c>
      <c r="F69" s="333">
        <f ca="1">F41</f>
        <v>29.79</v>
      </c>
      <c r="O69" s="1427" t="s">
        <v>411</v>
      </c>
      <c r="P69" s="1466" t="s">
        <v>872</v>
      </c>
      <c r="Q69" s="1419">
        <f ca="1">C39</f>
        <v>4432</v>
      </c>
      <c r="R69" s="1419" t="s">
        <v>818</v>
      </c>
    </row>
    <row r="70" spans="1:18" s="1383" customFormat="1" ht="13.5" thickBot="1">
      <c r="A70" s="954"/>
      <c r="B70" s="955"/>
      <c r="C70" s="310"/>
      <c r="D70" s="966"/>
      <c r="E70" s="950" t="s">
        <v>766</v>
      </c>
      <c r="F70" s="1054"/>
      <c r="O70" s="1427" t="s">
        <v>412</v>
      </c>
      <c r="P70" s="1466" t="s">
        <v>873</v>
      </c>
      <c r="Q70" s="1419">
        <f ca="1">C13</f>
        <v>25834</v>
      </c>
      <c r="R70" s="1419" t="s">
        <v>818</v>
      </c>
    </row>
    <row r="71" spans="1:18" s="1383" customFormat="1" ht="13.5" thickBot="1">
      <c r="A71" s="971" t="s">
        <v>396</v>
      </c>
      <c r="B71" s="972" t="s">
        <v>776</v>
      </c>
      <c r="C71" s="336">
        <f ca="1">ROUND(C68*10000/F71,0)</f>
        <v>-864</v>
      </c>
      <c r="D71" s="973" t="s">
        <v>777</v>
      </c>
      <c r="E71" s="974" t="s">
        <v>778</v>
      </c>
      <c r="F71" s="339">
        <f ca="1">F43</f>
        <v>58859.590000000004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1808</v>
      </c>
      <c r="D75" s="1383"/>
      <c r="E75" s="1383"/>
      <c r="F75" s="1383"/>
      <c r="K75" s="1401"/>
      <c r="L75" s="1383"/>
      <c r="O75" s="1417" t="s">
        <v>409</v>
      </c>
      <c r="P75" s="1418" t="s">
        <v>838</v>
      </c>
      <c r="Q75" s="1419">
        <f ca="1">Q65+Q66</f>
        <v>90506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0.59200000000000008</v>
      </c>
    </row>
    <row r="80" spans="1:18">
      <c r="B80" s="340" t="s">
        <v>800</v>
      </c>
      <c r="C80" s="274">
        <f ca="1">ROUND(C75/C39,3)</f>
        <v>0.40799999999999997</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5" sqref="H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3340</v>
      </c>
      <c r="D1" s="1361" t="s">
        <v>43</v>
      </c>
      <c r="E1" s="1362" t="s">
        <v>678</v>
      </c>
      <c r="F1" s="1062" t="e">
        <f ca="1">J53</f>
        <v>#N/A</v>
      </c>
      <c r="G1" s="1377"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t="e">
        <f ca="1">C6+C10+C12</f>
        <v>#N/A</v>
      </c>
      <c r="D5" s="1363" t="s">
        <v>693</v>
      </c>
      <c r="E5" s="1071"/>
      <c r="F5" s="1072"/>
      <c r="G5" s="1383"/>
      <c r="H5" s="299">
        <v>1</v>
      </c>
      <c r="I5" s="300" t="s">
        <v>692</v>
      </c>
      <c r="J5" s="1070" t="e">
        <f ca="1">J6+J10+J12</f>
        <v>#N/A</v>
      </c>
      <c r="K5" s="1363" t="s">
        <v>693</v>
      </c>
      <c r="L5" s="1071"/>
      <c r="M5" s="1072"/>
    </row>
    <row r="6" spans="1:37" ht="18" customHeight="1">
      <c r="A6" s="1069" t="s">
        <v>398</v>
      </c>
      <c r="B6" s="3656" t="s">
        <v>694</v>
      </c>
      <c r="C6" s="1074" t="e">
        <f ca="1">ROUND(F6*F8*F7*(1-F9)/10000,0)</f>
        <v>#N/A</v>
      </c>
      <c r="D6" s="155" t="s">
        <v>2107</v>
      </c>
      <c r="E6" s="302" t="s">
        <v>696</v>
      </c>
      <c r="F6" s="303" t="e">
        <f ca="1">INDIRECT("'数据-取费表'!u"&amp;$G$1)</f>
        <v>#N/A</v>
      </c>
      <c r="G6" s="1383"/>
      <c r="H6" s="1069" t="s">
        <v>398</v>
      </c>
      <c r="I6" s="3656" t="s">
        <v>694</v>
      </c>
      <c r="J6" s="301" t="e">
        <f ca="1">ROUND(M6*M8*M7*(1-M9)/10000,0)</f>
        <v>#N/A</v>
      </c>
      <c r="K6" s="155" t="s">
        <v>2106</v>
      </c>
      <c r="L6" s="302" t="s">
        <v>696</v>
      </c>
      <c r="M6" s="303" t="e">
        <f ca="1">INDIRECT("'数据-取费表'!z"&amp;$G$1)</f>
        <v>#N/A</v>
      </c>
    </row>
    <row r="7" spans="1:37" ht="18" customHeight="1">
      <c r="A7" s="1073"/>
      <c r="B7" s="3657"/>
      <c r="C7" s="1075"/>
      <c r="D7" s="307"/>
      <c r="E7" s="3455" t="s">
        <v>697</v>
      </c>
      <c r="F7" s="303" t="e">
        <f ca="1">IF(INDIRECT("'数据-取费表'!ah"&amp;$G$1)="",INDIRECT("'数据-取费表'!k"&amp;$G$1),INDIRECT("'数据-取费表'!ah"&amp;$G$1))</f>
        <v>#N/A</v>
      </c>
      <c r="G7" s="1383"/>
      <c r="H7" s="304"/>
      <c r="I7" s="3657"/>
      <c r="J7" s="306"/>
      <c r="K7" s="307"/>
      <c r="L7" s="302" t="s">
        <v>697</v>
      </c>
      <c r="M7" s="303" t="e">
        <f ca="1">F7</f>
        <v>#N/A</v>
      </c>
    </row>
    <row r="8" spans="1:37" ht="18" customHeight="1">
      <c r="A8" s="304"/>
      <c r="B8" s="3657"/>
      <c r="C8" s="306"/>
      <c r="D8" s="307"/>
      <c r="E8" s="302" t="s">
        <v>698</v>
      </c>
      <c r="F8" s="303" t="e">
        <f ca="1">INDIRECT("'数据-取费表'!ai"&amp;$G$1)</f>
        <v>#N/A</v>
      </c>
      <c r="G8" s="1383"/>
      <c r="H8" s="304"/>
      <c r="I8" s="3657"/>
      <c r="J8" s="306"/>
      <c r="K8" s="307"/>
      <c r="L8" s="302" t="s">
        <v>698</v>
      </c>
      <c r="M8" s="303" t="e">
        <f ca="1">INDIRECT("'数据-取费表'!ai"&amp;$G$1)</f>
        <v>#N/A</v>
      </c>
    </row>
    <row r="9" spans="1:37" ht="18" customHeight="1">
      <c r="A9" s="304"/>
      <c r="B9" s="3658"/>
      <c r="C9" s="306"/>
      <c r="D9" s="307"/>
      <c r="E9" s="302" t="s">
        <v>699</v>
      </c>
      <c r="F9" s="312" t="e">
        <f ca="1">INDIRECT("'数据-取费表'!w"&amp;$G$1)</f>
        <v>#N/A</v>
      </c>
      <c r="G9" s="1383"/>
      <c r="H9" s="304"/>
      <c r="I9" s="3658"/>
      <c r="J9" s="306"/>
      <c r="K9" s="307"/>
      <c r="L9" s="313" t="s">
        <v>699</v>
      </c>
      <c r="M9" s="314" t="e">
        <f ca="1">INDIRECT("'数据-取费表'!ab"&amp;$G$1)</f>
        <v>#N/A</v>
      </c>
    </row>
    <row r="10" spans="1:37" ht="18" customHeight="1">
      <c r="A10" s="1069" t="s">
        <v>402</v>
      </c>
      <c r="B10" s="1364" t="s">
        <v>700</v>
      </c>
      <c r="C10" s="316">
        <f ca="1">ROUND(IF(F10="押一",C6/12*F11,IF(F10="押二",C6/12*2*F11,IF(F10="押三",C6/12*3*F11,C11*F11))),0)</f>
        <v>0</v>
      </c>
      <c r="D10" s="1365" t="s">
        <v>2115</v>
      </c>
      <c r="E10" s="313" t="s">
        <v>701</v>
      </c>
      <c r="F10" s="1116" t="s">
        <v>3391</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t="e">
        <f ca="1">ROUND(C29*F13,0)</f>
        <v>#N/A</v>
      </c>
      <c r="D13" s="3447" t="s">
        <v>705</v>
      </c>
      <c r="E13" s="3447" t="s">
        <v>706</v>
      </c>
      <c r="F13" s="1082" t="e">
        <f ca="1">INDIRECT("'数据-取费表'!y"&amp;$G$1)</f>
        <v>#N/A</v>
      </c>
      <c r="G13" s="1383"/>
      <c r="H13" s="1079">
        <v>2</v>
      </c>
      <c r="I13" s="1080" t="s">
        <v>704</v>
      </c>
      <c r="J13" s="1068" t="e">
        <f ca="1">ROUND(J14*J15,0)</f>
        <v>#N/A</v>
      </c>
      <c r="K13" s="1087" t="s">
        <v>705</v>
      </c>
      <c r="L13" s="1391"/>
      <c r="M13" s="1392"/>
    </row>
    <row r="14" spans="1:37" ht="18" customHeight="1">
      <c r="A14" s="982" t="s">
        <v>397</v>
      </c>
      <c r="B14" s="302" t="s">
        <v>707</v>
      </c>
      <c r="C14" s="318" t="e">
        <f ca="1">INDIRECT("'数据-取费表'!m"&amp;$G$1)+INDIRECT("'数据-取费表'!t"&amp;$G$1)</f>
        <v>#N/A</v>
      </c>
      <c r="D14" s="3451" t="s">
        <v>708</v>
      </c>
      <c r="E14" s="3449"/>
      <c r="F14" s="319"/>
      <c r="G14" s="1383"/>
      <c r="H14" s="982" t="s">
        <v>398</v>
      </c>
      <c r="I14" s="302" t="s">
        <v>709</v>
      </c>
      <c r="J14" s="21" t="e">
        <f ca="1">C29</f>
        <v>#N/A</v>
      </c>
      <c r="K14" s="3454"/>
      <c r="L14" s="807"/>
      <c r="M14" s="808"/>
    </row>
    <row r="15" spans="1:37" s="1396" customFormat="1" ht="18" customHeight="1" thickBot="1">
      <c r="A15" s="982" t="s">
        <v>399</v>
      </c>
      <c r="B15" s="302" t="s">
        <v>710</v>
      </c>
      <c r="C15" s="21" t="e">
        <f ca="1">ROUND(C14*F15,0)</f>
        <v>#N/A</v>
      </c>
      <c r="D15" s="3448" t="s">
        <v>711</v>
      </c>
      <c r="E15" s="3448" t="s">
        <v>712</v>
      </c>
      <c r="F15" s="321">
        <f>'数据-取费表'!B33</f>
        <v>0.05</v>
      </c>
      <c r="G15" s="1395"/>
      <c r="H15" s="1089" t="s">
        <v>402</v>
      </c>
      <c r="I15" s="1090" t="s">
        <v>706</v>
      </c>
      <c r="J15" s="1099" t="e">
        <f ca="1">INDIRECT("'数据-取费表'!ad"&amp;$G$1)</f>
        <v>#N/A</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3"/>
      <c r="H16" s="1079" t="s">
        <v>393</v>
      </c>
      <c r="I16" s="1080" t="s">
        <v>714</v>
      </c>
      <c r="J16" s="310" t="e">
        <f ca="1">ROUND(J17+J22+J23+J24,0)</f>
        <v>#N/A</v>
      </c>
      <c r="K16" s="1087" t="s">
        <v>715</v>
      </c>
      <c r="L16" s="3452"/>
      <c r="M16" s="1072"/>
    </row>
    <row r="17" spans="1:37" s="1396" customFormat="1" ht="18" customHeight="1">
      <c r="A17" s="982" t="s">
        <v>681</v>
      </c>
      <c r="B17" s="302" t="s">
        <v>716</v>
      </c>
      <c r="C17" s="21" t="e">
        <f ca="1">ROUND(F17*(F43+INDIRECT("'数据-取费表'!S"&amp;$G$1))/10000,0)</f>
        <v>#N/A</v>
      </c>
      <c r="D17" s="302" t="s">
        <v>717</v>
      </c>
      <c r="E17" s="302" t="s">
        <v>718</v>
      </c>
      <c r="F17" s="23">
        <f>'数据-取费表'!B35</f>
        <v>200</v>
      </c>
      <c r="G17" s="1395"/>
      <c r="H17" s="982" t="s">
        <v>398</v>
      </c>
      <c r="I17" s="302" t="s">
        <v>719</v>
      </c>
      <c r="J17" s="2315" t="e">
        <f ca="1">ROUND(IF(AND(项目基本情况!B11="自然人",项目基本情况!B10="北京市"),J6*M17/(1+'数据-取费表'!C42),J18+J19+J20),2)</f>
        <v>#N/A</v>
      </c>
      <c r="K17" s="3451" t="s">
        <v>720</v>
      </c>
      <c r="L17" s="3450"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t="e">
        <f ca="1">ROUND(C14*F18,0)</f>
        <v>#N/A</v>
      </c>
      <c r="D18" s="302" t="s">
        <v>711</v>
      </c>
      <c r="E18" s="302" t="s">
        <v>712</v>
      </c>
      <c r="F18" s="322">
        <f>'数据-取费表'!B36</f>
        <v>1.4999999999999999E-2</v>
      </c>
      <c r="G18" s="1395"/>
      <c r="H18" s="982" t="s">
        <v>397</v>
      </c>
      <c r="I18" s="302" t="s">
        <v>723</v>
      </c>
      <c r="J18" s="21" t="e">
        <f ca="1">ROUND(J6*M18/(1+'数据-取费表'!C42),2)</f>
        <v>#N/A</v>
      </c>
      <c r="K18" s="3450"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t="e">
        <f ca="1">SUM(C14:C18)</f>
        <v>#N/A</v>
      </c>
      <c r="D19" s="131" t="s">
        <v>726</v>
      </c>
      <c r="E19" s="3457"/>
      <c r="F19" s="23"/>
      <c r="G19" s="1383"/>
      <c r="H19" s="982" t="s">
        <v>399</v>
      </c>
      <c r="I19" s="302" t="s">
        <v>727</v>
      </c>
      <c r="J19" s="21" t="e">
        <f ca="1">IF(K19="按租金收入计税",ROUND(J6*M19/(1+'数据-取费表'!C42),2),ROUND(C29*M19*0.7,2))</f>
        <v>#N/A</v>
      </c>
      <c r="K19" s="1369" t="s">
        <v>3343</v>
      </c>
      <c r="L19" s="302" t="s">
        <v>712</v>
      </c>
      <c r="M19" s="322">
        <f>IF(K19="按租金收入计税",'数据-取费表'!B51,'数据-取费表'!B50)</f>
        <v>0.12</v>
      </c>
    </row>
    <row r="20" spans="1:37" s="1396" customFormat="1" ht="18" customHeight="1">
      <c r="A20" s="982" t="s">
        <v>402</v>
      </c>
      <c r="B20" s="302" t="s">
        <v>728</v>
      </c>
      <c r="C20" s="21" t="e">
        <f ca="1">ROUND(C19*F20,0)</f>
        <v>#N/A</v>
      </c>
      <c r="D20" s="2427" t="s">
        <v>729</v>
      </c>
      <c r="E20" s="302" t="s">
        <v>712</v>
      </c>
      <c r="F20" s="322">
        <f>'数据-取费表'!B37</f>
        <v>1.4999999999999999E-2</v>
      </c>
      <c r="G20" s="1395"/>
      <c r="H20" s="982" t="s">
        <v>680</v>
      </c>
      <c r="I20" s="155" t="s">
        <v>730</v>
      </c>
      <c r="J20" s="22" t="e">
        <f ca="1">ROUND(M20*M21/10000,2)</f>
        <v>#N/A</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1.4999999999999999E-2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7"/>
      <c r="F22" s="23"/>
      <c r="G22" s="1383"/>
      <c r="H22" s="982" t="s">
        <v>402</v>
      </c>
      <c r="I22" s="302" t="s">
        <v>738</v>
      </c>
      <c r="J22" s="21" t="e">
        <f ca="1">ROUND(J14*M22,2)</f>
        <v>#N/A</v>
      </c>
      <c r="K22" s="3450" t="s">
        <v>739</v>
      </c>
      <c r="L22" s="302" t="s">
        <v>712</v>
      </c>
      <c r="M22" s="328" t="e">
        <f ca="1">INDIRECT("'数据-取费表'!Ak"&amp;$G$1)</f>
        <v>#N/A</v>
      </c>
    </row>
    <row r="23" spans="1:37" s="1396"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t="e">
        <f ca="1">ROUND(J13*M23,2)</f>
        <v>#N/A</v>
      </c>
      <c r="K23" s="3450"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t="e">
        <f ca="1">ROUND(J5*M24,2)</f>
        <v>#N/A</v>
      </c>
      <c r="K24" s="1092" t="s">
        <v>748</v>
      </c>
      <c r="L24" s="1090" t="s">
        <v>744</v>
      </c>
      <c r="M24" s="1086"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t="e">
        <f ca="1">J5-J16</f>
        <v>#N/A</v>
      </c>
      <c r="K25" s="1095" t="s">
        <v>753</v>
      </c>
      <c r="L25" s="1096"/>
      <c r="M25" s="1097"/>
    </row>
    <row r="26" spans="1:37">
      <c r="A26" s="982"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7" t="s">
        <v>761</v>
      </c>
      <c r="E27" s="3448"/>
      <c r="F27" s="321"/>
      <c r="G27" s="1383"/>
      <c r="H27" s="304"/>
      <c r="I27" s="305"/>
      <c r="J27" s="306"/>
      <c r="K27" s="332" t="s">
        <v>762</v>
      </c>
      <c r="L27" s="302" t="s">
        <v>763</v>
      </c>
      <c r="M27" s="333" t="e">
        <f ca="1">INDIRECT("'数据-取费表'!ag"&amp;$G$1)</f>
        <v>#N/A</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t="e">
        <f ca="1">ROUND((C19+C20+C23+C26)/(1-F21-C24-C27-C28),0)</f>
        <v>#N/A</v>
      </c>
      <c r="D29" s="1092"/>
      <c r="E29" s="1090"/>
      <c r="F29" s="1093"/>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t="e">
        <f ca="1">ROUND(C31+C36+C37+C38,0)</f>
        <v>#N/A</v>
      </c>
      <c r="D30" s="1087" t="s">
        <v>715</v>
      </c>
      <c r="E30" s="3452"/>
      <c r="F30" s="1072"/>
      <c r="G30" s="1383"/>
      <c r="H30" s="2696"/>
      <c r="I30" s="1397"/>
      <c r="J30" s="1398"/>
      <c r="K30" s="2474"/>
      <c r="L30" s="2697"/>
      <c r="M30" s="2698"/>
    </row>
    <row r="31" spans="1:37" ht="18" customHeight="1">
      <c r="A31" s="982" t="s">
        <v>398</v>
      </c>
      <c r="B31" s="302" t="s">
        <v>719</v>
      </c>
      <c r="C31" s="2315" t="e">
        <f ca="1">ROUND(IF(AND(项目基本情况!B11="自然人",项目基本情况!B10="北京市"),C6*F31/(1+'数据-取费表'!C42),C32+C33+C34),2)</f>
        <v>#N/A</v>
      </c>
      <c r="D31" s="3451" t="s">
        <v>720</v>
      </c>
      <c r="E31" s="3450"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t="e">
        <f ca="1">IF(项目基本情况!B11="自然人","——",ROUND(C6*F32/(1+'数据-取费表'!C42),2))</f>
        <v>#N/A</v>
      </c>
      <c r="D32" s="3450"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e">
        <f ca="1">IF(项目基本情况!B11="自然人","——",ROUND(F34*F35/10000,2))</f>
        <v>#N/A</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t="e">
        <f ca="1">INDIRECT("'数据-取费表'!r"&amp;$G$1)</f>
        <v>#N/A</v>
      </c>
      <c r="G35" s="1383"/>
      <c r="H35" s="2696"/>
      <c r="I35" s="1397"/>
      <c r="J35" s="1398"/>
      <c r="K35" s="2700"/>
      <c r="L35" s="2699"/>
      <c r="M35" s="2699"/>
    </row>
    <row r="36" spans="1:18" ht="18" customHeight="1">
      <c r="A36" s="1102" t="s">
        <v>402</v>
      </c>
      <c r="B36" s="302" t="s">
        <v>738</v>
      </c>
      <c r="C36" s="21" t="e">
        <f ca="1">ROUND(C29*F36,2)</f>
        <v>#N/A</v>
      </c>
      <c r="D36" s="3450" t="s">
        <v>771</v>
      </c>
      <c r="E36" s="302" t="s">
        <v>712</v>
      </c>
      <c r="F36" s="328" t="e">
        <f ca="1">INDIRECT("'数据-取费表'!Ak"&amp;$G$1)</f>
        <v>#N/A</v>
      </c>
      <c r="G36" s="1383"/>
      <c r="H36" s="2699"/>
      <c r="I36" s="1397"/>
      <c r="J36" s="1398"/>
      <c r="K36" s="2543"/>
      <c r="L36" s="2699"/>
      <c r="M36" s="2699"/>
    </row>
    <row r="37" spans="1:18" ht="18" customHeight="1">
      <c r="A37" s="982" t="s">
        <v>437</v>
      </c>
      <c r="B37" s="302" t="s">
        <v>742</v>
      </c>
      <c r="C37" s="21" t="e">
        <f ca="1">ROUND(C13*F37,2)</f>
        <v>#N/A</v>
      </c>
      <c r="D37" s="3450" t="s">
        <v>743</v>
      </c>
      <c r="E37" s="302" t="s">
        <v>744</v>
      </c>
      <c r="F37" s="330" t="e">
        <f ca="1">INDIRECT("'数据-取费表'!Al"&amp;$G$1)</f>
        <v>#N/A</v>
      </c>
      <c r="G37" s="1383"/>
      <c r="H37" s="2699"/>
      <c r="I37" s="1397"/>
      <c r="J37" s="1398"/>
      <c r="K37" s="2543"/>
      <c r="L37" s="2699"/>
      <c r="M37" s="2699"/>
    </row>
    <row r="38" spans="1:18" ht="18" customHeight="1" thickBot="1">
      <c r="A38" s="1089" t="s">
        <v>684</v>
      </c>
      <c r="B38" s="1090" t="s">
        <v>728</v>
      </c>
      <c r="C38" s="1091" t="e">
        <f ca="1">ROUND(C5*F38,2)</f>
        <v>#N/A</v>
      </c>
      <c r="D38" s="1092" t="s">
        <v>748</v>
      </c>
      <c r="E38" s="1090" t="s">
        <v>744</v>
      </c>
      <c r="F38" s="1086" t="e">
        <f ca="1">INDIRECT("'数据-取费表'!Am"&amp;$G$1)</f>
        <v>#N/A</v>
      </c>
      <c r="G38" s="1383"/>
      <c r="H38" s="2699"/>
      <c r="I38" s="1397"/>
      <c r="J38" s="1398"/>
      <c r="K38" s="2703"/>
      <c r="L38" s="2699"/>
      <c r="M38" s="2699"/>
    </row>
    <row r="39" spans="1:18" ht="24.6" customHeight="1" thickTop="1">
      <c r="A39" s="1079" t="s">
        <v>394</v>
      </c>
      <c r="B39" s="1094" t="s">
        <v>752</v>
      </c>
      <c r="C39" s="310" t="e">
        <f ca="1">C5-C30</f>
        <v>#N/A</v>
      </c>
      <c r="D39" s="1095" t="s">
        <v>753</v>
      </c>
      <c r="E39" s="1096"/>
      <c r="F39" s="1097"/>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3389</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10" t="s">
        <v>438</v>
      </c>
      <c r="B48" s="300" t="s">
        <v>692</v>
      </c>
      <c r="C48" s="3456" t="e">
        <f ca="1">C49+C53+C55</f>
        <v>#N/A</v>
      </c>
      <c r="D48" s="1112"/>
      <c r="E48" s="1113"/>
      <c r="F48" s="962"/>
      <c r="G48" s="722"/>
      <c r="H48" s="723"/>
      <c r="I48" s="1420" t="s">
        <v>819</v>
      </c>
      <c r="J48" s="1421" t="s">
        <v>3390</v>
      </c>
      <c r="K48" s="1422" t="s">
        <v>820</v>
      </c>
      <c r="L48" s="1423" t="e">
        <f ca="1">INDIRECT("'数据-取费表'!f"&amp;$G$1)</f>
        <v>#N/A</v>
      </c>
      <c r="O48" s="1417" t="s">
        <v>404</v>
      </c>
      <c r="P48" s="1418" t="s">
        <v>821</v>
      </c>
      <c r="Q48" s="1419" t="e">
        <f ca="1">J60</f>
        <v>#N/A</v>
      </c>
      <c r="R48" s="1419" t="s">
        <v>822</v>
      </c>
    </row>
    <row r="49" spans="1:18" s="1383" customFormat="1" ht="13.5" thickBot="1">
      <c r="A49" s="975" t="s">
        <v>439</v>
      </c>
      <c r="B49" s="1370" t="s">
        <v>779</v>
      </c>
      <c r="C49" s="1114" t="e">
        <f ca="1">ROUND(F49*F51*F50*(1-F52)/10000,0)</f>
        <v>#N/A</v>
      </c>
      <c r="D49" s="1055" t="s">
        <v>2106</v>
      </c>
      <c r="E49" s="1371" t="s">
        <v>780</v>
      </c>
      <c r="F49" s="1060"/>
      <c r="G49" s="1424"/>
      <c r="H49" s="723"/>
      <c r="I49" s="1420" t="s">
        <v>823</v>
      </c>
      <c r="J49" s="1425">
        <v>2019</v>
      </c>
      <c r="K49" s="1422" t="s">
        <v>824</v>
      </c>
      <c r="L49" s="1426"/>
      <c r="O49" s="1427" t="s">
        <v>405</v>
      </c>
      <c r="P49" s="1418" t="s">
        <v>825</v>
      </c>
      <c r="Q49" s="1419" t="e">
        <f ca="1">C29</f>
        <v>#N/A</v>
      </c>
      <c r="R49" s="1419" t="s">
        <v>818</v>
      </c>
    </row>
    <row r="50" spans="1:18" s="1383" customFormat="1" ht="13.5" thickBot="1">
      <c r="A50" s="976"/>
      <c r="B50" s="979"/>
      <c r="C50" s="1118"/>
      <c r="D50" s="953"/>
      <c r="E50" s="1056" t="s">
        <v>697</v>
      </c>
      <c r="F50" s="1057" t="e">
        <f ca="1">F7</f>
        <v>#N/A</v>
      </c>
      <c r="H50" s="723"/>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7"/>
      <c r="B51" s="979"/>
      <c r="C51" s="980"/>
      <c r="D51" s="953"/>
      <c r="E51" s="981" t="s">
        <v>698</v>
      </c>
      <c r="F51" s="303" t="e">
        <f ca="1">F8</f>
        <v>#N/A</v>
      </c>
      <c r="I51" s="1431" t="s">
        <v>829</v>
      </c>
      <c r="J51" s="1432">
        <f>IF(J49="",J50,J49+J50-YEAR('数据-取费表'!B2))</f>
        <v>56</v>
      </c>
      <c r="K51" s="1433" t="s">
        <v>830</v>
      </c>
      <c r="L51" s="1434" t="e">
        <f ca="1">ROUND(-PV(INDIRECT("'数据-取费表'!h"&amp;$G$1),J51,(C39-C13*C76),0),0)</f>
        <v>#N/A</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t="e">
        <f ca="1">J53</f>
        <v>#N/A</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t="e">
        <f ca="1">IF(M47="住宅",IF(D1="——",MAX(J51,L48),MAX(J51,L48-'数据-取费表'!B24)),IF(D1="——",MIN(J51,L48),MIN(J51,L48-'数据-取费表'!B24)))</f>
        <v>#N/A</v>
      </c>
      <c r="K53" s="3659" t="s">
        <v>837</v>
      </c>
      <c r="L53" s="3660"/>
      <c r="O53" s="1417" t="s">
        <v>409</v>
      </c>
      <c r="P53" s="1418" t="s">
        <v>838</v>
      </c>
      <c r="Q53" s="1419" t="e">
        <f ca="1">Q47+Q48</f>
        <v>#N/A</v>
      </c>
      <c r="R53" s="1419" t="s">
        <v>410</v>
      </c>
    </row>
    <row r="54" spans="1:18" s="1383" customFormat="1" ht="13.5" thickBot="1">
      <c r="A54" s="1153"/>
      <c r="B54" s="1366" t="s">
        <v>679</v>
      </c>
      <c r="C54" s="959"/>
      <c r="D54" s="1365"/>
      <c r="E54" s="345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7">
        <v>2</v>
      </c>
      <c r="B56" s="958" t="s">
        <v>704</v>
      </c>
      <c r="C56" s="232" t="e">
        <f ca="1">C13</f>
        <v>#N/A</v>
      </c>
      <c r="D56" s="1446"/>
      <c r="E56" s="1447"/>
      <c r="F56" s="1439"/>
      <c r="I56" s="1448" t="s">
        <v>842</v>
      </c>
      <c r="J56" s="1449" t="s">
        <v>3377</v>
      </c>
      <c r="K56" s="1420" t="s">
        <v>843</v>
      </c>
      <c r="L56" s="1423" t="e">
        <f ca="1">IF(L48&lt;J51,"——",L48-J53)</f>
        <v>#N/A</v>
      </c>
      <c r="O56" s="1417" t="s">
        <v>403</v>
      </c>
      <c r="P56" s="1418" t="s">
        <v>817</v>
      </c>
      <c r="Q56" s="1419" t="e">
        <f ca="1">C40+J29</f>
        <v>#N/A</v>
      </c>
      <c r="R56" s="1419" t="s">
        <v>818</v>
      </c>
    </row>
    <row r="57" spans="1:18" s="1383" customFormat="1" ht="24.75" thickBot="1">
      <c r="A57" s="1450"/>
      <c r="B57" s="950"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8" t="s">
        <v>714</v>
      </c>
      <c r="C58" s="316" t="e">
        <f ca="1">ROUND(C59+C64+C65+C66,0)</f>
        <v>#N/A</v>
      </c>
      <c r="D58" s="960" t="s">
        <v>715</v>
      </c>
      <c r="E58" s="961"/>
      <c r="F58" s="962"/>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2" t="s">
        <v>398</v>
      </c>
      <c r="B59" s="950" t="s">
        <v>719</v>
      </c>
      <c r="C59" s="2315" t="e">
        <f ca="1">ROUND(IF(AND(项目基本情况!B11="自然人",项目基本情况!B10="北京市"),C49*F59/(1+'数据-取费表'!C42),C60+C61+C62),0)</f>
        <v>#N/A</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2" t="s">
        <v>781</v>
      </c>
      <c r="B61" s="950" t="s">
        <v>782</v>
      </c>
      <c r="C61" s="21" t="e">
        <f ca="1">IF(项目基本情况!B11="自然人","——",IF(D61="按租金收入计税",ROUND(C49*F61/(1+'数据-取费表'!C42),2),IF(D61="按房产原值计税",ROUND(C57*F61*0.7,2),INDIRECT("'数据-取费表'!Aj"&amp;$G$1))))</f>
        <v>#N/A</v>
      </c>
      <c r="D61" s="1369" t="s">
        <v>3343</v>
      </c>
      <c r="E61" s="950" t="s">
        <v>712</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2" t="s">
        <v>784</v>
      </c>
      <c r="B62" s="949" t="s">
        <v>785</v>
      </c>
      <c r="C62" s="22" t="e">
        <f ca="1">IF(项目基本情况!B11="自然人","——",ROUND(F62*F63/10000,2))</f>
        <v>#N/A</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6"/>
      <c r="C63" s="26"/>
      <c r="D63" s="966"/>
      <c r="E63" s="950"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2" t="s">
        <v>402</v>
      </c>
      <c r="B64" s="950" t="s">
        <v>790</v>
      </c>
      <c r="C64" s="21" t="e">
        <f ca="1">ROUND(C57*F64,2)</f>
        <v>#N/A</v>
      </c>
      <c r="D64" s="964" t="s">
        <v>771</v>
      </c>
      <c r="E64" s="950" t="s">
        <v>712</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t="e">
        <f ca="1">ROUND(C56*F65,2)</f>
        <v>#N/A</v>
      </c>
      <c r="D65" s="964" t="s">
        <v>743</v>
      </c>
      <c r="E65" s="950"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2" t="s">
        <v>793</v>
      </c>
      <c r="B66" s="950" t="s">
        <v>728</v>
      </c>
      <c r="C66" s="21" t="e">
        <f ca="1">ROUND(C48*F66,2)</f>
        <v>#N/A</v>
      </c>
      <c r="D66" s="964" t="s">
        <v>794</v>
      </c>
      <c r="E66" s="950" t="s">
        <v>712</v>
      </c>
      <c r="F66" s="312" t="e">
        <f t="shared" ca="1" si="0"/>
        <v>#N/A</v>
      </c>
      <c r="O66" s="1417" t="s">
        <v>404</v>
      </c>
      <c r="P66" s="1418" t="s">
        <v>846</v>
      </c>
      <c r="Q66" s="1419" t="e">
        <f ca="1">L60</f>
        <v>#N/A</v>
      </c>
      <c r="R66" s="1419" t="s">
        <v>869</v>
      </c>
    </row>
    <row r="67" spans="1:18" s="1383" customFormat="1" ht="16.5" thickBot="1">
      <c r="A67" s="957" t="s">
        <v>394</v>
      </c>
      <c r="B67" s="967" t="s">
        <v>752</v>
      </c>
      <c r="C67" s="316" t="e">
        <f ca="1">C48-C58</f>
        <v>#N/A</v>
      </c>
      <c r="D67" s="963" t="s">
        <v>753</v>
      </c>
      <c r="E67" s="968"/>
      <c r="F67" s="969"/>
      <c r="O67" s="1427" t="s">
        <v>405</v>
      </c>
      <c r="P67" s="1418" t="s">
        <v>850</v>
      </c>
      <c r="Q67" s="1465" t="e">
        <f ca="1">L51</f>
        <v>#N/A</v>
      </c>
      <c r="R67" s="1419" t="s">
        <v>870</v>
      </c>
    </row>
    <row r="68" spans="1:18" s="1383" customFormat="1" ht="16.5" thickBot="1">
      <c r="A68" s="947" t="s">
        <v>395</v>
      </c>
      <c r="B68" s="948" t="s">
        <v>774</v>
      </c>
      <c r="C68" s="301" t="e">
        <f ca="1">ROUND(C67*(1-((1+F70)/(1+F68))^F69)/(F68-F70),0)</f>
        <v>#N/A</v>
      </c>
      <c r="D68" s="965" t="s">
        <v>758</v>
      </c>
      <c r="E68" s="950" t="s">
        <v>759</v>
      </c>
      <c r="F68" s="312" t="e">
        <f ca="1">F40</f>
        <v>#N/A</v>
      </c>
      <c r="O68" s="1427" t="s">
        <v>406</v>
      </c>
      <c r="P68" s="1466" t="s">
        <v>871</v>
      </c>
      <c r="Q68" s="1419" t="e">
        <f ca="1">ROUND(Q69-Q70*Q71,0)</f>
        <v>#N/A</v>
      </c>
      <c r="R68" s="1419" t="s">
        <v>414</v>
      </c>
    </row>
    <row r="69" spans="1:18" s="1383" customFormat="1" ht="13.5" thickBot="1">
      <c r="A69" s="951"/>
      <c r="B69" s="952"/>
      <c r="C69" s="306"/>
      <c r="D69" s="970" t="s">
        <v>762</v>
      </c>
      <c r="E69" s="950" t="s">
        <v>763</v>
      </c>
      <c r="F69" s="333" t="e">
        <f ca="1">F41</f>
        <v>#N/A</v>
      </c>
      <c r="O69" s="1427" t="s">
        <v>411</v>
      </c>
      <c r="P69" s="1466" t="s">
        <v>872</v>
      </c>
      <c r="Q69" s="1419" t="e">
        <f ca="1">C39</f>
        <v>#N/A</v>
      </c>
      <c r="R69" s="1419" t="s">
        <v>818</v>
      </c>
    </row>
    <row r="70" spans="1:18" s="1383" customFormat="1" ht="13.5" thickBot="1">
      <c r="A70" s="954"/>
      <c r="B70" s="955"/>
      <c r="C70" s="310"/>
      <c r="D70" s="966"/>
      <c r="E70" s="950" t="s">
        <v>766</v>
      </c>
      <c r="F70" s="1054"/>
      <c r="O70" s="1427" t="s">
        <v>412</v>
      </c>
      <c r="P70" s="1466" t="s">
        <v>873</v>
      </c>
      <c r="Q70" s="1419" t="e">
        <f ca="1">C13</f>
        <v>#N/A</v>
      </c>
      <c r="R70" s="1419" t="s">
        <v>818</v>
      </c>
    </row>
    <row r="71" spans="1:18" s="1383" customFormat="1" ht="13.5" thickBot="1">
      <c r="A71" s="971" t="s">
        <v>396</v>
      </c>
      <c r="B71" s="972" t="s">
        <v>776</v>
      </c>
      <c r="C71" s="336" t="e">
        <f ca="1">ROUND(C68*10000/F71,0)</f>
        <v>#N/A</v>
      </c>
      <c r="D71" s="973" t="s">
        <v>777</v>
      </c>
      <c r="E71" s="974" t="s">
        <v>778</v>
      </c>
      <c r="F71" s="339" t="e">
        <f ca="1">F43</f>
        <v>#N/A</v>
      </c>
      <c r="O71" s="1427" t="s">
        <v>413</v>
      </c>
      <c r="P71" s="1466" t="s">
        <v>874</v>
      </c>
      <c r="Q71" s="1430" t="e">
        <f ca="1">C76</f>
        <v>#N/A</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6"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56" t="s">
        <v>694</v>
      </c>
      <c r="C6" s="1074">
        <f ca="1">ROUND(F6*F8*F7*(1-F9),0)</f>
        <v>0</v>
      </c>
      <c r="D6" s="155" t="s">
        <v>2104</v>
      </c>
      <c r="E6" s="302" t="s">
        <v>696</v>
      </c>
      <c r="F6" s="303">
        <f ca="1">INDIRECT("'数据-取费表'!u"&amp;$G$1)</f>
        <v>0</v>
      </c>
      <c r="G6" s="1383"/>
      <c r="H6" s="1069" t="s">
        <v>398</v>
      </c>
      <c r="I6" s="3656" t="s">
        <v>694</v>
      </c>
      <c r="J6" s="301">
        <f ca="1">ROUND(M6*M8*M7*(1-M9),0)</f>
        <v>0</v>
      </c>
      <c r="K6" s="1375" t="s">
        <v>2105</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3"/>
      <c r="H7" s="304"/>
      <c r="I7" s="3657"/>
      <c r="J7" s="306"/>
      <c r="K7" s="307"/>
      <c r="L7" s="302" t="s">
        <v>697</v>
      </c>
      <c r="M7" s="303">
        <f ca="1">F7</f>
        <v>0</v>
      </c>
    </row>
    <row r="8" spans="1:37" ht="18" customHeight="1">
      <c r="A8" s="304"/>
      <c r="B8" s="3657"/>
      <c r="C8" s="306"/>
      <c r="D8" s="307"/>
      <c r="E8" s="302" t="s">
        <v>698</v>
      </c>
      <c r="F8" s="303">
        <f ca="1">INDIRECT("'数据-取费表'!ai"&amp;$G$1)</f>
        <v>0</v>
      </c>
      <c r="G8" s="1383"/>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3"/>
      <c r="H9" s="304"/>
      <c r="I9" s="365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1.4999999999999999E-2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1.4999999999999999E-2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3359</v>
      </c>
      <c r="B45" s="1399"/>
      <c r="C45" s="1471" t="e">
        <f ca="1">ROUND((C68-C40)/10000,4)</f>
        <v>#DIV/0!</v>
      </c>
      <c r="D45" s="3433" t="s">
        <v>3360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6" sqref="Q26"/>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f ca="1">IF(D2="——",C40,C40+E2)</f>
        <v>6291</v>
      </c>
      <c r="C2" s="2843" t="s">
        <v>2317</v>
      </c>
      <c r="D2" s="3444" t="s">
        <v>3368</v>
      </c>
      <c r="E2" s="3445"/>
      <c r="F2" s="2845"/>
      <c r="G2" s="2846"/>
      <c r="H2" s="2847"/>
      <c r="I2" s="2848"/>
      <c r="J2" s="3661" t="s">
        <v>2318</v>
      </c>
      <c r="K2" s="3662"/>
      <c r="L2" s="3809" t="s">
        <v>3791</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f ca="1">ROUND(B2*10000/B4,0)</f>
        <v>6023</v>
      </c>
      <c r="C3" s="2843" t="s">
        <v>2327</v>
      </c>
      <c r="D3" s="2843"/>
      <c r="E3" s="2844"/>
      <c r="F3" s="2845"/>
      <c r="G3" s="2846"/>
      <c r="H3" s="2847"/>
      <c r="I3" s="2848"/>
      <c r="J3" s="3663" t="s">
        <v>2328</v>
      </c>
      <c r="K3" s="3664"/>
      <c r="L3" s="2855">
        <f>B4</f>
        <v>10445.49</v>
      </c>
      <c r="M3" s="2855"/>
      <c r="N3" s="2855"/>
      <c r="O3" s="2855"/>
      <c r="P3" s="2855"/>
      <c r="Q3" s="2856"/>
      <c r="R3" s="2857">
        <f>SUM(L3:Q3)</f>
        <v>10445.49</v>
      </c>
      <c r="S3" s="2840"/>
      <c r="T3" s="2840"/>
      <c r="U3" s="2840"/>
      <c r="V3" s="2848"/>
    </row>
    <row r="4" spans="1:22" s="2852" customFormat="1" ht="13.15" customHeight="1">
      <c r="A4" s="2858" t="s">
        <v>2329</v>
      </c>
      <c r="B4" s="2859">
        <f>'数据-汇总表'!E20</f>
        <v>10445.49</v>
      </c>
      <c r="C4" s="2843"/>
      <c r="D4" s="2843"/>
      <c r="E4" s="2844"/>
      <c r="F4" s="2845"/>
      <c r="G4" s="2846"/>
      <c r="H4" s="2847"/>
      <c r="I4" s="2848"/>
      <c r="J4" s="3663" t="s">
        <v>2330</v>
      </c>
      <c r="K4" s="3664"/>
      <c r="L4" s="2860">
        <f>B5</f>
        <v>9302.32</v>
      </c>
      <c r="M4" s="2860"/>
      <c r="N4" s="2860"/>
      <c r="O4" s="2860"/>
      <c r="P4" s="2860"/>
      <c r="Q4" s="2861"/>
      <c r="R4" s="2862">
        <f>SUM(L4:Q4)</f>
        <v>9302.32</v>
      </c>
      <c r="S4" s="2840"/>
      <c r="T4" s="2840"/>
      <c r="U4" s="2840"/>
      <c r="V4" s="2848"/>
    </row>
    <row r="5" spans="1:22" s="2852" customFormat="1" ht="13.15" customHeight="1" thickBot="1">
      <c r="A5" s="2863" t="s">
        <v>2331</v>
      </c>
      <c r="B5" s="2864">
        <f>'数据-汇总表'!D20</f>
        <v>9302.32</v>
      </c>
      <c r="C5" s="2843"/>
      <c r="D5" s="2865"/>
      <c r="E5" s="2845"/>
      <c r="F5" s="2845"/>
      <c r="G5" s="2846"/>
      <c r="H5" s="2847"/>
      <c r="I5" s="2848"/>
      <c r="J5" s="2866" t="s">
        <v>2332</v>
      </c>
      <c r="K5" s="2867"/>
      <c r="L5" s="2867"/>
      <c r="M5" s="2868"/>
      <c r="N5" s="2868"/>
      <c r="O5" s="2868"/>
      <c r="P5" s="2868"/>
      <c r="Q5" s="2868"/>
      <c r="R5" s="2851">
        <f>SUM(R14,R19,R24,R25,R27,R28)</f>
        <v>1319</v>
      </c>
      <c r="S5" s="2840"/>
      <c r="T5" s="2840" t="s">
        <v>2333</v>
      </c>
      <c r="U5" s="2840">
        <f>ROUND(R5*10000/365/R3,1)</f>
        <v>3.5</v>
      </c>
      <c r="V5" s="2848"/>
    </row>
    <row r="6" spans="1:22" s="2852" customFormat="1" ht="13.15" customHeight="1" thickBot="1">
      <c r="A6" s="3665" t="s">
        <v>2334</v>
      </c>
      <c r="B6" s="3666"/>
      <c r="C6" s="3667"/>
      <c r="D6" s="2869">
        <f>R35</f>
        <v>1319</v>
      </c>
      <c r="E6" s="2870"/>
      <c r="F6" s="2871"/>
      <c r="G6" s="2872"/>
      <c r="H6" s="2847"/>
      <c r="I6" s="2848"/>
      <c r="J6" s="3668">
        <v>1</v>
      </c>
      <c r="K6" s="3669"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 ca="1">SUM(D9,D10,D11,D17,0)</f>
        <v>945</v>
      </c>
      <c r="E7" s="2879">
        <f ca="1">E9+E10+E11+E17</f>
        <v>0.71614859742228965</v>
      </c>
      <c r="F7" s="2880"/>
      <c r="G7" s="2881"/>
      <c r="H7" s="2847"/>
      <c r="I7" s="2848"/>
      <c r="J7" s="3668"/>
      <c r="K7" s="3670"/>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72" t="s">
        <v>2348</v>
      </c>
      <c r="C8" s="3673"/>
      <c r="D8" s="2888" t="s">
        <v>2349</v>
      </c>
      <c r="E8" s="2889" t="s">
        <v>2350</v>
      </c>
      <c r="F8" s="2890" t="s">
        <v>2351</v>
      </c>
      <c r="G8" s="2891"/>
      <c r="H8" s="2847"/>
      <c r="I8" s="2848"/>
      <c r="J8" s="3668"/>
      <c r="K8" s="3670"/>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72" t="s">
        <v>2354</v>
      </c>
      <c r="C9" s="3673"/>
      <c r="D9" s="2888">
        <f>ROUND(D6*E9,0)</f>
        <v>264</v>
      </c>
      <c r="E9" s="2892">
        <v>0.2</v>
      </c>
      <c r="F9" s="2893" t="s">
        <v>2355</v>
      </c>
      <c r="G9" s="2872"/>
      <c r="H9" s="2847"/>
      <c r="I9" s="2848"/>
      <c r="J9" s="3668"/>
      <c r="K9" s="3670"/>
      <c r="L9" s="2882" t="s">
        <v>2356</v>
      </c>
      <c r="M9" s="2883"/>
      <c r="N9" s="2859"/>
      <c r="O9" s="2884"/>
      <c r="P9" s="2884"/>
      <c r="Q9" s="2885">
        <v>365</v>
      </c>
      <c r="R9" s="2886">
        <f t="shared" si="0"/>
        <v>0</v>
      </c>
      <c r="S9" s="2840"/>
      <c r="T9" s="2840"/>
      <c r="U9" s="2840"/>
      <c r="V9" s="2848"/>
    </row>
    <row r="10" spans="1:22" s="2852" customFormat="1" ht="13.15" customHeight="1">
      <c r="A10" s="2887">
        <v>2</v>
      </c>
      <c r="B10" s="3672" t="s">
        <v>2357</v>
      </c>
      <c r="C10" s="3673"/>
      <c r="D10" s="2888">
        <f>ROUND(D6*E10,0)</f>
        <v>198</v>
      </c>
      <c r="E10" s="2892">
        <v>0.15</v>
      </c>
      <c r="F10" s="2893" t="s">
        <v>2358</v>
      </c>
      <c r="G10" s="2872"/>
      <c r="H10" s="2847"/>
      <c r="I10" s="2848"/>
      <c r="J10" s="3668"/>
      <c r="K10" s="3670"/>
      <c r="L10" s="2882" t="s">
        <v>2359</v>
      </c>
      <c r="M10" s="2883">
        <v>57</v>
      </c>
      <c r="N10" s="2859">
        <v>533</v>
      </c>
      <c r="O10" s="2884">
        <v>1</v>
      </c>
      <c r="P10" s="2884">
        <v>0.7</v>
      </c>
      <c r="Q10" s="2885">
        <v>365</v>
      </c>
      <c r="R10" s="2886">
        <f t="shared" si="0"/>
        <v>776</v>
      </c>
      <c r="S10" s="2840"/>
      <c r="T10" s="2840"/>
      <c r="U10" s="2840"/>
      <c r="V10" s="2848"/>
    </row>
    <row r="11" spans="1:22" s="2852" customFormat="1" ht="13.15" customHeight="1">
      <c r="A11" s="2887">
        <v>3</v>
      </c>
      <c r="B11" s="3672" t="s">
        <v>2360</v>
      </c>
      <c r="C11" s="3673"/>
      <c r="D11" s="2888">
        <f ca="1">D12+D14+D15+D16</f>
        <v>417</v>
      </c>
      <c r="E11" s="2894">
        <f ca="1">D11/D6</f>
        <v>0.31614859742228962</v>
      </c>
      <c r="F11" s="2890"/>
      <c r="G11" s="2891"/>
      <c r="H11" s="2847"/>
      <c r="I11" s="2848"/>
      <c r="J11" s="3668"/>
      <c r="K11" s="3670"/>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74" t="s">
        <v>2363</v>
      </c>
      <c r="C12" s="3675"/>
      <c r="D12" s="2896">
        <f ca="1">ROUND(D13*1.2%*(1-30%),0)</f>
        <v>343</v>
      </c>
      <c r="E12" s="2897">
        <v>1.2E-2</v>
      </c>
      <c r="F12" s="2890" t="s">
        <v>2364</v>
      </c>
      <c r="G12" s="2891"/>
      <c r="H12" s="2847"/>
      <c r="I12" s="2848"/>
      <c r="J12" s="3668"/>
      <c r="K12" s="3670"/>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f ca="1">成本法!C49</f>
        <v>40852</v>
      </c>
      <c r="E13" s="2901"/>
      <c r="F13" s="2890"/>
      <c r="G13" s="2891"/>
      <c r="H13" s="2847"/>
      <c r="I13" s="2848"/>
      <c r="J13" s="3668"/>
      <c r="K13" s="3670"/>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74" t="s">
        <v>2369</v>
      </c>
      <c r="C14" s="3675"/>
      <c r="D14" s="2896">
        <f>ROUND(E14*B5/10000,0)</f>
        <v>1</v>
      </c>
      <c r="E14" s="3810">
        <v>1.5</v>
      </c>
      <c r="F14" s="2890" t="s">
        <v>2370</v>
      </c>
      <c r="G14" s="2891"/>
      <c r="H14" s="2847"/>
      <c r="I14" s="2848"/>
      <c r="J14" s="3668"/>
      <c r="K14" s="3671"/>
      <c r="L14" s="2902" t="s">
        <v>2371</v>
      </c>
      <c r="M14" s="2903">
        <f>SUM(M7:M13)</f>
        <v>57</v>
      </c>
      <c r="N14" s="2903">
        <f>ROUND((N7*M7+N8*M8+N9*M9+N10*M10+N11*M11+N12*M12+N13*M13)/M14,0)</f>
        <v>533</v>
      </c>
      <c r="O14" s="2904"/>
      <c r="P14" s="2904"/>
      <c r="Q14" s="2905"/>
      <c r="R14" s="2851">
        <f>SUM(R7:R13)</f>
        <v>776</v>
      </c>
      <c r="S14" s="2840"/>
      <c r="T14" s="2840"/>
      <c r="U14" s="2840"/>
      <c r="V14" s="2848"/>
    </row>
    <row r="15" spans="1:22" s="2852" customFormat="1" ht="13.15" customHeight="1">
      <c r="A15" s="2895" t="s">
        <v>2372</v>
      </c>
      <c r="B15" s="3674" t="s">
        <v>2373</v>
      </c>
      <c r="C15" s="3675"/>
      <c r="D15" s="2896">
        <f>ROUND(D6*E15,0)</f>
        <v>73</v>
      </c>
      <c r="E15" s="2897">
        <v>5.5E-2</v>
      </c>
      <c r="F15" s="2890" t="s">
        <v>2374</v>
      </c>
      <c r="G15" s="2872"/>
      <c r="H15" s="2847"/>
      <c r="I15" s="2848"/>
      <c r="J15" s="3668">
        <v>2</v>
      </c>
      <c r="K15" s="3669"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74" t="s">
        <v>2382</v>
      </c>
      <c r="C16" s="3675"/>
      <c r="D16" s="2907">
        <f>D6*E16</f>
        <v>0</v>
      </c>
      <c r="E16" s="2908"/>
      <c r="F16" s="2893" t="s">
        <v>2383</v>
      </c>
      <c r="G16" s="2872"/>
      <c r="H16" s="2847"/>
      <c r="I16" s="2848"/>
      <c r="J16" s="3668"/>
      <c r="K16" s="3670"/>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76" t="s">
        <v>2385</v>
      </c>
      <c r="C17" s="3677"/>
      <c r="D17" s="2910">
        <f>ROUND(D6*E17,0)</f>
        <v>66</v>
      </c>
      <c r="E17" s="2911">
        <v>0.05</v>
      </c>
      <c r="F17" s="2912" t="s">
        <v>2386</v>
      </c>
      <c r="G17" s="2872"/>
      <c r="H17" s="2847"/>
      <c r="I17" s="2848"/>
      <c r="J17" s="3668"/>
      <c r="K17" s="3670"/>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66</v>
      </c>
      <c r="E18" s="2914">
        <v>0.05</v>
      </c>
      <c r="F18" s="2915" t="s">
        <v>2389</v>
      </c>
      <c r="G18" s="2872"/>
      <c r="H18" s="2847"/>
      <c r="I18" s="2848"/>
      <c r="J18" s="3668"/>
      <c r="K18" s="3670"/>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68"/>
      <c r="K19" s="3671"/>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8">
        <v>3</v>
      </c>
      <c r="K20" s="3669"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68"/>
      <c r="K21" s="3670"/>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68"/>
      <c r="K22" s="3670"/>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1319</v>
      </c>
      <c r="D23" s="2933">
        <f>C23*(1+D24)</f>
        <v>1319</v>
      </c>
      <c r="E23" s="2934">
        <f>D23*(1+E24)</f>
        <v>1319</v>
      </c>
      <c r="F23" s="2935"/>
      <c r="G23" s="2936"/>
      <c r="H23" s="2847"/>
      <c r="I23" s="2848"/>
      <c r="J23" s="3668"/>
      <c r="K23" s="3670"/>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68"/>
      <c r="K24" s="3671"/>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0.7</v>
      </c>
      <c r="R25" s="2918">
        <f>ROUND(R14*Q25,0)</f>
        <v>543</v>
      </c>
      <c r="S25" s="2840"/>
      <c r="T25" s="2840"/>
      <c r="U25" s="2840"/>
      <c r="V25" s="2948"/>
    </row>
    <row r="26" spans="1:22" s="2949" customFormat="1" ht="13.15" customHeight="1">
      <c r="A26" s="2930">
        <v>2</v>
      </c>
      <c r="B26" s="2931" t="s">
        <v>2412</v>
      </c>
      <c r="C26" s="2932">
        <f ca="1">D7</f>
        <v>945</v>
      </c>
      <c r="D26" s="2933">
        <f>D23*D27</f>
        <v>0</v>
      </c>
      <c r="E26" s="2934">
        <f>E23*E27</f>
        <v>0</v>
      </c>
      <c r="F26" s="2935"/>
      <c r="G26" s="2936"/>
      <c r="H26" s="2847"/>
      <c r="I26" s="2848"/>
      <c r="J26" s="3678">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f ca="1">E7</f>
        <v>0.71614859742228965</v>
      </c>
      <c r="D27" s="2940"/>
      <c r="E27" s="2941"/>
      <c r="F27" s="2942"/>
      <c r="G27" s="2936"/>
      <c r="H27" s="2957"/>
      <c r="I27" s="2948"/>
      <c r="J27" s="367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65.95</v>
      </c>
      <c r="D29" s="2933">
        <f>D23*C30</f>
        <v>65.95</v>
      </c>
      <c r="E29" s="2934">
        <f>E23*C30</f>
        <v>65.95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 ca="1">C23-C26-C29</f>
        <v>308.05</v>
      </c>
      <c r="D32" s="2933">
        <f>D23-D26-D29</f>
        <v>1253.05</v>
      </c>
      <c r="E32" s="2934">
        <f>E23-E26-E29</f>
        <v>1253.05</v>
      </c>
      <c r="F32" s="2935"/>
      <c r="G32" s="2929"/>
      <c r="H32" s="2847"/>
      <c r="I32" s="2848"/>
      <c r="J32" s="3661" t="s">
        <v>2318</v>
      </c>
      <c r="K32" s="3662"/>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63" t="s">
        <v>2328</v>
      </c>
      <c r="K33" s="3664"/>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v>5.5E-2</v>
      </c>
      <c r="D34" s="2977">
        <f>C34</f>
        <v>5.5E-2</v>
      </c>
      <c r="E34" s="2978">
        <f>D34</f>
        <v>5.5E-2</v>
      </c>
      <c r="F34" s="2935"/>
      <c r="G34" s="2929"/>
      <c r="H34" s="2957"/>
      <c r="I34" s="2948"/>
      <c r="J34" s="3663" t="s">
        <v>2330</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v>0.03</v>
      </c>
      <c r="D35" s="2981"/>
      <c r="E35" s="2982"/>
      <c r="F35" s="2935"/>
      <c r="G35" s="2983"/>
      <c r="H35" s="2847"/>
      <c r="I35" s="2948"/>
      <c r="J35" s="2866" t="s">
        <v>2332</v>
      </c>
      <c r="K35" s="2867"/>
      <c r="L35" s="2867"/>
      <c r="M35" s="2868"/>
      <c r="N35" s="2868"/>
      <c r="O35" s="2868"/>
      <c r="P35" s="2868"/>
      <c r="Q35" s="2868"/>
      <c r="R35" s="2984">
        <f>R40+R41+R43</f>
        <v>1319</v>
      </c>
      <c r="S35" s="2921"/>
      <c r="T35" s="2840" t="s">
        <v>2333</v>
      </c>
      <c r="U35" s="2840"/>
      <c r="V35" s="2848"/>
    </row>
    <row r="36" spans="1:23" s="2852" customFormat="1" ht="13.15" customHeight="1" thickBot="1">
      <c r="A36" s="2930">
        <v>7</v>
      </c>
      <c r="B36" s="2985" t="s">
        <v>2429</v>
      </c>
      <c r="C36" s="2986">
        <f>'数据-取费表'!F7</f>
        <v>29.79</v>
      </c>
      <c r="D36" s="2987"/>
      <c r="E36" s="2988"/>
      <c r="F36" s="2989">
        <f>C36+D36+E36</f>
        <v>29.79</v>
      </c>
      <c r="G36" s="2929"/>
      <c r="H36" s="2847"/>
      <c r="I36" s="2848"/>
      <c r="J36" s="3668">
        <v>1</v>
      </c>
      <c r="K36" s="3669"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68"/>
      <c r="K37" s="3670"/>
      <c r="L37" s="2882" t="str">
        <f>K6</f>
        <v>客房</v>
      </c>
      <c r="M37" s="2883" t="str">
        <f>K25</f>
        <v>其他收入</v>
      </c>
      <c r="N37" s="2859"/>
      <c r="O37" s="2884"/>
      <c r="P37" s="2884"/>
      <c r="Q37" s="2885"/>
      <c r="R37" s="2886"/>
      <c r="S37" s="2921"/>
      <c r="T37" s="2840" t="s">
        <v>2346</v>
      </c>
      <c r="U37" s="2840"/>
      <c r="V37" s="2848"/>
    </row>
    <row r="38" spans="1:23" s="2852" customFormat="1" ht="13.15" customHeight="1">
      <c r="A38" s="2930">
        <v>8</v>
      </c>
      <c r="B38" s="2931"/>
      <c r="C38" s="2888">
        <f ca="1">ROUND(C32*(1-((1+C35)/(1+C34))^C36)/(C34-C35),0)</f>
        <v>6291</v>
      </c>
      <c r="D38" s="2888">
        <f>IF(D23=0,0,ROUND(D32*(1-((1+D35)/(1+D34))^D36)/(D34-D35),0))</f>
        <v>0</v>
      </c>
      <c r="E38" s="2888">
        <f>IF(E23=0,0,ROUND(E32*(1-((1+E35)/(1+E34))^E36)/(E34-E35),0))</f>
        <v>0</v>
      </c>
      <c r="F38" s="2935"/>
      <c r="G38" s="2929"/>
      <c r="H38" s="2847"/>
      <c r="I38" s="2848"/>
      <c r="J38" s="3668"/>
      <c r="K38" s="3670"/>
      <c r="L38" s="2882">
        <f>R14</f>
        <v>776</v>
      </c>
      <c r="M38" s="2883">
        <f>R25</f>
        <v>543</v>
      </c>
      <c r="N38" s="2859"/>
      <c r="O38" s="2884"/>
      <c r="P38" s="2884"/>
      <c r="Q38" s="2885"/>
      <c r="R38" s="2886">
        <f>M38+L38</f>
        <v>1319</v>
      </c>
      <c r="S38" s="2921"/>
      <c r="T38" s="2840" t="s">
        <v>2353</v>
      </c>
      <c r="U38" s="2840"/>
      <c r="V38" s="2848"/>
    </row>
    <row r="39" spans="1:23" s="2852" customFormat="1" ht="13.15" customHeight="1">
      <c r="A39" s="2930">
        <v>9</v>
      </c>
      <c r="B39" s="2931" t="s">
        <v>2431</v>
      </c>
      <c r="C39" s="2896">
        <f ca="1">C38</f>
        <v>6291</v>
      </c>
      <c r="D39" s="2931">
        <f>D38/(1+D34)^C36</f>
        <v>0</v>
      </c>
      <c r="E39" s="2931">
        <f>E38/(1+E34)^(C36+D36)</f>
        <v>0</v>
      </c>
      <c r="F39" s="2935"/>
      <c r="G39" s="2990"/>
      <c r="H39" s="2847"/>
      <c r="I39" s="2848"/>
      <c r="J39" s="3668"/>
      <c r="K39" s="3670"/>
      <c r="L39" s="2882"/>
      <c r="M39" s="2883"/>
      <c r="N39" s="2859"/>
      <c r="O39" s="2884"/>
      <c r="P39" s="2884"/>
      <c r="Q39" s="2885"/>
      <c r="R39" s="2886"/>
      <c r="S39" s="2921"/>
      <c r="T39" s="2840"/>
      <c r="U39" s="2840"/>
      <c r="V39" s="2848"/>
    </row>
    <row r="40" spans="1:23" s="2852" customFormat="1" ht="13.15" customHeight="1">
      <c r="A40" s="2991">
        <v>10</v>
      </c>
      <c r="B40" s="2931" t="s">
        <v>2432</v>
      </c>
      <c r="C40" s="2992">
        <f ca="1">C39+D39+E39</f>
        <v>6291</v>
      </c>
      <c r="D40" s="2993"/>
      <c r="E40" s="2993"/>
      <c r="F40" s="2994"/>
      <c r="G40" s="2929"/>
      <c r="H40" s="2847"/>
      <c r="I40" s="2848"/>
      <c r="J40" s="3668"/>
      <c r="K40" s="3671"/>
      <c r="L40" s="2902" t="s">
        <v>2371</v>
      </c>
      <c r="M40" s="2903"/>
      <c r="N40" s="2903"/>
      <c r="O40" s="2904"/>
      <c r="P40" s="2904"/>
      <c r="Q40" s="2905"/>
      <c r="R40" s="2851">
        <f>SUM(R37:R39)</f>
        <v>1319</v>
      </c>
      <c r="S40" s="2921"/>
      <c r="T40" s="2840"/>
      <c r="U40" s="2840"/>
      <c r="V40" s="2848"/>
    </row>
    <row r="41" spans="1:23" s="2852" customFormat="1" ht="13.15" customHeight="1" thickBot="1">
      <c r="A41" s="2995">
        <v>11</v>
      </c>
      <c r="B41" s="2996" t="s">
        <v>2433</v>
      </c>
      <c r="C41" s="2996">
        <f ca="1">ROUND(C40*10000/B4,0)</f>
        <v>6023</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8">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7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49" activeCellId="1" sqref="N18 F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7"/>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70044.73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700" t="s">
        <v>1666</v>
      </c>
      <c r="D4" s="3701"/>
      <c r="E4" s="3702" t="s">
        <v>1667</v>
      </c>
      <c r="F4" s="3703"/>
      <c r="G4" s="3700" t="s">
        <v>1668</v>
      </c>
      <c r="H4" s="3701"/>
      <c r="I4" s="3700" t="s">
        <v>1669</v>
      </c>
      <c r="J4" s="3701"/>
      <c r="K4" s="1888" t="s">
        <v>1670</v>
      </c>
      <c r="L4" s="2714"/>
      <c r="M4" s="2715"/>
      <c r="N4" s="2715"/>
      <c r="O4" s="2715"/>
      <c r="P4" s="3704" t="s">
        <v>1671</v>
      </c>
      <c r="Q4" s="3705"/>
      <c r="R4" s="3687" t="s">
        <v>1667</v>
      </c>
      <c r="S4" s="3688"/>
      <c r="T4" s="3687" t="s">
        <v>1668</v>
      </c>
      <c r="U4" s="3688"/>
      <c r="V4" s="3712" t="s">
        <v>1669</v>
      </c>
      <c r="W4" s="3712"/>
      <c r="X4" s="1354"/>
      <c r="Y4" s="3687" t="s">
        <v>1671</v>
      </c>
      <c r="Z4" s="3688"/>
      <c r="AA4" s="3682" t="s">
        <v>1667</v>
      </c>
      <c r="AB4" s="3682" t="s">
        <v>1668</v>
      </c>
      <c r="AC4" s="3682" t="s">
        <v>1669</v>
      </c>
    </row>
    <row r="5" spans="1:29" ht="15">
      <c r="A5" s="358"/>
      <c r="B5" s="359"/>
      <c r="C5" s="3693" t="s">
        <v>1672</v>
      </c>
      <c r="D5" s="3694"/>
      <c r="E5" s="3691" t="s">
        <v>1673</v>
      </c>
      <c r="F5" s="3692"/>
      <c r="G5" s="3693" t="s">
        <v>1674</v>
      </c>
      <c r="H5" s="3694"/>
      <c r="I5" s="3693" t="s">
        <v>1675</v>
      </c>
      <c r="J5" s="3694"/>
      <c r="K5" s="1889"/>
      <c r="L5" s="2714"/>
      <c r="M5" s="2715"/>
      <c r="N5" s="2715"/>
      <c r="O5" s="2715"/>
      <c r="P5" s="3706"/>
      <c r="Q5" s="3707"/>
      <c r="R5" s="3689"/>
      <c r="S5" s="3690"/>
      <c r="T5" s="3689"/>
      <c r="U5" s="3690"/>
      <c r="V5" s="3712"/>
      <c r="W5" s="3712"/>
      <c r="X5" s="1354"/>
      <c r="Y5" s="3689"/>
      <c r="Z5" s="3690"/>
      <c r="AA5" s="3683"/>
      <c r="AB5" s="3683"/>
      <c r="AC5" s="3683"/>
    </row>
    <row r="6" spans="1:29" ht="15.75" thickBot="1">
      <c r="A6" s="360"/>
      <c r="B6" s="361"/>
      <c r="C6" s="3695" t="s">
        <v>1676</v>
      </c>
      <c r="D6" s="3696"/>
      <c r="E6" s="3697" t="s">
        <v>1676</v>
      </c>
      <c r="F6" s="3698"/>
      <c r="G6" s="3695" t="s">
        <v>1676</v>
      </c>
      <c r="H6" s="3696"/>
      <c r="I6" s="3695" t="s">
        <v>1676</v>
      </c>
      <c r="J6" s="3696"/>
      <c r="K6" s="1889" t="s">
        <v>1677</v>
      </c>
      <c r="L6" s="2714"/>
      <c r="M6" s="2715"/>
      <c r="N6" s="2715"/>
      <c r="O6" s="2715"/>
      <c r="P6" s="3708"/>
      <c r="Q6" s="3709"/>
      <c r="R6" s="3689"/>
      <c r="S6" s="3690"/>
      <c r="T6" s="3710"/>
      <c r="U6" s="3711"/>
      <c r="V6" s="3712"/>
      <c r="W6" s="3712"/>
      <c r="X6" s="1354"/>
      <c r="Y6" s="3710"/>
      <c r="Z6" s="3711"/>
      <c r="AA6" s="3684"/>
      <c r="AB6" s="3684"/>
      <c r="AC6" s="3684"/>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5" t="s">
        <v>1679</v>
      </c>
      <c r="Q7" s="3713"/>
      <c r="R7" s="701" t="s">
        <v>20</v>
      </c>
      <c r="S7" s="702">
        <f t="shared" ref="S7:S15" si="0">F7</f>
        <v>0</v>
      </c>
      <c r="T7" s="701" t="s">
        <v>20</v>
      </c>
      <c r="U7" s="702">
        <f t="shared" ref="U7:U15" si="1">H7</f>
        <v>0</v>
      </c>
      <c r="V7" s="701" t="s">
        <v>20</v>
      </c>
      <c r="W7" s="702">
        <f t="shared" ref="W7:W15" si="2">J7</f>
        <v>0</v>
      </c>
      <c r="X7" s="703"/>
      <c r="Y7" s="3685" t="s">
        <v>1679</v>
      </c>
      <c r="Z7" s="3686"/>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5" t="s">
        <v>1682</v>
      </c>
      <c r="Q8" s="3686"/>
      <c r="R8" s="701" t="s">
        <v>20</v>
      </c>
      <c r="S8" s="702">
        <f t="shared" si="0"/>
        <v>100</v>
      </c>
      <c r="T8" s="701" t="s">
        <v>20</v>
      </c>
      <c r="U8" s="702">
        <f t="shared" si="1"/>
        <v>100</v>
      </c>
      <c r="V8" s="701" t="s">
        <v>20</v>
      </c>
      <c r="W8" s="702">
        <f t="shared" si="2"/>
        <v>100</v>
      </c>
      <c r="X8" s="703"/>
      <c r="Y8" s="3685" t="s">
        <v>1682</v>
      </c>
      <c r="Z8" s="3686"/>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9" t="s">
        <v>1685</v>
      </c>
      <c r="Q9" s="1342"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9"/>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9"/>
      <c r="Q11" s="1342"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9"/>
      <c r="Q12" s="1342">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9"/>
      <c r="Q13" s="1342">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9"/>
      <c r="Q14" s="1342">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6" t="s">
        <v>1690</v>
      </c>
      <c r="Q15" s="1351" t="str">
        <f t="shared" si="6"/>
        <v>居住社区成熟度</v>
      </c>
      <c r="R15" s="705" t="s">
        <v>18</v>
      </c>
      <c r="S15" s="706">
        <f t="shared" si="0"/>
        <v>100</v>
      </c>
      <c r="T15" s="705" t="s">
        <v>18</v>
      </c>
      <c r="U15" s="706">
        <f t="shared" si="1"/>
        <v>100</v>
      </c>
      <c r="V15" s="705" t="s">
        <v>18</v>
      </c>
      <c r="W15" s="706">
        <f t="shared" si="2"/>
        <v>100</v>
      </c>
      <c r="X15" s="1354"/>
      <c r="Y15" s="3719"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7"/>
      <c r="Q16" s="1351"/>
      <c r="R16" s="705"/>
      <c r="S16" s="706"/>
      <c r="T16" s="705"/>
      <c r="U16" s="706"/>
      <c r="V16" s="705"/>
      <c r="W16" s="706"/>
      <c r="X16" s="1354"/>
      <c r="Y16" s="3720"/>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7"/>
      <c r="Q17" s="1351" t="str">
        <f>B17</f>
        <v>交通便捷度</v>
      </c>
      <c r="R17" s="705" t="s">
        <v>18</v>
      </c>
      <c r="S17" s="706">
        <f>F17</f>
        <v>100</v>
      </c>
      <c r="T17" s="705" t="s">
        <v>18</v>
      </c>
      <c r="U17" s="706">
        <f>H17</f>
        <v>100</v>
      </c>
      <c r="V17" s="705" t="s">
        <v>18</v>
      </c>
      <c r="W17" s="706">
        <f>J17</f>
        <v>100</v>
      </c>
      <c r="X17" s="1354"/>
      <c r="Y17" s="372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7"/>
      <c r="Q18" s="1351"/>
      <c r="R18" s="705"/>
      <c r="S18" s="706"/>
      <c r="T18" s="705"/>
      <c r="U18" s="706"/>
      <c r="V18" s="705"/>
      <c r="W18" s="706"/>
      <c r="X18" s="1354"/>
      <c r="Y18" s="3720"/>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7"/>
      <c r="Q19" s="1351" t="str">
        <f>B19</f>
        <v>公共配套设施</v>
      </c>
      <c r="R19" s="705" t="s">
        <v>18</v>
      </c>
      <c r="S19" s="706">
        <f>F19</f>
        <v>100</v>
      </c>
      <c r="T19" s="705" t="s">
        <v>18</v>
      </c>
      <c r="U19" s="706">
        <f>H19</f>
        <v>100</v>
      </c>
      <c r="V19" s="705" t="s">
        <v>18</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7"/>
      <c r="Q20" s="1351"/>
      <c r="R20" s="705"/>
      <c r="S20" s="706"/>
      <c r="T20" s="705"/>
      <c r="U20" s="706"/>
      <c r="V20" s="705"/>
      <c r="W20" s="706"/>
      <c r="X20" s="1354"/>
      <c r="Y20" s="3720"/>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27"/>
      <c r="Q22" s="1351"/>
      <c r="R22" s="705"/>
      <c r="S22" s="706"/>
      <c r="T22" s="705"/>
      <c r="U22" s="706"/>
      <c r="V22" s="705"/>
      <c r="W22" s="706"/>
      <c r="X22" s="1354"/>
      <c r="Y22" s="3720"/>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7"/>
      <c r="Q23" s="1351" t="str">
        <f>B23</f>
        <v>自然及人文环境</v>
      </c>
      <c r="R23" s="705" t="s">
        <v>18</v>
      </c>
      <c r="S23" s="706">
        <f>F23</f>
        <v>100</v>
      </c>
      <c r="T23" s="705" t="s">
        <v>18</v>
      </c>
      <c r="U23" s="706">
        <f>H23</f>
        <v>100</v>
      </c>
      <c r="V23" s="705" t="s">
        <v>18</v>
      </c>
      <c r="W23" s="706">
        <f>J23</f>
        <v>100</v>
      </c>
      <c r="X23" s="1354"/>
      <c r="Y23" s="372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7"/>
      <c r="Q24" s="1351"/>
      <c r="R24" s="705"/>
      <c r="S24" s="706"/>
      <c r="T24" s="705"/>
      <c r="U24" s="706"/>
      <c r="V24" s="705"/>
      <c r="W24" s="706"/>
      <c r="X24" s="1354"/>
      <c r="Y24" s="3720"/>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7"/>
      <c r="Q26" s="1351" t="str">
        <f t="shared" si="11"/>
        <v>朝向</v>
      </c>
      <c r="R26" s="705" t="s">
        <v>18</v>
      </c>
      <c r="S26" s="706">
        <f t="shared" si="12"/>
        <v>100</v>
      </c>
      <c r="T26" s="705" t="s">
        <v>18</v>
      </c>
      <c r="U26" s="706">
        <f t="shared" si="13"/>
        <v>100</v>
      </c>
      <c r="V26" s="705" t="s">
        <v>18</v>
      </c>
      <c r="W26" s="706">
        <f t="shared" si="14"/>
        <v>100</v>
      </c>
      <c r="X26" s="1354"/>
      <c r="Y26" s="372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7"/>
      <c r="Q27" s="1342">
        <f t="shared" si="11"/>
        <v>111</v>
      </c>
      <c r="R27" s="701" t="s">
        <v>18</v>
      </c>
      <c r="S27" s="702">
        <f t="shared" si="12"/>
        <v>100</v>
      </c>
      <c r="T27" s="701" t="s">
        <v>18</v>
      </c>
      <c r="U27" s="702">
        <f t="shared" si="13"/>
        <v>100</v>
      </c>
      <c r="V27" s="701" t="s">
        <v>18</v>
      </c>
      <c r="W27" s="702">
        <f t="shared" si="14"/>
        <v>100</v>
      </c>
      <c r="X27" s="703"/>
      <c r="Y27" s="372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7"/>
      <c r="Q28" s="1351">
        <f t="shared" si="11"/>
        <v>111</v>
      </c>
      <c r="R28" s="705" t="s">
        <v>18</v>
      </c>
      <c r="S28" s="706">
        <f t="shared" si="12"/>
        <v>100</v>
      </c>
      <c r="T28" s="705" t="s">
        <v>18</v>
      </c>
      <c r="U28" s="706">
        <f t="shared" si="13"/>
        <v>100</v>
      </c>
      <c r="V28" s="705" t="s">
        <v>18</v>
      </c>
      <c r="W28" s="706">
        <f t="shared" si="14"/>
        <v>100</v>
      </c>
      <c r="X28" s="1354"/>
      <c r="Y28" s="372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7"/>
      <c r="Q29" s="1351">
        <f t="shared" si="11"/>
        <v>111</v>
      </c>
      <c r="R29" s="705" t="s">
        <v>18</v>
      </c>
      <c r="S29" s="706">
        <f t="shared" si="12"/>
        <v>100</v>
      </c>
      <c r="T29" s="705" t="s">
        <v>18</v>
      </c>
      <c r="U29" s="706">
        <f t="shared" si="13"/>
        <v>100</v>
      </c>
      <c r="V29" s="705" t="s">
        <v>18</v>
      </c>
      <c r="W29" s="706">
        <f t="shared" si="14"/>
        <v>100</v>
      </c>
      <c r="X29" s="1354"/>
      <c r="Y29" s="372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7"/>
      <c r="Q30" s="1351">
        <f t="shared" si="11"/>
        <v>111</v>
      </c>
      <c r="R30" s="705" t="s">
        <v>18</v>
      </c>
      <c r="S30" s="706">
        <f t="shared" si="12"/>
        <v>100</v>
      </c>
      <c r="T30" s="705" t="s">
        <v>18</v>
      </c>
      <c r="U30" s="706">
        <f t="shared" si="13"/>
        <v>100</v>
      </c>
      <c r="V30" s="705" t="s">
        <v>18</v>
      </c>
      <c r="W30" s="706">
        <f t="shared" si="14"/>
        <v>100</v>
      </c>
      <c r="X30" s="1354"/>
      <c r="Y30" s="372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7"/>
      <c r="Q31" s="1351">
        <f t="shared" si="11"/>
        <v>111</v>
      </c>
      <c r="R31" s="705" t="s">
        <v>18</v>
      </c>
      <c r="S31" s="706">
        <f t="shared" si="12"/>
        <v>100</v>
      </c>
      <c r="T31" s="705" t="s">
        <v>18</v>
      </c>
      <c r="U31" s="706">
        <f t="shared" si="13"/>
        <v>100</v>
      </c>
      <c r="V31" s="705" t="s">
        <v>18</v>
      </c>
      <c r="W31" s="706">
        <f t="shared" si="14"/>
        <v>100</v>
      </c>
      <c r="X31" s="1354"/>
      <c r="Y31" s="3720"/>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1" t="s">
        <v>1695</v>
      </c>
      <c r="Q32" s="1351" t="str">
        <f t="shared" si="11"/>
        <v>建筑类型</v>
      </c>
      <c r="R32" s="705" t="s">
        <v>18</v>
      </c>
      <c r="S32" s="706">
        <f t="shared" si="12"/>
        <v>100</v>
      </c>
      <c r="T32" s="705" t="s">
        <v>18</v>
      </c>
      <c r="U32" s="706">
        <f t="shared" si="13"/>
        <v>100</v>
      </c>
      <c r="V32" s="705" t="s">
        <v>18</v>
      </c>
      <c r="W32" s="706">
        <f t="shared" si="14"/>
        <v>100</v>
      </c>
      <c r="X32" s="1354"/>
      <c r="Y32" s="3724"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2"/>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2"/>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2"/>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2"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2" t="s">
        <v>1695</v>
      </c>
      <c r="Q38" s="1351" t="str">
        <f t="shared" si="11"/>
        <v>物业管理</v>
      </c>
      <c r="R38" s="705" t="s">
        <v>18</v>
      </c>
      <c r="S38" s="706">
        <f t="shared" si="12"/>
        <v>100</v>
      </c>
      <c r="T38" s="705" t="s">
        <v>18</v>
      </c>
      <c r="U38" s="706">
        <f t="shared" si="13"/>
        <v>100</v>
      </c>
      <c r="V38" s="705" t="s">
        <v>18</v>
      </c>
      <c r="W38" s="706">
        <f t="shared" si="14"/>
        <v>100</v>
      </c>
      <c r="X38" s="1354"/>
      <c r="Y38" s="3724"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2"/>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2"/>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2"/>
      <c r="Q42" s="1351" t="str">
        <f t="shared" si="11"/>
        <v>内部装修</v>
      </c>
      <c r="R42" s="705" t="s">
        <v>18</v>
      </c>
      <c r="S42" s="706">
        <f t="shared" si="12"/>
        <v>100</v>
      </c>
      <c r="T42" s="705" t="s">
        <v>18</v>
      </c>
      <c r="U42" s="706">
        <f t="shared" si="13"/>
        <v>100</v>
      </c>
      <c r="V42" s="705" t="s">
        <v>18</v>
      </c>
      <c r="W42" s="706">
        <f t="shared" si="14"/>
        <v>100</v>
      </c>
      <c r="X42" s="1354"/>
      <c r="Y42" s="3724"/>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2"/>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2"/>
      <c r="Q44" s="1342">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2"/>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3"/>
      <c r="Q46" s="1351">
        <f t="shared" si="11"/>
        <v>111</v>
      </c>
      <c r="R46" s="705" t="s">
        <v>17</v>
      </c>
      <c r="S46" s="706">
        <f t="shared" si="12"/>
        <v>100</v>
      </c>
      <c r="T46" s="705" t="s">
        <v>17</v>
      </c>
      <c r="U46" s="706">
        <f t="shared" si="13"/>
        <v>100</v>
      </c>
      <c r="V46" s="705" t="s">
        <v>17</v>
      </c>
      <c r="W46" s="706">
        <f t="shared" si="14"/>
        <v>100</v>
      </c>
      <c r="X46" s="1354"/>
      <c r="Y46" s="3725"/>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7"/>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70044.73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700" t="s">
        <v>1769</v>
      </c>
      <c r="D4" s="3701"/>
      <c r="E4" s="3702" t="s">
        <v>1770</v>
      </c>
      <c r="F4" s="3703"/>
      <c r="G4" s="3700" t="s">
        <v>1771</v>
      </c>
      <c r="H4" s="3701"/>
      <c r="I4" s="3700" t="s">
        <v>1772</v>
      </c>
      <c r="J4" s="3701"/>
      <c r="K4" s="559" t="s">
        <v>1773</v>
      </c>
      <c r="L4" s="2714"/>
      <c r="M4" s="2715"/>
      <c r="N4" s="2715"/>
      <c r="O4" s="2715"/>
      <c r="P4" s="3704" t="s">
        <v>1774</v>
      </c>
      <c r="Q4" s="3705"/>
      <c r="R4" s="3687" t="s">
        <v>1770</v>
      </c>
      <c r="S4" s="3688"/>
      <c r="T4" s="3687" t="s">
        <v>1771</v>
      </c>
      <c r="U4" s="3688"/>
      <c r="V4" s="3712" t="s">
        <v>1772</v>
      </c>
      <c r="W4" s="3712"/>
      <c r="X4" s="1354"/>
      <c r="Y4" s="3687" t="s">
        <v>1774</v>
      </c>
      <c r="Z4" s="3688"/>
      <c r="AA4" s="3682" t="s">
        <v>1770</v>
      </c>
      <c r="AB4" s="3712" t="s">
        <v>1771</v>
      </c>
      <c r="AC4" s="3682" t="s">
        <v>1772</v>
      </c>
    </row>
    <row r="5" spans="1:29" ht="15">
      <c r="A5" s="358"/>
      <c r="B5" s="359"/>
      <c r="C5" s="3693" t="s">
        <v>1672</v>
      </c>
      <c r="D5" s="3694"/>
      <c r="E5" s="3691" t="s">
        <v>1673</v>
      </c>
      <c r="F5" s="3692"/>
      <c r="G5" s="3693" t="s">
        <v>1674</v>
      </c>
      <c r="H5" s="3694"/>
      <c r="I5" s="3693" t="s">
        <v>1675</v>
      </c>
      <c r="J5" s="3694"/>
      <c r="K5" s="559"/>
      <c r="L5" s="2714"/>
      <c r="M5" s="2715"/>
      <c r="N5" s="2715"/>
      <c r="O5" s="2715"/>
      <c r="P5" s="3706"/>
      <c r="Q5" s="3707"/>
      <c r="R5" s="3689"/>
      <c r="S5" s="3690"/>
      <c r="T5" s="3689"/>
      <c r="U5" s="3690"/>
      <c r="V5" s="3712"/>
      <c r="W5" s="3712"/>
      <c r="X5" s="1354"/>
      <c r="Y5" s="3689"/>
      <c r="Z5" s="3690"/>
      <c r="AA5" s="3683"/>
      <c r="AB5" s="3712"/>
      <c r="AC5" s="3683"/>
    </row>
    <row r="6" spans="1:29" ht="15.75" thickBot="1">
      <c r="A6" s="360"/>
      <c r="B6" s="361"/>
      <c r="C6" s="3695" t="s">
        <v>1676</v>
      </c>
      <c r="D6" s="3696"/>
      <c r="E6" s="3697" t="s">
        <v>1676</v>
      </c>
      <c r="F6" s="3698"/>
      <c r="G6" s="3695" t="s">
        <v>1676</v>
      </c>
      <c r="H6" s="3696"/>
      <c r="I6" s="3695" t="s">
        <v>1676</v>
      </c>
      <c r="J6" s="3696"/>
      <c r="K6" s="559" t="s">
        <v>1677</v>
      </c>
      <c r="L6" s="2714"/>
      <c r="M6" s="2715"/>
      <c r="N6" s="2715"/>
      <c r="O6" s="2715"/>
      <c r="P6" s="3708"/>
      <c r="Q6" s="3709"/>
      <c r="R6" s="3689"/>
      <c r="S6" s="3690"/>
      <c r="T6" s="3710"/>
      <c r="U6" s="3711"/>
      <c r="V6" s="3712"/>
      <c r="W6" s="3712"/>
      <c r="X6" s="1354"/>
      <c r="Y6" s="3710"/>
      <c r="Z6" s="3711"/>
      <c r="AA6" s="3684"/>
      <c r="AB6" s="3712"/>
      <c r="AC6" s="3684"/>
    </row>
    <row r="7" spans="1:29" s="108" customFormat="1" ht="15.75" thickBot="1">
      <c r="A7" s="362" t="s">
        <v>1678</v>
      </c>
      <c r="B7" s="363"/>
      <c r="C7" s="364">
        <f>'数据-取费表'!B2</f>
        <v>44929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5" t="s">
        <v>1679</v>
      </c>
      <c r="Q7" s="3713"/>
      <c r="R7" s="701" t="s">
        <v>14</v>
      </c>
      <c r="S7" s="702">
        <f t="shared" ref="S7:S15" si="0">F7</f>
        <v>0</v>
      </c>
      <c r="T7" s="701" t="s">
        <v>14</v>
      </c>
      <c r="U7" s="702">
        <f t="shared" ref="U7:U15" si="1">H7</f>
        <v>0</v>
      </c>
      <c r="V7" s="701" t="s">
        <v>14</v>
      </c>
      <c r="W7" s="702">
        <f t="shared" ref="W7:W15" si="2">J7</f>
        <v>0</v>
      </c>
      <c r="X7" s="703"/>
      <c r="Y7" s="3685" t="s">
        <v>1679</v>
      </c>
      <c r="Z7" s="3686"/>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5" t="s">
        <v>1682</v>
      </c>
      <c r="Q8" s="3686"/>
      <c r="R8" s="701" t="s">
        <v>14</v>
      </c>
      <c r="S8" s="702">
        <f t="shared" si="0"/>
        <v>100</v>
      </c>
      <c r="T8" s="701" t="s">
        <v>14</v>
      </c>
      <c r="U8" s="702">
        <f t="shared" si="1"/>
        <v>100</v>
      </c>
      <c r="V8" s="701" t="s">
        <v>14</v>
      </c>
      <c r="W8" s="702">
        <f t="shared" si="2"/>
        <v>100</v>
      </c>
      <c r="X8" s="703"/>
      <c r="Y8" s="3685" t="s">
        <v>1682</v>
      </c>
      <c r="Z8" s="3686"/>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9" t="s">
        <v>1685</v>
      </c>
      <c r="Q9" s="1342"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99"/>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9"/>
      <c r="Q11" s="1342"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9"/>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9"/>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9"/>
      <c r="Q14" s="1342">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6" t="s">
        <v>1690</v>
      </c>
      <c r="Q15" s="1351" t="str">
        <f t="shared" si="6"/>
        <v>商业繁华度</v>
      </c>
      <c r="R15" s="705" t="s">
        <v>14</v>
      </c>
      <c r="S15" s="706">
        <f t="shared" si="0"/>
        <v>100</v>
      </c>
      <c r="T15" s="705" t="s">
        <v>14</v>
      </c>
      <c r="U15" s="706">
        <f t="shared" si="1"/>
        <v>100</v>
      </c>
      <c r="V15" s="705" t="s">
        <v>14</v>
      </c>
      <c r="W15" s="706">
        <f t="shared" si="2"/>
        <v>100</v>
      </c>
      <c r="X15" s="1354"/>
      <c r="Y15" s="3719"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27"/>
      <c r="Q16" s="1351"/>
      <c r="R16" s="705"/>
      <c r="S16" s="706"/>
      <c r="T16" s="705"/>
      <c r="U16" s="706"/>
      <c r="V16" s="705"/>
      <c r="W16" s="706"/>
      <c r="X16" s="1354"/>
      <c r="Y16" s="3720"/>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27"/>
      <c r="Q18" s="1351"/>
      <c r="R18" s="705"/>
      <c r="S18" s="706"/>
      <c r="T18" s="705"/>
      <c r="U18" s="706"/>
      <c r="V18" s="705"/>
      <c r="W18" s="706"/>
      <c r="X18" s="1354"/>
      <c r="Y18" s="3720"/>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27"/>
      <c r="Q20" s="1351"/>
      <c r="R20" s="705"/>
      <c r="S20" s="706"/>
      <c r="T20" s="705"/>
      <c r="U20" s="706"/>
      <c r="V20" s="705"/>
      <c r="W20" s="706"/>
      <c r="X20" s="1354"/>
      <c r="Y20" s="3720"/>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27"/>
      <c r="Q22" s="1351"/>
      <c r="R22" s="705"/>
      <c r="S22" s="706"/>
      <c r="T22" s="705"/>
      <c r="U22" s="706"/>
      <c r="V22" s="705"/>
      <c r="W22" s="706"/>
      <c r="X22" s="1354"/>
      <c r="Y22" s="3720"/>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7"/>
      <c r="Q23" s="1351" t="str">
        <f>B23</f>
        <v>自然及人文环境</v>
      </c>
      <c r="R23" s="705" t="s">
        <v>14</v>
      </c>
      <c r="S23" s="706">
        <f>F23</f>
        <v>100</v>
      </c>
      <c r="T23" s="705" t="s">
        <v>14</v>
      </c>
      <c r="U23" s="706">
        <f>H23</f>
        <v>100</v>
      </c>
      <c r="V23" s="705" t="s">
        <v>14</v>
      </c>
      <c r="W23" s="706">
        <f>J23</f>
        <v>100</v>
      </c>
      <c r="X23" s="1354"/>
      <c r="Y23" s="372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27"/>
      <c r="Q24" s="1351"/>
      <c r="R24" s="705"/>
      <c r="S24" s="706"/>
      <c r="T24" s="705"/>
      <c r="U24" s="706"/>
      <c r="V24" s="705"/>
      <c r="W24" s="706"/>
      <c r="X24" s="1354"/>
      <c r="Y24" s="3720"/>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7"/>
      <c r="Q25" s="1351" t="str">
        <f t="shared" ref="Q25:Q46" si="11">B25</f>
        <v>临街状况</v>
      </c>
      <c r="R25" s="705" t="s">
        <v>14</v>
      </c>
      <c r="S25" s="706">
        <f>F25</f>
        <v>100</v>
      </c>
      <c r="T25" s="705" t="s">
        <v>14</v>
      </c>
      <c r="U25" s="706">
        <f>H25</f>
        <v>100</v>
      </c>
      <c r="V25" s="705" t="s">
        <v>14</v>
      </c>
      <c r="W25" s="706">
        <f>J25</f>
        <v>100</v>
      </c>
      <c r="X25" s="1354"/>
      <c r="Y25" s="3720"/>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7"/>
      <c r="Q26" s="1351" t="str">
        <f t="shared" si="11"/>
        <v>平面位置/可视性</v>
      </c>
      <c r="R26" s="705" t="s">
        <v>14</v>
      </c>
      <c r="S26" s="706">
        <f>F26</f>
        <v>100</v>
      </c>
      <c r="T26" s="705" t="s">
        <v>14</v>
      </c>
      <c r="U26" s="706">
        <f>H26</f>
        <v>100</v>
      </c>
      <c r="V26" s="705" t="s">
        <v>14</v>
      </c>
      <c r="W26" s="706">
        <f>J26</f>
        <v>100</v>
      </c>
      <c r="X26" s="1354"/>
      <c r="Y26" s="3720"/>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7"/>
      <c r="Q27" s="1342" t="str">
        <f t="shared" si="11"/>
        <v>人流量</v>
      </c>
      <c r="R27" s="701" t="s">
        <v>14</v>
      </c>
      <c r="S27" s="702">
        <f>F27</f>
        <v>100</v>
      </c>
      <c r="T27" s="701" t="s">
        <v>14</v>
      </c>
      <c r="U27" s="702">
        <f>H27</f>
        <v>100</v>
      </c>
      <c r="V27" s="701" t="s">
        <v>14</v>
      </c>
      <c r="W27" s="702">
        <f>J27</f>
        <v>100</v>
      </c>
      <c r="X27" s="703"/>
      <c r="Y27" s="3720"/>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7"/>
      <c r="Q29" s="1351">
        <f t="shared" si="11"/>
        <v>111</v>
      </c>
      <c r="R29" s="705" t="s">
        <v>14</v>
      </c>
      <c r="S29" s="706">
        <f t="shared" si="12"/>
        <v>100</v>
      </c>
      <c r="T29" s="705" t="s">
        <v>14</v>
      </c>
      <c r="U29" s="706">
        <f t="shared" si="13"/>
        <v>100</v>
      </c>
      <c r="V29" s="705" t="s">
        <v>14</v>
      </c>
      <c r="W29" s="706">
        <f t="shared" si="14"/>
        <v>100</v>
      </c>
      <c r="X29" s="1354"/>
      <c r="Y29" s="372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1" t="s">
        <v>1695</v>
      </c>
      <c r="Q32" s="1351" t="str">
        <f t="shared" si="11"/>
        <v>商业类型</v>
      </c>
      <c r="R32" s="705" t="s">
        <v>14</v>
      </c>
      <c r="S32" s="706">
        <f t="shared" si="12"/>
        <v>100</v>
      </c>
      <c r="T32" s="705" t="s">
        <v>14</v>
      </c>
      <c r="U32" s="706">
        <f t="shared" si="13"/>
        <v>100</v>
      </c>
      <c r="V32" s="705" t="s">
        <v>14</v>
      </c>
      <c r="W32" s="706">
        <f t="shared" si="14"/>
        <v>100</v>
      </c>
      <c r="X32" s="1354"/>
      <c r="Y32" s="3724"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2"/>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2"/>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2"/>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2" t="s">
        <v>1695</v>
      </c>
      <c r="Q38" s="1351" t="str">
        <f t="shared" si="11"/>
        <v>业态</v>
      </c>
      <c r="R38" s="705" t="s">
        <v>14</v>
      </c>
      <c r="S38" s="706">
        <f t="shared" si="12"/>
        <v>100</v>
      </c>
      <c r="T38" s="705" t="s">
        <v>14</v>
      </c>
      <c r="U38" s="706">
        <f t="shared" si="13"/>
        <v>100</v>
      </c>
      <c r="V38" s="705" t="s">
        <v>14</v>
      </c>
      <c r="W38" s="706">
        <f t="shared" si="14"/>
        <v>100</v>
      </c>
      <c r="X38" s="1354"/>
      <c r="Y38" s="3724"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2"/>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2"/>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2"/>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1">
        <f t="shared" si="11"/>
        <v>111</v>
      </c>
      <c r="R46" s="705" t="s">
        <v>14</v>
      </c>
      <c r="S46" s="706">
        <f t="shared" si="12"/>
        <v>100</v>
      </c>
      <c r="T46" s="705" t="s">
        <v>14</v>
      </c>
      <c r="U46" s="706">
        <f t="shared" si="13"/>
        <v>100</v>
      </c>
      <c r="V46" s="705" t="s">
        <v>14</v>
      </c>
      <c r="W46" s="706">
        <f t="shared" si="14"/>
        <v>100</v>
      </c>
      <c r="X46" s="1354"/>
      <c r="Y46" s="3725"/>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受贵公司委托，我公司对北京市昌平区生命园路20号院1号楼-1至4层101等8幢综合（研发）用房房地产抵押价值进行了预评估。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生命园路20号院1号楼-1至4层101等8幢综合（研发）用房房地产，为所有。根据《国有土地使用证》[]，估价对象（分摊）出让国有建设用地使用权面积为62378.94平方米，建筑面积为70044.73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生命园路20号院1号楼-1至4层101等8幢综合（研发）用房房地产,属开发建设的办公项目，该项目尚在开发建设中。根据《国有土地使用证》[]，估价对象（分摊）出让国有建设用地使用权面积为62378.94平方米，规划建筑面积为70044.73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生命园路20号院1号楼-1至4层101等8幢综合（研发）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70044.73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700" t="s">
        <v>1769</v>
      </c>
      <c r="D4" s="3701"/>
      <c r="E4" s="3702" t="s">
        <v>1770</v>
      </c>
      <c r="F4" s="3703"/>
      <c r="G4" s="3700" t="s">
        <v>1771</v>
      </c>
      <c r="H4" s="3701"/>
      <c r="I4" s="3700" t="s">
        <v>1772</v>
      </c>
      <c r="J4" s="3701"/>
      <c r="K4" s="559" t="s">
        <v>1773</v>
      </c>
      <c r="L4" s="2714"/>
      <c r="M4" s="2715"/>
      <c r="N4" s="2715"/>
      <c r="O4" s="2715"/>
      <c r="P4" s="3734" t="s">
        <v>1774</v>
      </c>
      <c r="Q4" s="3735"/>
      <c r="R4" s="3729" t="s">
        <v>1770</v>
      </c>
      <c r="S4" s="3730"/>
      <c r="T4" s="3729" t="s">
        <v>1771</v>
      </c>
      <c r="U4" s="3730"/>
      <c r="V4" s="3738" t="s">
        <v>1772</v>
      </c>
      <c r="W4" s="3738"/>
      <c r="X4" s="1957"/>
      <c r="Y4" s="3729" t="s">
        <v>1774</v>
      </c>
      <c r="Z4" s="3730"/>
      <c r="AA4" s="3728" t="s">
        <v>1770</v>
      </c>
      <c r="AB4" s="3728" t="s">
        <v>1771</v>
      </c>
      <c r="AC4" s="3731" t="s">
        <v>1772</v>
      </c>
    </row>
    <row r="5" spans="1:29" ht="15">
      <c r="A5" s="358"/>
      <c r="B5" s="359"/>
      <c r="C5" s="3693" t="s">
        <v>1672</v>
      </c>
      <c r="D5" s="3694"/>
      <c r="E5" s="3691" t="s">
        <v>1673</v>
      </c>
      <c r="F5" s="3692"/>
      <c r="G5" s="3693" t="s">
        <v>1674</v>
      </c>
      <c r="H5" s="3694"/>
      <c r="I5" s="3693" t="s">
        <v>1675</v>
      </c>
      <c r="J5" s="3694"/>
      <c r="K5" s="559"/>
      <c r="L5" s="2714"/>
      <c r="M5" s="2715"/>
      <c r="N5" s="2715"/>
      <c r="O5" s="2715"/>
      <c r="P5" s="3736"/>
      <c r="Q5" s="3707"/>
      <c r="R5" s="3689"/>
      <c r="S5" s="3690"/>
      <c r="T5" s="3689"/>
      <c r="U5" s="3690"/>
      <c r="V5" s="3712"/>
      <c r="W5" s="3712"/>
      <c r="X5" s="1354"/>
      <c r="Y5" s="3689"/>
      <c r="Z5" s="3690"/>
      <c r="AA5" s="3683"/>
      <c r="AB5" s="3683"/>
      <c r="AC5" s="3732"/>
    </row>
    <row r="6" spans="1:29" ht="15.75" thickBot="1">
      <c r="A6" s="360"/>
      <c r="B6" s="361"/>
      <c r="C6" s="3695" t="s">
        <v>1676</v>
      </c>
      <c r="D6" s="3696"/>
      <c r="E6" s="3697" t="s">
        <v>1676</v>
      </c>
      <c r="F6" s="3698"/>
      <c r="G6" s="3695" t="s">
        <v>1676</v>
      </c>
      <c r="H6" s="3696"/>
      <c r="I6" s="3695" t="s">
        <v>1676</v>
      </c>
      <c r="J6" s="3696"/>
      <c r="K6" s="559" t="s">
        <v>1677</v>
      </c>
      <c r="L6" s="2714"/>
      <c r="M6" s="2715"/>
      <c r="N6" s="2715"/>
      <c r="O6" s="2715"/>
      <c r="P6" s="3737"/>
      <c r="Q6" s="3709"/>
      <c r="R6" s="3689"/>
      <c r="S6" s="3690"/>
      <c r="T6" s="3710"/>
      <c r="U6" s="3711"/>
      <c r="V6" s="3712"/>
      <c r="W6" s="3712"/>
      <c r="X6" s="1354"/>
      <c r="Y6" s="3710"/>
      <c r="Z6" s="3711"/>
      <c r="AA6" s="3684"/>
      <c r="AB6" s="3684"/>
      <c r="AC6" s="3733"/>
    </row>
    <row r="7" spans="1:29" s="108" customFormat="1" ht="15.75" thickBot="1">
      <c r="A7" s="362" t="s">
        <v>1678</v>
      </c>
      <c r="B7" s="363"/>
      <c r="C7" s="364">
        <f>'数据-取费表'!B2</f>
        <v>44929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1679</v>
      </c>
      <c r="Q7" s="3713"/>
      <c r="R7" s="701" t="s">
        <v>14</v>
      </c>
      <c r="S7" s="702">
        <f t="shared" ref="S7:S15" si="0">F7</f>
        <v>0</v>
      </c>
      <c r="T7" s="701" t="s">
        <v>14</v>
      </c>
      <c r="U7" s="702">
        <f t="shared" ref="U7:U15" si="1">H7</f>
        <v>0</v>
      </c>
      <c r="V7" s="701" t="s">
        <v>14</v>
      </c>
      <c r="W7" s="702">
        <f t="shared" ref="W7:W15" si="2">J7</f>
        <v>0</v>
      </c>
      <c r="X7" s="703"/>
      <c r="Y7" s="3685" t="s">
        <v>1679</v>
      </c>
      <c r="Z7" s="3686"/>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1682</v>
      </c>
      <c r="Q8" s="3686"/>
      <c r="R8" s="701" t="s">
        <v>14</v>
      </c>
      <c r="S8" s="702">
        <f t="shared" si="0"/>
        <v>100</v>
      </c>
      <c r="T8" s="701" t="s">
        <v>14</v>
      </c>
      <c r="U8" s="702">
        <f t="shared" si="1"/>
        <v>100</v>
      </c>
      <c r="V8" s="701" t="s">
        <v>14</v>
      </c>
      <c r="W8" s="702">
        <f t="shared" si="2"/>
        <v>100</v>
      </c>
      <c r="X8" s="703"/>
      <c r="Y8" s="3685" t="s">
        <v>1682</v>
      </c>
      <c r="Z8" s="3686"/>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9" t="s">
        <v>1685</v>
      </c>
      <c r="Q9" s="1342"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1958">
        <f t="shared" si="5"/>
        <v>1</v>
      </c>
    </row>
    <row r="10" spans="1:29" s="378" customFormat="1" ht="27">
      <c r="A10" s="374"/>
      <c r="B10" s="375" t="s">
        <v>1687</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9"/>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9"/>
      <c r="Q11" s="1342"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9"/>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9"/>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9"/>
      <c r="Q14" s="1342">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6" t="s">
        <v>1690</v>
      </c>
      <c r="Q15" s="1351" t="str">
        <f t="shared" si="6"/>
        <v>办公集聚程度</v>
      </c>
      <c r="R15" s="705" t="s">
        <v>14</v>
      </c>
      <c r="S15" s="706">
        <f t="shared" si="0"/>
        <v>100</v>
      </c>
      <c r="T15" s="705" t="s">
        <v>14</v>
      </c>
      <c r="U15" s="706">
        <f t="shared" si="1"/>
        <v>100</v>
      </c>
      <c r="V15" s="705" t="s">
        <v>14</v>
      </c>
      <c r="W15" s="706">
        <f t="shared" si="2"/>
        <v>100</v>
      </c>
      <c r="X15" s="1354"/>
      <c r="Y15" s="3719"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7"/>
      <c r="Q16" s="1351"/>
      <c r="R16" s="705"/>
      <c r="S16" s="706"/>
      <c r="T16" s="705"/>
      <c r="U16" s="706"/>
      <c r="V16" s="705"/>
      <c r="W16" s="706"/>
      <c r="X16" s="1354"/>
      <c r="Y16" s="3720"/>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7"/>
      <c r="Q18" s="1351"/>
      <c r="R18" s="705"/>
      <c r="S18" s="706"/>
      <c r="T18" s="705"/>
      <c r="U18" s="706"/>
      <c r="V18" s="705"/>
      <c r="W18" s="706"/>
      <c r="X18" s="1354"/>
      <c r="Y18" s="3720"/>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7"/>
      <c r="Q20" s="1351"/>
      <c r="R20" s="705"/>
      <c r="S20" s="706"/>
      <c r="T20" s="705"/>
      <c r="U20" s="706"/>
      <c r="V20" s="705"/>
      <c r="W20" s="706"/>
      <c r="X20" s="1354"/>
      <c r="Y20" s="3720"/>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7"/>
      <c r="Q22" s="1351"/>
      <c r="R22" s="705"/>
      <c r="S22" s="706"/>
      <c r="T22" s="705"/>
      <c r="U22" s="706"/>
      <c r="V22" s="705"/>
      <c r="W22" s="706"/>
      <c r="X22" s="1354"/>
      <c r="Y22" s="3720"/>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7"/>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7"/>
      <c r="Q24" s="1351"/>
      <c r="R24" s="705"/>
      <c r="S24" s="706"/>
      <c r="T24" s="705"/>
      <c r="U24" s="706"/>
      <c r="V24" s="705"/>
      <c r="W24" s="706"/>
      <c r="X24" s="1354"/>
      <c r="Y24" s="3720"/>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7"/>
      <c r="Q25" s="1351" t="str">
        <f>B25</f>
        <v>毗邻道路的类型与等级</v>
      </c>
      <c r="R25" s="705" t="s">
        <v>14</v>
      </c>
      <c r="S25" s="706">
        <f>F25</f>
        <v>100</v>
      </c>
      <c r="T25" s="705" t="s">
        <v>14</v>
      </c>
      <c r="U25" s="706">
        <f>H25</f>
        <v>100</v>
      </c>
      <c r="V25" s="705" t="s">
        <v>14</v>
      </c>
      <c r="W25" s="706">
        <f>J25</f>
        <v>100</v>
      </c>
      <c r="X25" s="1354"/>
      <c r="Y25" s="372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7"/>
      <c r="Q26" s="1351"/>
      <c r="R26" s="705"/>
      <c r="S26" s="706"/>
      <c r="T26" s="705"/>
      <c r="U26" s="706"/>
      <c r="V26" s="705"/>
      <c r="W26" s="706"/>
      <c r="X26" s="1354"/>
      <c r="Y26" s="3720"/>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7"/>
      <c r="Q27" s="1351" t="str">
        <f t="shared" ref="Q27:Q47" si="11">B27</f>
        <v>楼层</v>
      </c>
      <c r="R27" s="705" t="s">
        <v>14</v>
      </c>
      <c r="S27" s="706">
        <f>F27</f>
        <v>100</v>
      </c>
      <c r="T27" s="705" t="s">
        <v>14</v>
      </c>
      <c r="U27" s="706">
        <f>H27</f>
        <v>100</v>
      </c>
      <c r="V27" s="705" t="s">
        <v>14</v>
      </c>
      <c r="W27" s="706">
        <f>J27</f>
        <v>100</v>
      </c>
      <c r="X27" s="1354"/>
      <c r="Y27" s="3720"/>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7"/>
      <c r="Q28" s="1342" t="str">
        <f t="shared" si="11"/>
        <v>朝向</v>
      </c>
      <c r="R28" s="701" t="s">
        <v>14</v>
      </c>
      <c r="S28" s="702">
        <f>F28</f>
        <v>100</v>
      </c>
      <c r="T28" s="701" t="s">
        <v>14</v>
      </c>
      <c r="U28" s="702">
        <f>H28</f>
        <v>100</v>
      </c>
      <c r="V28" s="701" t="s">
        <v>14</v>
      </c>
      <c r="W28" s="702">
        <f>J28</f>
        <v>100</v>
      </c>
      <c r="X28" s="703"/>
      <c r="Y28" s="372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7"/>
      <c r="Q29" s="1351">
        <f t="shared" si="11"/>
        <v>111</v>
      </c>
      <c r="R29" s="705" t="s">
        <v>14</v>
      </c>
      <c r="S29" s="706">
        <f t="shared" ref="S29:S47" si="12">F29</f>
        <v>100</v>
      </c>
      <c r="T29" s="705" t="s">
        <v>14</v>
      </c>
      <c r="U29" s="706">
        <f t="shared" ref="U29:U47" si="13">H29</f>
        <v>100</v>
      </c>
      <c r="V29" s="705" t="s">
        <v>14</v>
      </c>
      <c r="W29" s="706">
        <f t="shared" ref="W29:W47" si="14">J29</f>
        <v>100</v>
      </c>
      <c r="X29" s="1354"/>
      <c r="Y29" s="372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7"/>
      <c r="Q32" s="1351">
        <f t="shared" si="11"/>
        <v>111</v>
      </c>
      <c r="R32" s="705" t="s">
        <v>14</v>
      </c>
      <c r="S32" s="706">
        <f t="shared" si="12"/>
        <v>100</v>
      </c>
      <c r="T32" s="705" t="s">
        <v>14</v>
      </c>
      <c r="U32" s="706">
        <f t="shared" si="13"/>
        <v>100</v>
      </c>
      <c r="V32" s="705" t="s">
        <v>14</v>
      </c>
      <c r="W32" s="706">
        <f t="shared" si="14"/>
        <v>100</v>
      </c>
      <c r="X32" s="1354"/>
      <c r="Y32" s="3720"/>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1" t="s">
        <v>1695</v>
      </c>
      <c r="Q33" s="1351" t="str">
        <f t="shared" si="11"/>
        <v>建筑类型</v>
      </c>
      <c r="R33" s="705" t="s">
        <v>14</v>
      </c>
      <c r="S33" s="706">
        <f t="shared" si="12"/>
        <v>100</v>
      </c>
      <c r="T33" s="705" t="s">
        <v>14</v>
      </c>
      <c r="U33" s="706">
        <f t="shared" si="13"/>
        <v>100</v>
      </c>
      <c r="V33" s="705" t="s">
        <v>14</v>
      </c>
      <c r="W33" s="706">
        <f t="shared" si="14"/>
        <v>100</v>
      </c>
      <c r="X33" s="1354"/>
      <c r="Y33" s="3724"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2"/>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2"/>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1695</v>
      </c>
      <c r="Q39" s="1351" t="str">
        <f t="shared" si="11"/>
        <v>物业管理</v>
      </c>
      <c r="R39" s="705" t="s">
        <v>14</v>
      </c>
      <c r="S39" s="706">
        <f t="shared" si="12"/>
        <v>100</v>
      </c>
      <c r="T39" s="705" t="s">
        <v>14</v>
      </c>
      <c r="U39" s="706">
        <f t="shared" si="13"/>
        <v>100</v>
      </c>
      <c r="V39" s="705" t="s">
        <v>14</v>
      </c>
      <c r="W39" s="706">
        <f t="shared" si="14"/>
        <v>100</v>
      </c>
      <c r="X39" s="1354"/>
      <c r="Y39" s="3724"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2"/>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2"/>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2"/>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2"/>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1">
        <f t="shared" si="11"/>
        <v>111</v>
      </c>
      <c r="R47" s="705" t="s">
        <v>14</v>
      </c>
      <c r="S47" s="706">
        <f t="shared" si="12"/>
        <v>100</v>
      </c>
      <c r="T47" s="705" t="s">
        <v>14</v>
      </c>
      <c r="U47" s="706">
        <f t="shared" si="13"/>
        <v>100</v>
      </c>
      <c r="V47" s="705" t="s">
        <v>14</v>
      </c>
      <c r="W47" s="706">
        <f t="shared" si="14"/>
        <v>100</v>
      </c>
      <c r="X47" s="1354"/>
      <c r="Y47" s="3725"/>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70044.73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0" t="s">
        <v>1769</v>
      </c>
      <c r="D4" s="3701"/>
      <c r="E4" s="3702" t="s">
        <v>1770</v>
      </c>
      <c r="F4" s="3703"/>
      <c r="G4" s="3700" t="s">
        <v>1771</v>
      </c>
      <c r="H4" s="3701"/>
      <c r="I4" s="3700" t="s">
        <v>1772</v>
      </c>
      <c r="J4" s="3701"/>
      <c r="K4" s="559" t="s">
        <v>1773</v>
      </c>
      <c r="L4" s="913"/>
      <c r="M4" s="914"/>
      <c r="N4" s="914"/>
      <c r="O4" s="914"/>
      <c r="P4" s="3704" t="s">
        <v>1774</v>
      </c>
      <c r="Q4" s="3705"/>
      <c r="R4" s="3687" t="s">
        <v>1770</v>
      </c>
      <c r="S4" s="3688"/>
      <c r="T4" s="3687" t="s">
        <v>1771</v>
      </c>
      <c r="U4" s="3688"/>
      <c r="V4" s="3712" t="s">
        <v>1772</v>
      </c>
      <c r="W4" s="3712"/>
      <c r="X4" s="1354"/>
      <c r="Y4" s="3687" t="s">
        <v>1774</v>
      </c>
      <c r="Z4" s="3688"/>
      <c r="AA4" s="3682" t="s">
        <v>1770</v>
      </c>
      <c r="AB4" s="3683" t="s">
        <v>1771</v>
      </c>
      <c r="AC4" s="3682" t="s">
        <v>1772</v>
      </c>
    </row>
    <row r="5" spans="1:29" ht="15">
      <c r="A5" s="358"/>
      <c r="B5" s="359"/>
      <c r="C5" s="3693" t="s">
        <v>1672</v>
      </c>
      <c r="D5" s="3694"/>
      <c r="E5" s="3691" t="s">
        <v>1673</v>
      </c>
      <c r="F5" s="3692"/>
      <c r="G5" s="3693" t="s">
        <v>1674</v>
      </c>
      <c r="H5" s="3694"/>
      <c r="I5" s="3693" t="s">
        <v>1675</v>
      </c>
      <c r="J5" s="3694"/>
      <c r="K5" s="559"/>
      <c r="L5" s="913"/>
      <c r="M5" s="914"/>
      <c r="N5" s="914"/>
      <c r="O5" s="914"/>
      <c r="P5" s="3706"/>
      <c r="Q5" s="3707"/>
      <c r="R5" s="3689"/>
      <c r="S5" s="3690"/>
      <c r="T5" s="3689"/>
      <c r="U5" s="3690"/>
      <c r="V5" s="3712"/>
      <c r="W5" s="3712"/>
      <c r="X5" s="1354"/>
      <c r="Y5" s="3689"/>
      <c r="Z5" s="3690"/>
      <c r="AA5" s="3683"/>
      <c r="AB5" s="3683"/>
      <c r="AC5" s="3683"/>
    </row>
    <row r="6" spans="1:29" ht="15.75" thickBot="1">
      <c r="A6" s="360"/>
      <c r="B6" s="361"/>
      <c r="C6" s="3695" t="s">
        <v>1676</v>
      </c>
      <c r="D6" s="3696"/>
      <c r="E6" s="3697" t="s">
        <v>1676</v>
      </c>
      <c r="F6" s="3698"/>
      <c r="G6" s="3695" t="s">
        <v>1676</v>
      </c>
      <c r="H6" s="3696"/>
      <c r="I6" s="3695" t="s">
        <v>1676</v>
      </c>
      <c r="J6" s="3696"/>
      <c r="K6" s="559" t="s">
        <v>1677</v>
      </c>
      <c r="L6" s="913"/>
      <c r="M6" s="914"/>
      <c r="N6" s="914"/>
      <c r="O6" s="914"/>
      <c r="P6" s="3708"/>
      <c r="Q6" s="3709"/>
      <c r="R6" s="3689"/>
      <c r="S6" s="3690"/>
      <c r="T6" s="3710"/>
      <c r="U6" s="3711"/>
      <c r="V6" s="3712"/>
      <c r="W6" s="3712"/>
      <c r="X6" s="1354"/>
      <c r="Y6" s="3710"/>
      <c r="Z6" s="3711"/>
      <c r="AA6" s="3684"/>
      <c r="AB6" s="3684"/>
      <c r="AC6" s="3684"/>
    </row>
    <row r="7" spans="1:29" s="108" customFormat="1" ht="15.75" thickBot="1">
      <c r="A7" s="362" t="s">
        <v>1678</v>
      </c>
      <c r="B7" s="363"/>
      <c r="C7" s="364">
        <f>'数据-取费表'!B2</f>
        <v>44929</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1679</v>
      </c>
      <c r="Q7" s="3713"/>
      <c r="R7" s="701" t="s">
        <v>14</v>
      </c>
      <c r="S7" s="702">
        <f t="shared" ref="S7:S15" si="0">F7</f>
        <v>0</v>
      </c>
      <c r="T7" s="701" t="s">
        <v>14</v>
      </c>
      <c r="U7" s="702">
        <f t="shared" ref="U7:U15" si="1">H7</f>
        <v>0</v>
      </c>
      <c r="V7" s="701" t="s">
        <v>14</v>
      </c>
      <c r="W7" s="702">
        <f t="shared" ref="W7:W15" si="2">J7</f>
        <v>0</v>
      </c>
      <c r="X7" s="703"/>
      <c r="Y7" s="3685" t="s">
        <v>1679</v>
      </c>
      <c r="Z7" s="3686"/>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1682</v>
      </c>
      <c r="Q8" s="3686"/>
      <c r="R8" s="701" t="s">
        <v>14</v>
      </c>
      <c r="S8" s="702">
        <f t="shared" si="0"/>
        <v>100</v>
      </c>
      <c r="T8" s="701" t="s">
        <v>14</v>
      </c>
      <c r="U8" s="702">
        <f t="shared" si="1"/>
        <v>100</v>
      </c>
      <c r="V8" s="701" t="s">
        <v>14</v>
      </c>
      <c r="W8" s="702">
        <f t="shared" si="2"/>
        <v>100</v>
      </c>
      <c r="X8" s="703"/>
      <c r="Y8" s="3685" t="s">
        <v>1682</v>
      </c>
      <c r="Z8" s="3686"/>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1685</v>
      </c>
      <c r="Q9" s="1342"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717"/>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2"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7"/>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7"/>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7"/>
      <c r="Q14" s="1342">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1690</v>
      </c>
      <c r="Q15" s="1351" t="str">
        <f t="shared" si="6"/>
        <v>产业集聚程度</v>
      </c>
      <c r="R15" s="705" t="s">
        <v>14</v>
      </c>
      <c r="S15" s="706">
        <f t="shared" si="0"/>
        <v>100</v>
      </c>
      <c r="T15" s="705" t="s">
        <v>14</v>
      </c>
      <c r="U15" s="706">
        <f t="shared" si="1"/>
        <v>100</v>
      </c>
      <c r="V15" s="705" t="s">
        <v>14</v>
      </c>
      <c r="W15" s="706">
        <f t="shared" si="2"/>
        <v>100</v>
      </c>
      <c r="X15" s="1354"/>
      <c r="Y15" s="3719"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0"/>
      <c r="Q16" s="1351"/>
      <c r="R16" s="705"/>
      <c r="S16" s="706"/>
      <c r="T16" s="705"/>
      <c r="U16" s="706"/>
      <c r="V16" s="705"/>
      <c r="W16" s="706"/>
      <c r="X16" s="1354"/>
      <c r="Y16" s="3720"/>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0"/>
      <c r="Q18" s="1351"/>
      <c r="R18" s="705"/>
      <c r="S18" s="706"/>
      <c r="T18" s="705"/>
      <c r="U18" s="706"/>
      <c r="V18" s="705"/>
      <c r="W18" s="706"/>
      <c r="X18" s="1354"/>
      <c r="Y18" s="3720"/>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0"/>
      <c r="Q20" s="1351"/>
      <c r="R20" s="705"/>
      <c r="S20" s="706"/>
      <c r="T20" s="705"/>
      <c r="U20" s="706"/>
      <c r="V20" s="705"/>
      <c r="W20" s="706"/>
      <c r="X20" s="1354"/>
      <c r="Y20" s="3720"/>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0"/>
      <c r="Q22" s="1351"/>
      <c r="R22" s="705"/>
      <c r="S22" s="706"/>
      <c r="T22" s="705"/>
      <c r="U22" s="706"/>
      <c r="V22" s="705"/>
      <c r="W22" s="706"/>
      <c r="X22" s="1354"/>
      <c r="Y22" s="3720"/>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0"/>
      <c r="Q24" s="1351"/>
      <c r="R24" s="705"/>
      <c r="S24" s="706"/>
      <c r="T24" s="705"/>
      <c r="U24" s="706"/>
      <c r="V24" s="705"/>
      <c r="W24" s="706"/>
      <c r="X24" s="1354"/>
      <c r="Y24" s="372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1">
        <f>B25</f>
        <v>111</v>
      </c>
      <c r="R25" s="705" t="s">
        <v>14</v>
      </c>
      <c r="S25" s="706">
        <f>F25</f>
        <v>100</v>
      </c>
      <c r="T25" s="705" t="s">
        <v>14</v>
      </c>
      <c r="U25" s="706">
        <f>H25</f>
        <v>100</v>
      </c>
      <c r="V25" s="705" t="s">
        <v>14</v>
      </c>
      <c r="W25" s="706">
        <f>J25</f>
        <v>100</v>
      </c>
      <c r="X25" s="1354"/>
      <c r="Y25" s="372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1">
        <f t="shared" ref="Q26:Q40" si="11">B26</f>
        <v>111</v>
      </c>
      <c r="R26" s="705" t="s">
        <v>14</v>
      </c>
      <c r="S26" s="706">
        <f>F26</f>
        <v>100</v>
      </c>
      <c r="T26" s="705" t="s">
        <v>14</v>
      </c>
      <c r="U26" s="706">
        <f>H26</f>
        <v>100</v>
      </c>
      <c r="V26" s="705" t="s">
        <v>14</v>
      </c>
      <c r="W26" s="706">
        <f>J26</f>
        <v>100</v>
      </c>
      <c r="X26" s="1354"/>
      <c r="Y26" s="372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2">
        <f t="shared" si="11"/>
        <v>111</v>
      </c>
      <c r="R27" s="701" t="s">
        <v>14</v>
      </c>
      <c r="S27" s="702">
        <f>F27</f>
        <v>100</v>
      </c>
      <c r="T27" s="701" t="s">
        <v>14</v>
      </c>
      <c r="U27" s="702">
        <f>H27</f>
        <v>100</v>
      </c>
      <c r="V27" s="701" t="s">
        <v>14</v>
      </c>
      <c r="W27" s="702">
        <f>J27</f>
        <v>100</v>
      </c>
      <c r="X27" s="703"/>
      <c r="Y27" s="372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1">
        <f t="shared" si="11"/>
        <v>111</v>
      </c>
      <c r="R28" s="705" t="s">
        <v>14</v>
      </c>
      <c r="S28" s="706">
        <f t="shared" ref="S28:S40" si="12">F28</f>
        <v>100</v>
      </c>
      <c r="T28" s="705" t="s">
        <v>14</v>
      </c>
      <c r="U28" s="706">
        <f t="shared" ref="U28:U40" si="13">H28</f>
        <v>100</v>
      </c>
      <c r="V28" s="705" t="s">
        <v>14</v>
      </c>
      <c r="W28" s="706">
        <f t="shared" ref="W28:W40" si="14">J28</f>
        <v>100</v>
      </c>
      <c r="X28" s="1354"/>
      <c r="Y28" s="3720"/>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3" t="s">
        <v>1695</v>
      </c>
      <c r="Q29" s="1351" t="str">
        <f t="shared" si="11"/>
        <v>建筑类型</v>
      </c>
      <c r="R29" s="705" t="s">
        <v>14</v>
      </c>
      <c r="S29" s="706">
        <f t="shared" si="12"/>
        <v>100</v>
      </c>
      <c r="T29" s="705" t="s">
        <v>14</v>
      </c>
      <c r="U29" s="706">
        <f t="shared" si="13"/>
        <v>100</v>
      </c>
      <c r="V29" s="705" t="s">
        <v>14</v>
      </c>
      <c r="W29" s="706">
        <f t="shared" si="14"/>
        <v>100</v>
      </c>
      <c r="X29" s="1354"/>
      <c r="Y29" s="3724"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1695</v>
      </c>
      <c r="Q35" s="1351" t="str">
        <f t="shared" si="11"/>
        <v>市政基础设施</v>
      </c>
      <c r="R35" s="705" t="s">
        <v>14</v>
      </c>
      <c r="S35" s="706">
        <f t="shared" si="12"/>
        <v>100</v>
      </c>
      <c r="T35" s="705" t="s">
        <v>14</v>
      </c>
      <c r="U35" s="706">
        <f t="shared" si="13"/>
        <v>100</v>
      </c>
      <c r="V35" s="705" t="s">
        <v>14</v>
      </c>
      <c r="W35" s="706">
        <f t="shared" si="14"/>
        <v>100</v>
      </c>
      <c r="X35" s="1354"/>
      <c r="Y35" s="3724"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1">
        <f t="shared" si="11"/>
        <v>111</v>
      </c>
      <c r="R40" s="705" t="s">
        <v>14</v>
      </c>
      <c r="S40" s="706">
        <f t="shared" si="12"/>
        <v>100</v>
      </c>
      <c r="T40" s="705" t="s">
        <v>14</v>
      </c>
      <c r="U40" s="706">
        <f t="shared" si="13"/>
        <v>100</v>
      </c>
      <c r="V40" s="705" t="s">
        <v>14</v>
      </c>
      <c r="W40" s="706">
        <f t="shared" si="14"/>
        <v>100</v>
      </c>
      <c r="X40" s="1354"/>
      <c r="Y40" s="3725"/>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3340</v>
      </c>
      <c r="C1" s="1223" t="s">
        <v>1661</v>
      </c>
      <c r="D1" s="1224"/>
      <c r="E1" s="3434"/>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700" t="s">
        <v>1769</v>
      </c>
      <c r="D4" s="3701"/>
      <c r="E4" s="3702" t="s">
        <v>1770</v>
      </c>
      <c r="F4" s="3703"/>
      <c r="G4" s="3700" t="s">
        <v>1771</v>
      </c>
      <c r="H4" s="3701"/>
      <c r="I4" s="3700" t="s">
        <v>1772</v>
      </c>
      <c r="J4" s="3701"/>
      <c r="K4" s="559" t="s">
        <v>1773</v>
      </c>
      <c r="L4" s="2714"/>
      <c r="M4" s="2715"/>
      <c r="N4" s="2715"/>
      <c r="O4" s="2715"/>
      <c r="P4" s="3704" t="s">
        <v>1774</v>
      </c>
      <c r="Q4" s="3705"/>
      <c r="R4" s="3687" t="s">
        <v>1770</v>
      </c>
      <c r="S4" s="3688"/>
      <c r="T4" s="3687" t="s">
        <v>1771</v>
      </c>
      <c r="U4" s="3688"/>
      <c r="V4" s="3712" t="s">
        <v>1772</v>
      </c>
      <c r="W4" s="3712"/>
      <c r="X4" s="1354"/>
      <c r="Y4" s="3687" t="s">
        <v>1774</v>
      </c>
      <c r="Z4" s="3688"/>
      <c r="AA4" s="3682" t="s">
        <v>1770</v>
      </c>
      <c r="AB4" s="3683" t="s">
        <v>1771</v>
      </c>
      <c r="AC4" s="3682" t="s">
        <v>1772</v>
      </c>
    </row>
    <row r="5" spans="1:29" ht="15">
      <c r="A5" s="358"/>
      <c r="B5" s="359"/>
      <c r="C5" s="3693" t="s">
        <v>1672</v>
      </c>
      <c r="D5" s="3694"/>
      <c r="E5" s="3691" t="s">
        <v>1673</v>
      </c>
      <c r="F5" s="3692"/>
      <c r="G5" s="3693" t="s">
        <v>1674</v>
      </c>
      <c r="H5" s="3694"/>
      <c r="I5" s="3693" t="s">
        <v>1675</v>
      </c>
      <c r="J5" s="3694"/>
      <c r="K5" s="559"/>
      <c r="L5" s="2714"/>
      <c r="M5" s="2715"/>
      <c r="N5" s="2715"/>
      <c r="O5" s="2715"/>
      <c r="P5" s="3706"/>
      <c r="Q5" s="3707"/>
      <c r="R5" s="3689"/>
      <c r="S5" s="3690"/>
      <c r="T5" s="3689"/>
      <c r="U5" s="3690"/>
      <c r="V5" s="3712"/>
      <c r="W5" s="3712"/>
      <c r="X5" s="1354"/>
      <c r="Y5" s="3689"/>
      <c r="Z5" s="3690"/>
      <c r="AA5" s="3683"/>
      <c r="AB5" s="3683"/>
      <c r="AC5" s="3683"/>
    </row>
    <row r="6" spans="1:29" ht="15.75" thickBot="1">
      <c r="A6" s="360"/>
      <c r="B6" s="361"/>
      <c r="C6" s="3695" t="s">
        <v>1676</v>
      </c>
      <c r="D6" s="3696"/>
      <c r="E6" s="3697" t="s">
        <v>1676</v>
      </c>
      <c r="F6" s="3698"/>
      <c r="G6" s="3695" t="s">
        <v>1676</v>
      </c>
      <c r="H6" s="3696"/>
      <c r="I6" s="3695" t="s">
        <v>1676</v>
      </c>
      <c r="J6" s="3696"/>
      <c r="K6" s="559" t="s">
        <v>1677</v>
      </c>
      <c r="L6" s="2714"/>
      <c r="M6" s="2715"/>
      <c r="N6" s="2715"/>
      <c r="O6" s="2715"/>
      <c r="P6" s="3708"/>
      <c r="Q6" s="3709"/>
      <c r="R6" s="3689"/>
      <c r="S6" s="3690"/>
      <c r="T6" s="3710"/>
      <c r="U6" s="3711"/>
      <c r="V6" s="3712"/>
      <c r="W6" s="3712"/>
      <c r="X6" s="1354"/>
      <c r="Y6" s="3710"/>
      <c r="Z6" s="3711"/>
      <c r="AA6" s="3684"/>
      <c r="AB6" s="3684"/>
      <c r="AC6" s="3684"/>
    </row>
    <row r="7" spans="1:29" s="108" customFormat="1" ht="15.75" thickBot="1">
      <c r="A7" s="362" t="s">
        <v>1678</v>
      </c>
      <c r="B7" s="363"/>
      <c r="C7" s="364">
        <f>'数据-取费表'!B2</f>
        <v>44929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5" t="s">
        <v>1679</v>
      </c>
      <c r="Q7" s="3713"/>
      <c r="R7" s="701" t="s">
        <v>14</v>
      </c>
      <c r="S7" s="702">
        <f t="shared" ref="S7:S14" si="0">F7</f>
        <v>0</v>
      </c>
      <c r="T7" s="701" t="s">
        <v>14</v>
      </c>
      <c r="U7" s="702">
        <f t="shared" ref="U7:U14" si="1">H7</f>
        <v>0</v>
      </c>
      <c r="V7" s="701" t="s">
        <v>14</v>
      </c>
      <c r="W7" s="702">
        <f t="shared" ref="W7:W14" si="2">J7</f>
        <v>0</v>
      </c>
      <c r="X7" s="703"/>
      <c r="Y7" s="3685" t="s">
        <v>1679</v>
      </c>
      <c r="Z7" s="3686"/>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5" t="s">
        <v>1682</v>
      </c>
      <c r="Q8" s="3686"/>
      <c r="R8" s="701" t="s">
        <v>14</v>
      </c>
      <c r="S8" s="702">
        <f t="shared" si="0"/>
        <v>100</v>
      </c>
      <c r="T8" s="701" t="s">
        <v>14</v>
      </c>
      <c r="U8" s="702">
        <f t="shared" si="1"/>
        <v>100</v>
      </c>
      <c r="V8" s="701" t="s">
        <v>14</v>
      </c>
      <c r="W8" s="702">
        <f t="shared" si="2"/>
        <v>100</v>
      </c>
      <c r="X8" s="703"/>
      <c r="Y8" s="3685" t="s">
        <v>1682</v>
      </c>
      <c r="Z8" s="3686"/>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7" t="s">
        <v>1685</v>
      </c>
      <c r="Q9" s="1342"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589"/>
      <c r="B10" s="590" t="s">
        <v>1687</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7"/>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7"/>
      <c r="Q11" s="1342">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7"/>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7"/>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9" t="s">
        <v>1690</v>
      </c>
      <c r="Q14" s="1351" t="str">
        <f t="shared" si="6"/>
        <v>交通便捷度</v>
      </c>
      <c r="R14" s="705" t="s">
        <v>14</v>
      </c>
      <c r="S14" s="706">
        <f t="shared" si="0"/>
        <v>100</v>
      </c>
      <c r="T14" s="705" t="s">
        <v>14</v>
      </c>
      <c r="U14" s="706">
        <f t="shared" si="1"/>
        <v>100</v>
      </c>
      <c r="V14" s="705" t="s">
        <v>14</v>
      </c>
      <c r="W14" s="706">
        <f t="shared" si="2"/>
        <v>100</v>
      </c>
      <c r="X14" s="1354"/>
      <c r="Y14" s="3719"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0"/>
      <c r="Q15" s="1351"/>
      <c r="R15" s="705"/>
      <c r="S15" s="706"/>
      <c r="T15" s="705"/>
      <c r="U15" s="706"/>
      <c r="V15" s="705"/>
      <c r="W15" s="706"/>
      <c r="X15" s="1354"/>
      <c r="Y15" s="3720"/>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0"/>
      <c r="Q17" s="1351"/>
      <c r="R17" s="705"/>
      <c r="S17" s="706"/>
      <c r="T17" s="705"/>
      <c r="U17" s="706"/>
      <c r="V17" s="705"/>
      <c r="W17" s="706"/>
      <c r="X17" s="1354"/>
      <c r="Y17" s="3720"/>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0"/>
      <c r="Q19" s="1351"/>
      <c r="R19" s="705"/>
      <c r="S19" s="706"/>
      <c r="T19" s="705"/>
      <c r="U19" s="706"/>
      <c r="V19" s="705"/>
      <c r="W19" s="706"/>
      <c r="X19" s="1354"/>
      <c r="Y19" s="3720"/>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0"/>
      <c r="Q21" s="1351"/>
      <c r="R21" s="705"/>
      <c r="S21" s="706"/>
      <c r="T21" s="705"/>
      <c r="U21" s="706"/>
      <c r="V21" s="705"/>
      <c r="W21" s="706"/>
      <c r="X21" s="1354"/>
      <c r="Y21" s="3720"/>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0"/>
      <c r="Q24" s="1351">
        <f t="shared" ref="Q24:Q36"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1695</v>
      </c>
      <c r="Q32" s="1351" t="str">
        <f t="shared" si="11"/>
        <v>车位类型</v>
      </c>
      <c r="R32" s="705" t="s">
        <v>14</v>
      </c>
      <c r="S32" s="706">
        <f t="shared" si="12"/>
        <v>100</v>
      </c>
      <c r="T32" s="705" t="s">
        <v>14</v>
      </c>
      <c r="U32" s="706">
        <f t="shared" si="13"/>
        <v>100</v>
      </c>
      <c r="V32" s="705" t="s">
        <v>14</v>
      </c>
      <c r="W32" s="706">
        <f t="shared" si="14"/>
        <v>100</v>
      </c>
      <c r="X32" s="1354"/>
      <c r="Y32" s="3724"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1843</v>
      </c>
      <c r="B37" s="1972" t="s">
        <v>3361</v>
      </c>
      <c r="C37" s="1154" t="s">
        <v>0</v>
      </c>
      <c r="D37" s="1155"/>
      <c r="E37" s="1156"/>
      <c r="F37" s="1157"/>
      <c r="G37" s="1158"/>
      <c r="H37" s="1159"/>
      <c r="I37" s="1156"/>
      <c r="J37" s="1159"/>
      <c r="K37" s="568"/>
      <c r="L37" s="2723"/>
      <c r="M37" s="2724"/>
      <c r="N37" s="2715"/>
      <c r="O37" s="2724"/>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49" activeCellId="1" sqref="N18 F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3341</v>
      </c>
      <c r="C1" s="1223" t="s">
        <v>1661</v>
      </c>
      <c r="D1" s="1224"/>
      <c r="E1" s="3434"/>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00" t="s">
        <v>1769</v>
      </c>
      <c r="D4" s="3701"/>
      <c r="E4" s="3702" t="s">
        <v>1770</v>
      </c>
      <c r="F4" s="3703"/>
      <c r="G4" s="3700" t="s">
        <v>1771</v>
      </c>
      <c r="H4" s="3701"/>
      <c r="I4" s="3700" t="s">
        <v>1772</v>
      </c>
      <c r="J4" s="3701"/>
      <c r="K4" s="559" t="s">
        <v>1773</v>
      </c>
      <c r="L4" s="2714"/>
      <c r="M4" s="2715"/>
      <c r="N4" s="2715"/>
      <c r="O4" s="2715"/>
      <c r="P4" s="3704" t="s">
        <v>1774</v>
      </c>
      <c r="Q4" s="3705"/>
      <c r="R4" s="3687" t="s">
        <v>1770</v>
      </c>
      <c r="S4" s="3688"/>
      <c r="T4" s="3687" t="s">
        <v>1771</v>
      </c>
      <c r="U4" s="3688"/>
      <c r="V4" s="3712" t="s">
        <v>1772</v>
      </c>
      <c r="W4" s="3712"/>
      <c r="X4" s="1354"/>
      <c r="Y4" s="3687" t="s">
        <v>1774</v>
      </c>
      <c r="Z4" s="3688"/>
      <c r="AA4" s="3682" t="s">
        <v>1770</v>
      </c>
      <c r="AB4" s="3683" t="s">
        <v>1771</v>
      </c>
      <c r="AC4" s="3682" t="s">
        <v>1772</v>
      </c>
    </row>
    <row r="5" spans="1:29" ht="15">
      <c r="A5" s="358"/>
      <c r="B5" s="359"/>
      <c r="C5" s="3693" t="s">
        <v>1672</v>
      </c>
      <c r="D5" s="3694"/>
      <c r="E5" s="3691" t="s">
        <v>1673</v>
      </c>
      <c r="F5" s="3692"/>
      <c r="G5" s="3693" t="s">
        <v>1674</v>
      </c>
      <c r="H5" s="3694"/>
      <c r="I5" s="3693" t="s">
        <v>1675</v>
      </c>
      <c r="J5" s="3694"/>
      <c r="K5" s="559"/>
      <c r="L5" s="2714"/>
      <c r="M5" s="2715"/>
      <c r="N5" s="2715"/>
      <c r="O5" s="2715"/>
      <c r="P5" s="3706"/>
      <c r="Q5" s="3707"/>
      <c r="R5" s="3689"/>
      <c r="S5" s="3690"/>
      <c r="T5" s="3689"/>
      <c r="U5" s="3690"/>
      <c r="V5" s="3712"/>
      <c r="W5" s="3712"/>
      <c r="X5" s="1354"/>
      <c r="Y5" s="3689"/>
      <c r="Z5" s="3690"/>
      <c r="AA5" s="3683"/>
      <c r="AB5" s="3683"/>
      <c r="AC5" s="3683"/>
    </row>
    <row r="6" spans="1:29" ht="15.75" thickBot="1">
      <c r="A6" s="360"/>
      <c r="B6" s="361"/>
      <c r="C6" s="3695" t="s">
        <v>1676</v>
      </c>
      <c r="D6" s="3696"/>
      <c r="E6" s="3697" t="s">
        <v>1676</v>
      </c>
      <c r="F6" s="3698"/>
      <c r="G6" s="3695" t="s">
        <v>1676</v>
      </c>
      <c r="H6" s="3696"/>
      <c r="I6" s="3695" t="s">
        <v>1676</v>
      </c>
      <c r="J6" s="3696"/>
      <c r="K6" s="559" t="s">
        <v>1677</v>
      </c>
      <c r="L6" s="2714"/>
      <c r="M6" s="2715"/>
      <c r="N6" s="2715"/>
      <c r="O6" s="2715"/>
      <c r="P6" s="3708"/>
      <c r="Q6" s="3709"/>
      <c r="R6" s="3689"/>
      <c r="S6" s="3690"/>
      <c r="T6" s="3710"/>
      <c r="U6" s="3711"/>
      <c r="V6" s="3712"/>
      <c r="W6" s="3712"/>
      <c r="X6" s="1354"/>
      <c r="Y6" s="3710"/>
      <c r="Z6" s="3711"/>
      <c r="AA6" s="3684"/>
      <c r="AB6" s="3684"/>
      <c r="AC6" s="3684"/>
    </row>
    <row r="7" spans="1:29" s="108" customFormat="1" ht="15.75" thickBot="1">
      <c r="A7" s="362" t="s">
        <v>1678</v>
      </c>
      <c r="B7" s="363"/>
      <c r="C7" s="364">
        <f>'数据-取费表'!B2</f>
        <v>44929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5" t="s">
        <v>1679</v>
      </c>
      <c r="Q7" s="3713"/>
      <c r="R7" s="701" t="s">
        <v>14</v>
      </c>
      <c r="S7" s="702">
        <f t="shared" ref="S7:S14" si="0">F7</f>
        <v>0</v>
      </c>
      <c r="T7" s="701" t="s">
        <v>14</v>
      </c>
      <c r="U7" s="702">
        <f t="shared" ref="U7:U14" si="1">H7</f>
        <v>0</v>
      </c>
      <c r="V7" s="701" t="s">
        <v>14</v>
      </c>
      <c r="W7" s="702">
        <f t="shared" ref="W7:W14" si="2">J7</f>
        <v>0</v>
      </c>
      <c r="X7" s="703"/>
      <c r="Y7" s="3685" t="s">
        <v>1679</v>
      </c>
      <c r="Z7" s="3686"/>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5" t="s">
        <v>1682</v>
      </c>
      <c r="Q8" s="3686"/>
      <c r="R8" s="701" t="s">
        <v>14</v>
      </c>
      <c r="S8" s="702">
        <f t="shared" si="0"/>
        <v>100</v>
      </c>
      <c r="T8" s="701" t="s">
        <v>14</v>
      </c>
      <c r="U8" s="702">
        <f t="shared" si="1"/>
        <v>100</v>
      </c>
      <c r="V8" s="701" t="s">
        <v>14</v>
      </c>
      <c r="W8" s="702">
        <f t="shared" si="2"/>
        <v>100</v>
      </c>
      <c r="X8" s="703"/>
      <c r="Y8" s="3685" t="s">
        <v>1682</v>
      </c>
      <c r="Z8" s="3686"/>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7" t="s">
        <v>1685</v>
      </c>
      <c r="Q9" s="1342" t="str">
        <f t="shared" ref="Q9:Q14" si="6">B9</f>
        <v>用途</v>
      </c>
      <c r="R9" s="701" t="s">
        <v>14</v>
      </c>
      <c r="S9" s="702">
        <f t="shared" si="0"/>
        <v>100</v>
      </c>
      <c r="T9" s="701" t="s">
        <v>14</v>
      </c>
      <c r="U9" s="702">
        <f t="shared" si="1"/>
        <v>100</v>
      </c>
      <c r="V9" s="701" t="s">
        <v>14</v>
      </c>
      <c r="W9" s="702">
        <f t="shared" si="2"/>
        <v>100</v>
      </c>
      <c r="X9" s="703"/>
      <c r="Y9" s="3629" t="s">
        <v>1686</v>
      </c>
      <c r="Z9" s="52" t="str">
        <f t="shared" ref="Z9:Z14" si="7">Q9</f>
        <v>用途</v>
      </c>
      <c r="AA9" s="704">
        <f t="shared" si="3"/>
        <v>1</v>
      </c>
      <c r="AB9" s="704">
        <f t="shared" si="4"/>
        <v>1</v>
      </c>
      <c r="AC9" s="704">
        <f t="shared" si="5"/>
        <v>1</v>
      </c>
    </row>
    <row r="10" spans="1:29" s="378" customFormat="1" ht="27">
      <c r="A10" s="374"/>
      <c r="B10" s="375" t="s">
        <v>1687</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7"/>
      <c r="Q10" s="1342"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7"/>
      <c r="Q11" s="1342">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7"/>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7"/>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9" t="s">
        <v>1690</v>
      </c>
      <c r="Q14" s="1351" t="str">
        <f t="shared" si="6"/>
        <v>交通便捷度</v>
      </c>
      <c r="R14" s="705" t="s">
        <v>14</v>
      </c>
      <c r="S14" s="706">
        <f t="shared" si="0"/>
        <v>100</v>
      </c>
      <c r="T14" s="705" t="s">
        <v>14</v>
      </c>
      <c r="U14" s="706">
        <f t="shared" si="1"/>
        <v>100</v>
      </c>
      <c r="V14" s="705" t="s">
        <v>14</v>
      </c>
      <c r="W14" s="706">
        <f t="shared" si="2"/>
        <v>100</v>
      </c>
      <c r="X14" s="1354"/>
      <c r="Y14" s="3719"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0"/>
      <c r="Q15" s="1351"/>
      <c r="R15" s="705"/>
      <c r="S15" s="706"/>
      <c r="T15" s="705"/>
      <c r="U15" s="706"/>
      <c r="V15" s="705"/>
      <c r="W15" s="706"/>
      <c r="X15" s="1354"/>
      <c r="Y15" s="3720"/>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0"/>
      <c r="Q17" s="1351"/>
      <c r="R17" s="705"/>
      <c r="S17" s="706"/>
      <c r="T17" s="705"/>
      <c r="U17" s="706"/>
      <c r="V17" s="705"/>
      <c r="W17" s="706"/>
      <c r="X17" s="1354"/>
      <c r="Y17" s="3720"/>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0"/>
      <c r="Q19" s="1351"/>
      <c r="R19" s="705"/>
      <c r="S19" s="706"/>
      <c r="T19" s="705"/>
      <c r="U19" s="706"/>
      <c r="V19" s="705"/>
      <c r="W19" s="706"/>
      <c r="X19" s="1354"/>
      <c r="Y19" s="3720"/>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0"/>
      <c r="Q21" s="1351"/>
      <c r="R21" s="705"/>
      <c r="S21" s="706"/>
      <c r="T21" s="705"/>
      <c r="U21" s="706"/>
      <c r="V21" s="705"/>
      <c r="W21" s="706"/>
      <c r="X21" s="1354"/>
      <c r="Y21" s="3720"/>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0"/>
      <c r="Q24" s="1351">
        <f t="shared" ref="Q24:Q34"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3"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1695</v>
      </c>
      <c r="Q32" s="1351">
        <f t="shared" si="11"/>
        <v>111</v>
      </c>
      <c r="R32" s="705" t="s">
        <v>14</v>
      </c>
      <c r="S32" s="706">
        <f t="shared" si="12"/>
        <v>100</v>
      </c>
      <c r="T32" s="705" t="s">
        <v>14</v>
      </c>
      <c r="U32" s="706">
        <f t="shared" si="13"/>
        <v>100</v>
      </c>
      <c r="V32" s="705" t="s">
        <v>14</v>
      </c>
      <c r="W32" s="706">
        <f t="shared" si="14"/>
        <v>100</v>
      </c>
      <c r="X32" s="1354"/>
      <c r="Y32" s="3724"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1" activeCellId="1" sqref="E26 H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1916</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00" t="s">
        <v>1769</v>
      </c>
      <c r="D4" s="3701"/>
      <c r="E4" s="3702" t="s">
        <v>1770</v>
      </c>
      <c r="F4" s="3703"/>
      <c r="G4" s="3700" t="s">
        <v>1771</v>
      </c>
      <c r="H4" s="3701"/>
      <c r="I4" s="3700" t="s">
        <v>1772</v>
      </c>
      <c r="J4" s="3701"/>
      <c r="K4" s="559" t="s">
        <v>1773</v>
      </c>
      <c r="L4" s="2714"/>
      <c r="M4" s="2715"/>
      <c r="N4" s="2715"/>
      <c r="O4" s="2715"/>
      <c r="P4" s="3704" t="s">
        <v>1774</v>
      </c>
      <c r="Q4" s="3705"/>
      <c r="R4" s="3687" t="s">
        <v>1770</v>
      </c>
      <c r="S4" s="3688"/>
      <c r="T4" s="3687" t="s">
        <v>1771</v>
      </c>
      <c r="U4" s="3688"/>
      <c r="V4" s="3712" t="s">
        <v>1772</v>
      </c>
      <c r="W4" s="3712"/>
      <c r="X4" s="1354"/>
      <c r="Y4" s="3687" t="s">
        <v>1774</v>
      </c>
      <c r="Z4" s="3688"/>
      <c r="AA4" s="3682" t="s">
        <v>1770</v>
      </c>
      <c r="AB4" s="3683" t="s">
        <v>1771</v>
      </c>
      <c r="AC4" s="3682" t="s">
        <v>1772</v>
      </c>
    </row>
    <row r="5" spans="1:29" ht="15">
      <c r="A5" s="358"/>
      <c r="B5" s="359"/>
      <c r="C5" s="3693" t="s">
        <v>1672</v>
      </c>
      <c r="D5" s="3694"/>
      <c r="E5" s="3691" t="s">
        <v>1673</v>
      </c>
      <c r="F5" s="3692"/>
      <c r="G5" s="3693" t="s">
        <v>1674</v>
      </c>
      <c r="H5" s="3694"/>
      <c r="I5" s="3693" t="s">
        <v>1675</v>
      </c>
      <c r="J5" s="3694"/>
      <c r="K5" s="559"/>
      <c r="L5" s="2714"/>
      <c r="M5" s="2715"/>
      <c r="N5" s="2715"/>
      <c r="O5" s="2715"/>
      <c r="P5" s="3706"/>
      <c r="Q5" s="3707"/>
      <c r="R5" s="3689"/>
      <c r="S5" s="3690"/>
      <c r="T5" s="3689"/>
      <c r="U5" s="3690"/>
      <c r="V5" s="3712"/>
      <c r="W5" s="3712"/>
      <c r="X5" s="1354"/>
      <c r="Y5" s="3689"/>
      <c r="Z5" s="3690"/>
      <c r="AA5" s="3683"/>
      <c r="AB5" s="3683"/>
      <c r="AC5" s="3683"/>
    </row>
    <row r="6" spans="1:29" ht="15.75" thickBot="1">
      <c r="A6" s="360"/>
      <c r="B6" s="361"/>
      <c r="C6" s="3748" t="s">
        <v>1917</v>
      </c>
      <c r="D6" s="3749"/>
      <c r="E6" s="3750" t="s">
        <v>1917</v>
      </c>
      <c r="F6" s="3751"/>
      <c r="G6" s="3748" t="s">
        <v>1917</v>
      </c>
      <c r="H6" s="3749"/>
      <c r="I6" s="3748" t="s">
        <v>1917</v>
      </c>
      <c r="J6" s="3749"/>
      <c r="K6" s="559" t="s">
        <v>1677</v>
      </c>
      <c r="L6" s="2714"/>
      <c r="M6" s="2715"/>
      <c r="N6" s="2715"/>
      <c r="O6" s="2715"/>
      <c r="P6" s="3708"/>
      <c r="Q6" s="3709"/>
      <c r="R6" s="3689"/>
      <c r="S6" s="3690"/>
      <c r="T6" s="3710"/>
      <c r="U6" s="3711"/>
      <c r="V6" s="3712"/>
      <c r="W6" s="3712"/>
      <c r="X6" s="1354"/>
      <c r="Y6" s="3710"/>
      <c r="Z6" s="3711"/>
      <c r="AA6" s="3684"/>
      <c r="AB6" s="3684"/>
      <c r="AC6" s="3684"/>
    </row>
    <row r="7" spans="1:29" s="108" customFormat="1" ht="15.75" thickBot="1">
      <c r="A7" s="362" t="s">
        <v>1678</v>
      </c>
      <c r="B7" s="363"/>
      <c r="C7" s="364">
        <f>'数据-取费表'!B2</f>
        <v>44929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5" t="s">
        <v>1679</v>
      </c>
      <c r="Q7" s="3713"/>
      <c r="R7" s="701" t="s">
        <v>14</v>
      </c>
      <c r="S7" s="702">
        <f t="shared" ref="S7:S15" si="0">F7</f>
        <v>0</v>
      </c>
      <c r="T7" s="701" t="s">
        <v>14</v>
      </c>
      <c r="U7" s="702">
        <f t="shared" ref="U7:U15" si="1">H7</f>
        <v>0</v>
      </c>
      <c r="V7" s="701" t="s">
        <v>14</v>
      </c>
      <c r="W7" s="702">
        <f t="shared" ref="W7:W15" si="2">J7</f>
        <v>0</v>
      </c>
      <c r="X7" s="703"/>
      <c r="Y7" s="3685" t="s">
        <v>1679</v>
      </c>
      <c r="Z7" s="3686"/>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5" t="s">
        <v>1682</v>
      </c>
      <c r="Q8" s="3686"/>
      <c r="R8" s="701" t="s">
        <v>14</v>
      </c>
      <c r="S8" s="702">
        <f t="shared" si="0"/>
        <v>0</v>
      </c>
      <c r="T8" s="701" t="s">
        <v>14</v>
      </c>
      <c r="U8" s="702">
        <f t="shared" si="1"/>
        <v>0</v>
      </c>
      <c r="V8" s="701" t="s">
        <v>14</v>
      </c>
      <c r="W8" s="702">
        <f t="shared" si="2"/>
        <v>0</v>
      </c>
      <c r="X8" s="703"/>
      <c r="Y8" s="3685" t="s">
        <v>1682</v>
      </c>
      <c r="Z8" s="3686"/>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7" t="s">
        <v>1685</v>
      </c>
      <c r="Q9" s="1342" t="str">
        <f t="shared" ref="Q9:Q15" si="6">B9</f>
        <v>用途</v>
      </c>
      <c r="R9" s="701" t="s">
        <v>14</v>
      </c>
      <c r="S9" s="702">
        <f t="shared" si="0"/>
        <v>100</v>
      </c>
      <c r="T9" s="701" t="s">
        <v>14</v>
      </c>
      <c r="U9" s="702">
        <f t="shared" si="1"/>
        <v>100</v>
      </c>
      <c r="V9" s="701" t="s">
        <v>14</v>
      </c>
      <c r="W9" s="702">
        <f t="shared" si="2"/>
        <v>100</v>
      </c>
      <c r="X9" s="703"/>
      <c r="Y9" s="362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119</v>
      </c>
      <c r="G10" s="383"/>
      <c r="H10" s="127">
        <f>ROUND(100/'数据-取费表'!G16,0)</f>
        <v>119</v>
      </c>
      <c r="I10" s="383"/>
      <c r="J10" s="127">
        <f>ROUND(100/'数据-取费表'!G16,0)</f>
        <v>119</v>
      </c>
      <c r="K10" s="620"/>
      <c r="L10" s="2718"/>
      <c r="M10" s="2719"/>
      <c r="N10" s="2719"/>
      <c r="O10" s="2772"/>
      <c r="P10" s="3717"/>
      <c r="Q10" s="1342" t="str">
        <f t="shared" si="6"/>
        <v>土地使用年限（年）</v>
      </c>
      <c r="R10" s="701" t="s">
        <v>14</v>
      </c>
      <c r="S10" s="702">
        <f t="shared" si="0"/>
        <v>119</v>
      </c>
      <c r="T10" s="701" t="s">
        <v>14</v>
      </c>
      <c r="U10" s="702">
        <f t="shared" si="1"/>
        <v>119</v>
      </c>
      <c r="V10" s="701" t="s">
        <v>14</v>
      </c>
      <c r="W10" s="702">
        <f t="shared" si="2"/>
        <v>119</v>
      </c>
      <c r="X10" s="703"/>
      <c r="Y10" s="3629"/>
      <c r="Z10" s="52" t="str">
        <f t="shared" si="7"/>
        <v>土地使用年限（年）</v>
      </c>
      <c r="AA10" s="704">
        <f t="shared" si="3"/>
        <v>0.84033613445378152</v>
      </c>
      <c r="AB10" s="704">
        <f t="shared" si="4"/>
        <v>0.84033613445378152</v>
      </c>
      <c r="AC10" s="704">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7"/>
      <c r="Q11" s="1342"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7"/>
      <c r="Q12" s="1342">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7"/>
      <c r="Q13" s="1342">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7"/>
      <c r="Q14" s="1342">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1689</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9" t="s">
        <v>1690</v>
      </c>
      <c r="Q15" s="1351" t="str">
        <f t="shared" si="6"/>
        <v>产业集聚程度</v>
      </c>
      <c r="R15" s="705" t="s">
        <v>14</v>
      </c>
      <c r="S15" s="706">
        <f t="shared" si="0"/>
        <v>100</v>
      </c>
      <c r="T15" s="705" t="s">
        <v>14</v>
      </c>
      <c r="U15" s="706">
        <f t="shared" si="1"/>
        <v>100</v>
      </c>
      <c r="V15" s="705" t="s">
        <v>14</v>
      </c>
      <c r="W15" s="706">
        <f t="shared" si="2"/>
        <v>100</v>
      </c>
      <c r="X15" s="1354"/>
      <c r="Y15" s="3719"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0"/>
      <c r="Q16" s="1351"/>
      <c r="R16" s="705"/>
      <c r="S16" s="706"/>
      <c r="T16" s="705"/>
      <c r="U16" s="706"/>
      <c r="V16" s="705"/>
      <c r="W16" s="706"/>
      <c r="X16" s="1354"/>
      <c r="Y16" s="3720"/>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0"/>
      <c r="Q18" s="1351"/>
      <c r="R18" s="705"/>
      <c r="S18" s="706"/>
      <c r="T18" s="705"/>
      <c r="U18" s="706"/>
      <c r="V18" s="705"/>
      <c r="W18" s="706"/>
      <c r="X18" s="1354"/>
      <c r="Y18" s="3720"/>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0"/>
      <c r="Q19" s="1351" t="str">
        <f t="shared" ref="Q19:Q33" si="8">B19</f>
        <v>区域土地利用方向</v>
      </c>
      <c r="R19" s="705" t="s">
        <v>14</v>
      </c>
      <c r="S19" s="706">
        <f>F19</f>
        <v>100</v>
      </c>
      <c r="T19" s="705" t="s">
        <v>14</v>
      </c>
      <c r="U19" s="706">
        <f>H19</f>
        <v>100</v>
      </c>
      <c r="V19" s="705" t="s">
        <v>14</v>
      </c>
      <c r="W19" s="706">
        <f>J19</f>
        <v>100</v>
      </c>
      <c r="X19" s="1354"/>
      <c r="Y19" s="372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0"/>
      <c r="Q20" s="1351"/>
      <c r="R20" s="705"/>
      <c r="S20" s="706"/>
      <c r="T20" s="705"/>
      <c r="U20" s="706"/>
      <c r="V20" s="705"/>
      <c r="W20" s="706"/>
      <c r="X20" s="1354"/>
      <c r="Y20" s="3720"/>
      <c r="Z20" s="1355"/>
      <c r="AA20" s="1352"/>
      <c r="AB20" s="1352"/>
      <c r="AC20" s="1352"/>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0"/>
      <c r="Q21" s="1351" t="str">
        <f t="shared" si="8"/>
        <v>环境状况</v>
      </c>
      <c r="R21" s="705" t="s">
        <v>14</v>
      </c>
      <c r="S21" s="706">
        <f>F21</f>
        <v>100</v>
      </c>
      <c r="T21" s="705" t="s">
        <v>14</v>
      </c>
      <c r="U21" s="706">
        <f>H21</f>
        <v>100</v>
      </c>
      <c r="V21" s="705" t="s">
        <v>14</v>
      </c>
      <c r="W21" s="706">
        <f>J21</f>
        <v>100</v>
      </c>
      <c r="X21" s="1354"/>
      <c r="Y21" s="372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0"/>
      <c r="Q22" s="1351"/>
      <c r="R22" s="705"/>
      <c r="S22" s="706"/>
      <c r="T22" s="705"/>
      <c r="U22" s="706"/>
      <c r="V22" s="705"/>
      <c r="W22" s="706"/>
      <c r="X22" s="1354"/>
      <c r="Y22" s="3720"/>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0"/>
      <c r="Q23" s="1342" t="str">
        <f t="shared" si="8"/>
        <v>公共配套设施</v>
      </c>
      <c r="R23" s="701" t="s">
        <v>14</v>
      </c>
      <c r="S23" s="702">
        <f>F23</f>
        <v>100</v>
      </c>
      <c r="T23" s="701" t="s">
        <v>14</v>
      </c>
      <c r="U23" s="702">
        <f>H23</f>
        <v>100</v>
      </c>
      <c r="V23" s="701" t="s">
        <v>14</v>
      </c>
      <c r="W23" s="702">
        <f>J23</f>
        <v>100</v>
      </c>
      <c r="X23" s="703"/>
      <c r="Y23" s="372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0"/>
      <c r="Q24" s="1342"/>
      <c r="R24" s="701"/>
      <c r="S24" s="702"/>
      <c r="T24" s="701"/>
      <c r="U24" s="702"/>
      <c r="V24" s="701"/>
      <c r="W24" s="702"/>
      <c r="X24" s="703"/>
      <c r="Y24" s="3720"/>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0"/>
      <c r="Q25" s="1342"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0"/>
      <c r="Q26" s="1342"/>
      <c r="R26" s="701"/>
      <c r="S26" s="702"/>
      <c r="T26" s="701"/>
      <c r="U26" s="702"/>
      <c r="V26" s="701"/>
      <c r="W26" s="702"/>
      <c r="X26" s="703"/>
      <c r="Y26" s="372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0"/>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0"/>
      <c r="Q28" s="1351" t="str">
        <f t="shared" si="8"/>
        <v>毗邻道路的类型与等级</v>
      </c>
      <c r="R28" s="705" t="s">
        <v>14</v>
      </c>
      <c r="S28" s="706">
        <f t="shared" si="10"/>
        <v>100</v>
      </c>
      <c r="T28" s="705" t="s">
        <v>14</v>
      </c>
      <c r="U28" s="706">
        <f t="shared" si="11"/>
        <v>100</v>
      </c>
      <c r="V28" s="705" t="s">
        <v>14</v>
      </c>
      <c r="W28" s="706">
        <f t="shared" si="12"/>
        <v>100</v>
      </c>
      <c r="X28" s="1354"/>
      <c r="Y28" s="372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0"/>
      <c r="Q29" s="1351"/>
      <c r="R29" s="705"/>
      <c r="S29" s="706"/>
      <c r="T29" s="705"/>
      <c r="U29" s="706"/>
      <c r="V29" s="705"/>
      <c r="W29" s="706"/>
      <c r="X29" s="1354"/>
      <c r="Y29" s="3720"/>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0"/>
      <c r="Q30" s="1351" t="str">
        <f t="shared" si="8"/>
        <v>土地级别</v>
      </c>
      <c r="R30" s="705" t="s">
        <v>14</v>
      </c>
      <c r="S30" s="706">
        <f t="shared" si="10"/>
        <v>100</v>
      </c>
      <c r="T30" s="705" t="s">
        <v>14</v>
      </c>
      <c r="U30" s="706">
        <f t="shared" si="11"/>
        <v>100</v>
      </c>
      <c r="V30" s="705" t="s">
        <v>14</v>
      </c>
      <c r="W30" s="706">
        <f t="shared" si="12"/>
        <v>100</v>
      </c>
      <c r="X30" s="1354"/>
      <c r="Y30" s="372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0"/>
      <c r="Q31" s="1351">
        <f t="shared" si="8"/>
        <v>111</v>
      </c>
      <c r="R31" s="705" t="s">
        <v>14</v>
      </c>
      <c r="S31" s="706">
        <f t="shared" si="10"/>
        <v>100</v>
      </c>
      <c r="T31" s="705" t="s">
        <v>14</v>
      </c>
      <c r="U31" s="706">
        <f t="shared" si="11"/>
        <v>100</v>
      </c>
      <c r="V31" s="705" t="s">
        <v>14</v>
      </c>
      <c r="W31" s="706">
        <f t="shared" si="12"/>
        <v>100</v>
      </c>
      <c r="X31" s="1354"/>
      <c r="Y31" s="372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1695</v>
      </c>
      <c r="Q32" s="1351">
        <f t="shared" si="8"/>
        <v>111</v>
      </c>
      <c r="R32" s="705" t="s">
        <v>14</v>
      </c>
      <c r="S32" s="706">
        <f t="shared" si="10"/>
        <v>100</v>
      </c>
      <c r="T32" s="705" t="s">
        <v>14</v>
      </c>
      <c r="U32" s="706">
        <f t="shared" si="11"/>
        <v>100</v>
      </c>
      <c r="V32" s="705" t="s">
        <v>14</v>
      </c>
      <c r="W32" s="706">
        <f t="shared" si="12"/>
        <v>100</v>
      </c>
      <c r="X32" s="1354"/>
      <c r="Y32" s="3724"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4" t="s">
        <v>1695</v>
      </c>
      <c r="Q37" s="1351" t="str">
        <f t="shared" si="14"/>
        <v>工程地质条件</v>
      </c>
      <c r="R37" s="705" t="s">
        <v>14</v>
      </c>
      <c r="S37" s="706">
        <f t="shared" si="10"/>
        <v>100</v>
      </c>
      <c r="T37" s="705" t="s">
        <v>14</v>
      </c>
      <c r="U37" s="706">
        <f t="shared" si="11"/>
        <v>100</v>
      </c>
      <c r="V37" s="705" t="s">
        <v>14</v>
      </c>
      <c r="W37" s="706">
        <f t="shared" si="12"/>
        <v>100</v>
      </c>
      <c r="X37" s="1354"/>
      <c r="Y37" s="3724"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1843</v>
      </c>
      <c r="B41" s="1981" t="s">
        <v>1920</v>
      </c>
      <c r="C41" s="630" t="s">
        <v>0</v>
      </c>
      <c r="D41" s="432"/>
      <c r="E41" s="433"/>
      <c r="F41" s="434"/>
      <c r="G41" s="435"/>
      <c r="H41" s="436"/>
      <c r="I41" s="433"/>
      <c r="J41" s="436"/>
      <c r="K41" s="714"/>
      <c r="L41" s="2723"/>
      <c r="M41" s="2715"/>
      <c r="N41" s="2715"/>
      <c r="O41" s="2724"/>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00" t="s">
        <v>1886</v>
      </c>
      <c r="H50" s="3747"/>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47659.19</v>
      </c>
      <c r="F51" s="639" t="e">
        <f t="shared" ref="F51:F60" si="15">ROUND(B51*E51/10000,0)</f>
        <v>#DIV/0!</v>
      </c>
      <c r="G51" s="3699"/>
      <c r="H51" s="371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0.25</v>
      </c>
      <c r="D56" s="945">
        <v>0.25</v>
      </c>
      <c r="E56" s="217">
        <f>'数据-汇总表'!E11</f>
        <v>21645.89</v>
      </c>
      <c r="F56" s="639" t="e">
        <f t="shared" si="15"/>
        <v>#DIV/0!</v>
      </c>
      <c r="G56" s="1986" t="s">
        <v>1895</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0.15</v>
      </c>
      <c r="D60" s="945">
        <v>0.25</v>
      </c>
      <c r="E60" s="217">
        <f>'数据-汇总表'!E15</f>
        <v>0</v>
      </c>
      <c r="F60" s="639" t="e">
        <f t="shared" si="15"/>
        <v>#DIV/0!</v>
      </c>
      <c r="G60" s="1987" t="s">
        <v>1895</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62378.94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41" activeCellId="1" sqref="E26 H41"/>
      <selection pane="bottomLeft" activeCell="H41" activeCellId="1" sqref="E26 H4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5" t="s">
        <v>2082</v>
      </c>
      <c r="D1" s="3756"/>
      <c r="E1" s="3756"/>
      <c r="F1" s="3756"/>
      <c r="G1" s="3756"/>
      <c r="H1" s="3756"/>
      <c r="I1" s="3756"/>
      <c r="J1" s="3756"/>
      <c r="K1" s="3756"/>
      <c r="L1" s="3756"/>
      <c r="M1" s="3756"/>
      <c r="N1" s="3756"/>
      <c r="O1" s="3756"/>
      <c r="P1" s="3756"/>
      <c r="Q1" s="3756"/>
      <c r="R1" s="3756"/>
      <c r="S1" s="375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41" activeCellId="1" sqref="E26 H4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3314</v>
      </c>
      <c r="C2" s="2144" t="s">
        <v>2072</v>
      </c>
      <c r="D2" s="2144" t="s">
        <v>2073</v>
      </c>
      <c r="E2" s="2611">
        <f ca="1">SUMIF(E6:E13,"&lt;&gt;#ref!",E6:E13)</f>
        <v>63022.41</v>
      </c>
      <c r="F2" s="2792"/>
      <c r="G2" s="2792"/>
      <c r="H2" s="2792"/>
      <c r="I2" s="2792"/>
      <c r="J2" s="2792"/>
      <c r="K2" s="2792"/>
      <c r="L2" s="2792"/>
      <c r="M2" s="2792"/>
      <c r="N2" s="2792"/>
      <c r="O2" s="2792"/>
      <c r="P2" s="2792"/>
    </row>
    <row r="3" spans="1:16" ht="15.75">
      <c r="A3" s="2144" t="s">
        <v>2074</v>
      </c>
      <c r="B3" s="2601">
        <f ca="1">ROUND(B2*10000/E2,0)</f>
        <v>526</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3314</v>
      </c>
      <c r="C6" s="2144" t="s">
        <v>2072</v>
      </c>
      <c r="D6" s="2792"/>
      <c r="E6" s="2611">
        <f ca="1">SUMIF(INDIRECT("'"&amp;A6&amp;"'"&amp;"!C:C"),"建筑面积",INDIRECT("'"&amp;A6&amp;"'"&amp;"!D:D"))</f>
        <v>63022.41</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72" sqref="G7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63022.41</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3314</v>
      </c>
      <c r="C2" s="1998" t="s">
        <v>1933</v>
      </c>
      <c r="D2" s="1999" t="s">
        <v>1934</v>
      </c>
      <c r="E2" s="3423" t="s">
        <v>21</v>
      </c>
      <c r="F2" s="1999" t="s">
        <v>1935</v>
      </c>
      <c r="G2" s="2000" t="str">
        <f>IF(E2="商业",项目基本情况!B37,IF(E2="办公",项目基本情况!C37,IF(E2="住宅",项目基本情况!D37,IF(E2="工业",项目基本情况!E37,项目基本情况!F37))))</f>
        <v>七级</v>
      </c>
      <c r="H2" s="1999" t="s">
        <v>1936</v>
      </c>
      <c r="I2" s="2000" t="str">
        <f>IF(E2="商业",项目基本情况!B38,IF(E2="办公",项目基本情况!C38,IF(E2="住宅",项目基本情况!D38,IF(E2="工业",项目基本情况!E38,项目基本情况!F38))))</f>
        <v>Ⅶ-昌2</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2">
        <f>ROUND(SUMPRODUCT((B106:B110=R2)*(C105:N105=G2)*(C106:N110)),4)</f>
        <v>1.5019</v>
      </c>
      <c r="T2" s="3362">
        <f t="shared" ref="T2:T16" si="0">ROUND($C$5*$C$22*$C$23*$C$24*S2*$C$28,0)</f>
        <v>9964</v>
      </c>
      <c r="U2" s="1212"/>
      <c r="V2" s="3362">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526</v>
      </c>
      <c r="C3" s="1998" t="s">
        <v>1939</v>
      </c>
      <c r="D3" s="1999" t="s">
        <v>1940</v>
      </c>
      <c r="E3" s="3421" t="s">
        <v>2459</v>
      </c>
      <c r="F3" s="2003" t="s">
        <v>3394</v>
      </c>
      <c r="G3" s="752">
        <f>IF(F3="宗地容积率",'数据-汇总表'!I4,IF(F3="估价对象容积率",'数据-汇总表'!I6,'数据-汇总表'!I7))</f>
        <v>0.78</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2">
        <f>ROUND(SUMPRODUCT((B106:B110=R3)*(C105:N105=G2)*(C106:N110)),4)</f>
        <v>1.1838</v>
      </c>
      <c r="T3" s="3362">
        <f t="shared" si="0"/>
        <v>7854</v>
      </c>
      <c r="U3" s="1212"/>
      <c r="V3" s="3362">
        <f t="shared" ref="V3:V16" si="1">ROUND(T3*U3/10000,0)</f>
        <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2">
        <f>ROUND(SUMPRODUCT((B106:B110=R4)*(C105:N105=G2)*(C106:N110)),4)</f>
        <v>1.0004999999999999</v>
      </c>
      <c r="T4" s="3362">
        <f t="shared" si="0"/>
        <v>6638</v>
      </c>
      <c r="U4" s="1212"/>
      <c r="V4" s="3362">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9004</v>
      </c>
      <c r="D5" s="1338">
        <f>ROUND(C6*C17+C20,0)</f>
        <v>9004</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2">
        <f>ROUND(SUMPRODUCT((B106:B110=R5)*(C105:N105=G2)*(C106:N110)),4)</f>
        <v>0.88239999999999996</v>
      </c>
      <c r="T5" s="3362">
        <f t="shared" si="0"/>
        <v>5854</v>
      </c>
      <c r="U5" s="1212"/>
      <c r="V5" s="3362">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9020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2">
        <f>ROUND(SUMPRODUCT((B106:B110=R6)*(C105:N105=G2)*(C106:N110)),4)</f>
        <v>0.84799999999999998</v>
      </c>
      <c r="T6" s="3362">
        <f t="shared" si="0"/>
        <v>5626</v>
      </c>
      <c r="U6" s="1212"/>
      <c r="V6" s="3362">
        <f t="shared" si="1"/>
        <v>0</v>
      </c>
      <c r="W6" s="1215"/>
      <c r="X6" s="1215"/>
      <c r="Y6" s="1215"/>
      <c r="Z6" s="1215"/>
      <c r="AA6" s="1215"/>
      <c r="AB6" s="1215"/>
      <c r="AC6" s="2010"/>
      <c r="AD6" s="2011"/>
      <c r="AE6" s="2011"/>
      <c r="AF6" s="2011"/>
      <c r="AG6" s="2011"/>
      <c r="AH6" s="2011"/>
      <c r="AI6" s="2011"/>
      <c r="AJ6" s="2012"/>
    </row>
    <row r="7" spans="1:36" ht="24.75" thickBot="1">
      <c r="A7" s="3304" t="s">
        <v>3244</v>
      </c>
      <c r="B7" s="2020" t="s">
        <v>1950</v>
      </c>
      <c r="C7" s="755">
        <f>IF(C8="不临65条商业街",1,ROUND(1+(1.6*E8+1.2*E9+0.8*E10+0.4*E11)*C9,4))</f>
        <v>1</v>
      </c>
      <c r="D7" s="2021" t="s">
        <v>1951</v>
      </c>
      <c r="E7" s="776"/>
      <c r="F7" s="2022"/>
      <c r="G7" s="2023"/>
      <c r="H7" s="2023"/>
      <c r="I7" s="2023"/>
      <c r="J7" s="2024"/>
      <c r="K7" s="1383"/>
      <c r="L7" s="2002" t="s">
        <v>1952</v>
      </c>
      <c r="M7" s="864">
        <f>SUMPRODUCT((区片价!B190:B233=I2)*(区片价!C3:G3=E2)*(区片价!C190:G233))</f>
        <v>9020</v>
      </c>
      <c r="N7" s="866">
        <f>SUMPRODUCT((因素修正幅度!B190:B233=I2)*(因素修正幅度!C3:G3=E2)*(因素修正幅度!C190:G233))</f>
        <v>0.126</v>
      </c>
      <c r="O7" s="1119"/>
      <c r="P7" s="1119"/>
      <c r="Q7" s="1119"/>
      <c r="R7" s="1211">
        <v>6</v>
      </c>
      <c r="S7" s="3420"/>
      <c r="T7" s="3362">
        <f t="shared" si="0"/>
        <v>0</v>
      </c>
      <c r="U7" s="1212"/>
      <c r="V7" s="3362">
        <f t="shared" si="1"/>
        <v>0</v>
      </c>
      <c r="W7" s="1357" t="s">
        <v>1953</v>
      </c>
      <c r="X7" s="1213" t="str">
        <f>G2</f>
        <v>七级</v>
      </c>
      <c r="Y7" s="1213" t="s">
        <v>1954</v>
      </c>
      <c r="Z7" s="1214">
        <f>G3</f>
        <v>0.78</v>
      </c>
      <c r="AA7" s="1215"/>
      <c r="AB7" s="1215"/>
      <c r="AC7" s="1216"/>
      <c r="AD7" s="1217"/>
      <c r="AE7" s="1217"/>
      <c r="AF7" s="1217"/>
      <c r="AG7" s="1217"/>
      <c r="AH7" s="1217"/>
      <c r="AI7" s="1217"/>
      <c r="AJ7" s="1218"/>
    </row>
    <row r="8" spans="1:36" ht="25.5">
      <c r="A8" s="3299"/>
      <c r="B8" s="170" t="s">
        <v>1955</v>
      </c>
      <c r="C8" s="2025" t="s">
        <v>3395</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2">
        <f t="shared" si="0"/>
        <v>0</v>
      </c>
      <c r="U8" s="1212"/>
      <c r="V8" s="3362">
        <f t="shared" si="1"/>
        <v>0</v>
      </c>
      <c r="W8" s="3762" t="s">
        <v>1958</v>
      </c>
      <c r="X8" s="3763"/>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9"/>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62">
        <f t="shared" si="0"/>
        <v>0</v>
      </c>
      <c r="U9" s="1212"/>
      <c r="V9" s="3362">
        <f t="shared" si="1"/>
        <v>0</v>
      </c>
      <c r="W9" s="3764"/>
      <c r="X9" s="3363" t="s">
        <v>3275</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2">
        <f t="shared" si="0"/>
        <v>0</v>
      </c>
      <c r="U10" s="1212"/>
      <c r="V10" s="3362">
        <f t="shared" si="1"/>
        <v>0</v>
      </c>
      <c r="W10" s="3764"/>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2">
        <f t="shared" si="0"/>
        <v>0</v>
      </c>
      <c r="U11" s="1212"/>
      <c r="V11" s="3362">
        <f t="shared" si="1"/>
        <v>0</v>
      </c>
      <c r="W11" s="1215"/>
      <c r="X11" s="1215"/>
      <c r="Y11" s="1215"/>
      <c r="Z11" s="1215"/>
      <c r="AA11" s="1215"/>
      <c r="AB11" s="1215"/>
      <c r="AC11" s="1216"/>
      <c r="AD11" s="2788"/>
      <c r="AE11" s="2788"/>
      <c r="AF11" s="2788"/>
      <c r="AG11" s="2788"/>
      <c r="AH11" s="2788"/>
      <c r="AI11" s="2788"/>
      <c r="AJ11" s="2789"/>
    </row>
    <row r="12" spans="1:36" ht="25.5" thickBot="1">
      <c r="A12" s="3304" t="s">
        <v>3245</v>
      </c>
      <c r="B12" s="3305" t="s">
        <v>3246</v>
      </c>
      <c r="C12" s="3306">
        <v>1</v>
      </c>
      <c r="D12" s="3307" t="s">
        <v>3247</v>
      </c>
      <c r="E12" s="3308" t="s">
        <v>3248</v>
      </c>
      <c r="F12" s="3309"/>
      <c r="G12" s="3310"/>
      <c r="H12" s="3310"/>
      <c r="I12" s="3310"/>
      <c r="J12" s="3311"/>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2">
        <f t="shared" si="0"/>
        <v>0</v>
      </c>
      <c r="U12" s="1212"/>
      <c r="V12" s="3362">
        <f t="shared" si="1"/>
        <v>0</v>
      </c>
      <c r="W12" s="1215"/>
      <c r="X12" s="1215"/>
      <c r="Y12" s="1215"/>
      <c r="Z12" s="1215"/>
      <c r="AA12" s="1215"/>
      <c r="AB12" s="1215"/>
      <c r="AC12" s="1216"/>
      <c r="AD12" s="2788"/>
      <c r="AE12" s="2788"/>
      <c r="AF12" s="2788"/>
      <c r="AG12" s="2788"/>
      <c r="AH12" s="2788"/>
      <c r="AI12" s="2788"/>
      <c r="AJ12" s="2789"/>
    </row>
    <row r="13" spans="1:36" ht="15.75" thickBot="1">
      <c r="A13" s="3304" t="s">
        <v>3249</v>
      </c>
      <c r="B13" s="2033" t="s">
        <v>1980</v>
      </c>
      <c r="C13" s="755">
        <f>ROUND(C16*D16*E16*F16*G16*H16*I16*J16,4)</f>
        <v>0</v>
      </c>
      <c r="D13" s="2034" t="s">
        <v>1981</v>
      </c>
      <c r="E13" s="2035"/>
      <c r="F13" s="2035"/>
      <c r="G13" s="2036"/>
      <c r="H13" s="2036"/>
      <c r="I13" s="2036"/>
      <c r="J13" s="2037"/>
      <c r="K13" s="1119"/>
      <c r="L13" s="3300"/>
      <c r="M13" s="3301"/>
      <c r="N13" s="3302"/>
      <c r="O13" s="1119"/>
      <c r="P13" s="1119"/>
      <c r="Q13" s="1119"/>
      <c r="R13" s="1211">
        <v>12</v>
      </c>
      <c r="S13" s="1212"/>
      <c r="T13" s="3362">
        <f t="shared" si="0"/>
        <v>0</v>
      </c>
      <c r="U13" s="1212"/>
      <c r="V13" s="3362">
        <f t="shared" si="1"/>
        <v>0</v>
      </c>
      <c r="W13" s="1215"/>
      <c r="X13" s="1215"/>
      <c r="Y13" s="1215"/>
      <c r="Z13" s="1215"/>
      <c r="AA13" s="1215"/>
      <c r="AB13" s="1215"/>
      <c r="AC13" s="1216"/>
      <c r="AD13" s="2788"/>
      <c r="AE13" s="2788"/>
      <c r="AF13" s="2788"/>
      <c r="AG13" s="2788"/>
      <c r="AH13" s="2788"/>
      <c r="AI13" s="2788"/>
      <c r="AJ13" s="2789"/>
    </row>
    <row r="14" spans="1:36" ht="15">
      <c r="A14" s="3298"/>
      <c r="B14" s="2039" t="s">
        <v>1983</v>
      </c>
      <c r="C14" s="2040" t="s">
        <v>1984</v>
      </c>
      <c r="D14" s="1349" t="s">
        <v>1985</v>
      </c>
      <c r="E14" s="27" t="s">
        <v>1986</v>
      </c>
      <c r="F14" s="3312" t="s">
        <v>3250</v>
      </c>
      <c r="G14" s="3312" t="s">
        <v>3250</v>
      </c>
      <c r="H14" s="3312" t="s">
        <v>3250</v>
      </c>
      <c r="I14" s="3312" t="s">
        <v>3250</v>
      </c>
      <c r="J14" s="3312" t="s">
        <v>3250</v>
      </c>
      <c r="K14" s="1119"/>
      <c r="L14" s="1119"/>
      <c r="M14" s="1119"/>
      <c r="N14" s="1119"/>
      <c r="O14" s="1119"/>
      <c r="P14" s="1119"/>
      <c r="Q14" s="1119"/>
      <c r="R14" s="1211">
        <v>13</v>
      </c>
      <c r="S14" s="1212"/>
      <c r="T14" s="3362">
        <f t="shared" si="0"/>
        <v>0</v>
      </c>
      <c r="U14" s="1212"/>
      <c r="V14" s="3362">
        <f t="shared" si="1"/>
        <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3251</v>
      </c>
      <c r="G15" s="3314"/>
      <c r="H15" s="3315"/>
      <c r="I15" s="3316"/>
      <c r="J15" s="3317"/>
      <c r="K15" s="1119"/>
      <c r="L15" s="1119"/>
      <c r="M15" s="1119"/>
      <c r="N15" s="1119"/>
      <c r="O15" s="1119"/>
      <c r="P15" s="1119"/>
      <c r="Q15" s="1119"/>
      <c r="R15" s="1211">
        <v>14</v>
      </c>
      <c r="S15" s="1212"/>
      <c r="T15" s="3362">
        <f t="shared" si="0"/>
        <v>0</v>
      </c>
      <c r="U15" s="1212"/>
      <c r="V15" s="3362">
        <f t="shared" si="1"/>
        <v>0</v>
      </c>
      <c r="W15" s="1215"/>
      <c r="X15" s="1215"/>
      <c r="Y15" s="1215"/>
      <c r="Z15" s="1215"/>
      <c r="AA15" s="1215"/>
      <c r="AB15" s="1215"/>
      <c r="AC15" s="1216"/>
      <c r="AD15" s="2788"/>
      <c r="AE15" s="2788"/>
      <c r="AF15" s="2788"/>
      <c r="AG15" s="2788"/>
      <c r="AH15" s="2788"/>
      <c r="AI15" s="2788"/>
      <c r="AJ15" s="2789"/>
    </row>
    <row r="16" spans="1:36" ht="15.75" thickBot="1">
      <c r="A16" s="3298"/>
      <c r="B16" s="3320" t="s">
        <v>1987</v>
      </c>
      <c r="C16" s="3318"/>
      <c r="D16" s="3318"/>
      <c r="E16" s="3318"/>
      <c r="F16" s="3318">
        <v>1</v>
      </c>
      <c r="G16" s="3318">
        <v>1</v>
      </c>
      <c r="H16" s="3318">
        <v>1</v>
      </c>
      <c r="I16" s="3318">
        <v>1</v>
      </c>
      <c r="J16" s="3319">
        <v>1</v>
      </c>
      <c r="K16" s="1119"/>
      <c r="L16" s="1996"/>
      <c r="M16" s="1996"/>
      <c r="N16" s="1996"/>
      <c r="O16" s="1996"/>
      <c r="P16" s="1996"/>
      <c r="Q16" s="1119"/>
      <c r="R16" s="1211">
        <v>15</v>
      </c>
      <c r="S16" s="1212"/>
      <c r="T16" s="3362">
        <f t="shared" si="0"/>
        <v>0</v>
      </c>
      <c r="U16" s="1212"/>
      <c r="V16" s="3362">
        <f t="shared" si="1"/>
        <v>0</v>
      </c>
      <c r="W16" s="1215"/>
      <c r="X16" s="1215"/>
      <c r="Y16" s="1215"/>
      <c r="Z16" s="1215"/>
      <c r="AA16" s="1215"/>
      <c r="AB16" s="1215"/>
      <c r="AC16" s="1216"/>
      <c r="AD16" s="2788"/>
      <c r="AE16" s="2788"/>
      <c r="AF16" s="2788"/>
      <c r="AG16" s="2788"/>
      <c r="AH16" s="2788"/>
      <c r="AI16" s="2788"/>
      <c r="AJ16" s="2789"/>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3255</v>
      </c>
      <c r="E18" s="3329"/>
      <c r="F18" s="3324" t="s">
        <v>3258</v>
      </c>
      <c r="G18" s="3328">
        <f>ROUND(1-(1/(POWER(1+G24,E18))),4)</f>
        <v>0</v>
      </c>
      <c r="H18" s="3324" t="s">
        <v>3260</v>
      </c>
      <c r="I18" s="3328">
        <f>ROUND(1-(1/(POWER(1+G24,J24))),4)</f>
        <v>0.93120000000000003</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3256</v>
      </c>
      <c r="E19" s="3338"/>
      <c r="F19" s="3339" t="s">
        <v>3259</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9" t="s">
        <v>3261</v>
      </c>
      <c r="B20" s="167" t="s">
        <v>1992</v>
      </c>
      <c r="C20" s="3325">
        <f>ROUND(IF(F21="与级别开发程度一致",0,(G21-E21)/C21),0)</f>
        <v>-16</v>
      </c>
      <c r="D20" s="3341" t="s">
        <v>1996</v>
      </c>
      <c r="E20" s="3342"/>
      <c r="F20" s="3775" t="s">
        <v>1993</v>
      </c>
      <c r="G20" s="3776"/>
      <c r="H20" s="3326" t="s">
        <v>3397</v>
      </c>
      <c r="I20" s="3326" t="s">
        <v>3398</v>
      </c>
      <c r="J20" s="3327" t="s">
        <v>3399</v>
      </c>
      <c r="K20" s="2046" t="s">
        <v>3400</v>
      </c>
      <c r="L20" s="2046" t="s">
        <v>3401</v>
      </c>
      <c r="M20" s="2046" t="s">
        <v>3402</v>
      </c>
      <c r="N20" s="2046" t="s">
        <v>3403</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70"/>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3396</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3" t="s">
        <v>2000</v>
      </c>
      <c r="E23" s="761">
        <v>44197</v>
      </c>
      <c r="F23" s="2053" t="s">
        <v>2001</v>
      </c>
      <c r="G23" s="762">
        <f>'数据-取费表'!B2</f>
        <v>44929</v>
      </c>
      <c r="H23" s="3343" t="s">
        <v>3263</v>
      </c>
      <c r="I23" s="3344" t="str">
        <f>IF(H23="季度增幅（自定义）",SUMIF(N25:N28,E2,O25:O28),"")</f>
        <v/>
      </c>
      <c r="J23" s="3345" t="s">
        <v>3262</v>
      </c>
      <c r="K23" s="1125"/>
      <c r="L23" s="2054" t="s">
        <v>2002</v>
      </c>
      <c r="M23" s="1327">
        <f>ROUND(SUMIF(地价!B2:G2,E2,地价!B16:G16),0)</f>
        <v>350</v>
      </c>
      <c r="N23" s="2055" t="s">
        <v>2003</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0.85589999999999999</v>
      </c>
      <c r="D24" s="2059" t="s">
        <v>2005</v>
      </c>
      <c r="E24" s="1334">
        <f>存贷款利率!E22/100</f>
        <v>4.3499999999999997E-2</v>
      </c>
      <c r="F24" s="2059" t="s">
        <v>1997</v>
      </c>
      <c r="G24" s="768">
        <f>SUMIF(M30:Q30,E2,M33:Q33)</f>
        <v>5.5E-2</v>
      </c>
      <c r="H24" s="2059" t="s">
        <v>2006</v>
      </c>
      <c r="I24" s="769">
        <f>SUMIF('数据-取费表'!C6:C15,E2,'数据-取费表'!F6:F15)/COUNTIF('数据-取费表'!C6:C15,E2)</f>
        <v>29.79</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3342</v>
      </c>
      <c r="C25" s="771">
        <f>IF(B25="容积率修正",IF(G3&lt;10,D26,J26),C27)</f>
        <v>0</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6" t="s">
        <v>3264</v>
      </c>
      <c r="D26" s="1351">
        <f>IF(E26=G26,F26,IF(G3&lt;10,ROUND(F26+(H26-F26)*(G3-E26)/(G26-E26),4),"——"))</f>
        <v>0</v>
      </c>
      <c r="E26" s="752">
        <f>ROUNDDOWN(G3,1)</f>
        <v>0.7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0.79999999999999993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3265</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1.0619000000000001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3314</v>
      </c>
      <c r="D30" s="2082"/>
      <c r="E30" s="2045"/>
      <c r="F30" s="2083"/>
      <c r="G30" s="2045"/>
      <c r="H30" s="2045"/>
      <c r="I30" s="2045"/>
      <c r="J30" s="2084"/>
      <c r="K30" s="1119"/>
      <c r="L30" s="3352" t="s">
        <v>1934</v>
      </c>
      <c r="M30" s="3353" t="s">
        <v>1988</v>
      </c>
      <c r="N30" s="3353" t="s">
        <v>1989</v>
      </c>
      <c r="O30" s="3353" t="s">
        <v>1990</v>
      </c>
      <c r="P30" s="3353" t="s">
        <v>1991</v>
      </c>
      <c r="Q30" s="3356" t="s">
        <v>3269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830</v>
      </c>
      <c r="D31" s="2086"/>
      <c r="E31" s="2087"/>
      <c r="F31" s="2088"/>
      <c r="G31" s="2087"/>
      <c r="H31" s="2087"/>
      <c r="I31" s="2087"/>
      <c r="J31" s="2089"/>
      <c r="K31" s="1119"/>
      <c r="L31" s="3354" t="s">
        <v>1994</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5" t="s">
        <v>1997</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0</v>
      </c>
      <c r="D33" s="2097">
        <f>'数据-汇总表'!F19</f>
        <v>41376.520000000004</v>
      </c>
      <c r="E33" s="773">
        <f>ROUND(C33*D33/10000,0)</f>
        <v>0</v>
      </c>
      <c r="F33" s="3347" t="s">
        <v>3267</v>
      </c>
      <c r="G33" s="2098"/>
      <c r="H33" s="2098"/>
      <c r="I33" s="2098"/>
      <c r="J33" s="2099"/>
      <c r="K33" s="1119"/>
      <c r="L33" s="3350" t="s">
        <v>3270</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0</v>
      </c>
      <c r="D34" s="2102"/>
      <c r="E34" s="773">
        <f>ROUND(IF(B25="楼层修正",SUM(V2:V16)*M40,C34*D34/10000),0)</f>
        <v>0</v>
      </c>
      <c r="F34" s="2103" t="s">
        <v>2030</v>
      </c>
      <c r="G34" s="2104"/>
      <c r="H34" s="2104"/>
      <c r="I34" s="2104"/>
      <c r="J34" s="2105"/>
      <c r="K34" s="1119"/>
      <c r="L34" s="3350" t="s">
        <v>3271</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8" t="s">
        <v>3268</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8" t="s">
        <v>3272</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3"/>
      <c r="B37" s="2112" t="s">
        <v>2034</v>
      </c>
      <c r="C37" s="175">
        <f>ROUND(D5*C22*C23*C24*C28*F37,0)</f>
        <v>3981</v>
      </c>
      <c r="D37" s="2097"/>
      <c r="E37" s="171">
        <f>ROUND(C37*D37/10000,0)</f>
        <v>0</v>
      </c>
      <c r="F37" s="171">
        <f>SUMIF(修正!A57:A68,G2,修正!B57:B68)</f>
        <v>0.6</v>
      </c>
      <c r="G37" s="171">
        <f>ROUND(IF(E2="工业",C37*$M$42,C37*$M$41),0)</f>
        <v>995</v>
      </c>
      <c r="H37" s="171">
        <f>D37</f>
        <v>0</v>
      </c>
      <c r="I37" s="171">
        <f>ROUND(G37*H37/10000,0)</f>
        <v>0</v>
      </c>
      <c r="J37" s="3011"/>
      <c r="K37" s="3360" t="s">
        <v>3273</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4"/>
      <c r="B38" s="2040" t="s">
        <v>2035</v>
      </c>
      <c r="C38" s="175">
        <f>ROUND(D5*C22*C23*C24*C28*F38,0)</f>
        <v>1990</v>
      </c>
      <c r="D38" s="2097"/>
      <c r="E38" s="171">
        <f t="shared" ref="E38:E42" si="4">ROUND(C38*D38/10000,0)</f>
        <v>0</v>
      </c>
      <c r="F38" s="171">
        <f>SUMIF(修正!A57:A68,G2,修正!C57:C68)</f>
        <v>0.3</v>
      </c>
      <c r="G38" s="171">
        <f>ROUND(IF(E2="工业",C38*$M$42,C38*$M$41),0)</f>
        <v>498</v>
      </c>
      <c r="H38" s="171">
        <f t="shared" ref="H38:H42" si="5">D38</f>
        <v>0</v>
      </c>
      <c r="I38" s="171">
        <f t="shared" ref="I38:I42" si="6">ROUND(G38*H38/10000,0)</f>
        <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74"/>
      <c r="B39" s="2040" t="s">
        <v>3266</v>
      </c>
      <c r="C39" s="175">
        <f>ROUND(D5*C22*C23*C24*C28*F39,0)</f>
        <v>1659</v>
      </c>
      <c r="D39" s="2097"/>
      <c r="E39" s="171">
        <f t="shared" si="4"/>
        <v>0</v>
      </c>
      <c r="F39" s="171">
        <f>SUMIF(修正!A57:A68,G2,修正!D57:D68)</f>
        <v>0.25</v>
      </c>
      <c r="G39" s="171">
        <f>ROUND(IF(E2="工业",C39*$M$42,C39*$M$41),0)</f>
        <v>415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1659</v>
      </c>
      <c r="D40" s="2097">
        <f>'数据-汇总表'!G19</f>
        <v>17483.07</v>
      </c>
      <c r="E40" s="171">
        <f t="shared" si="4"/>
        <v>2900</v>
      </c>
      <c r="F40" s="175">
        <f>SUMIF(修正!A57:A68,G2,修正!E57:E68)</f>
        <v>0.25</v>
      </c>
      <c r="G40" s="171">
        <f>ROUND(IF(E2="工业",C40*$M$42,C40*$M$41),0)</f>
        <v>415</v>
      </c>
      <c r="H40" s="171">
        <f t="shared" si="5"/>
        <v>17483.07</v>
      </c>
      <c r="I40" s="171">
        <f t="shared" si="6"/>
        <v>726</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1659</v>
      </c>
      <c r="D41" s="2097"/>
      <c r="E41" s="171">
        <f t="shared" si="4"/>
        <v>0</v>
      </c>
      <c r="F41" s="175">
        <f>SUMIF(修正!A57:A68,G2,修正!F57:F68)</f>
        <v>0.25</v>
      </c>
      <c r="G41" s="171">
        <f>ROUND(IF(E2="工业",C41*$M$42,C41*$M$41),0)</f>
        <v>415</v>
      </c>
      <c r="H41" s="171">
        <f t="shared" si="5"/>
        <v>0</v>
      </c>
      <c r="I41" s="171">
        <f t="shared" si="6"/>
        <v>0</v>
      </c>
      <c r="J41" s="2113"/>
      <c r="L41" s="3361" t="s">
        <v>3274</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995</v>
      </c>
      <c r="D42" s="2102">
        <f>'数据-汇总表'!G20</f>
        <v>4162.82</v>
      </c>
      <c r="E42" s="187">
        <f t="shared" si="4"/>
        <v>414</v>
      </c>
      <c r="F42" s="767">
        <f>SUMIF(修正!A57:A68,G2,修正!G57:G68)</f>
        <v>0.15</v>
      </c>
      <c r="G42" s="187">
        <f>ROUND(IF(E2="工业",C42*$M$42,C42*$M$41),0)</f>
        <v>249</v>
      </c>
      <c r="H42" s="187">
        <f t="shared" si="5"/>
        <v>4162.82</v>
      </c>
      <c r="I42" s="187">
        <f t="shared" si="6"/>
        <v>104</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0.85589999999999999</v>
      </c>
      <c r="D44" s="171" t="s">
        <v>1997</v>
      </c>
      <c r="E44" s="2152">
        <f>G24</f>
        <v>5.5E-2</v>
      </c>
      <c r="F44" s="171" t="s">
        <v>2006</v>
      </c>
      <c r="G44" s="183">
        <f>I24</f>
        <v>29.79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3276</v>
      </c>
      <c r="B52" s="2133">
        <f>估价对象房地状况!C19</f>
        <v>0</v>
      </c>
      <c r="C52" s="2043"/>
      <c r="D52" s="1065">
        <f t="shared" si="7"/>
        <v>0</v>
      </c>
      <c r="E52" s="745"/>
      <c r="F52" s="1813"/>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1.0619000000000001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3724</v>
      </c>
      <c r="D61" s="1065">
        <f t="shared" ref="D61:D69" si="12">SUMIF($J$60:$N$60,C61,J61:N61)</f>
        <v>1.5699999999999999E-2</v>
      </c>
      <c r="E61" s="744">
        <f>ROUND(SUM(D61:D69),4)</f>
        <v>6.1899999999999997E-2</v>
      </c>
      <c r="F61" s="1813">
        <f>IF(E2="办公",SUMIF(L1:L12,G2,N1:N12),"——")</f>
        <v>0.126</v>
      </c>
      <c r="G61" s="1063">
        <v>1.5699999999999999E-2</v>
      </c>
      <c r="H61" s="1066">
        <f t="shared" ref="H61:H69" si="13">IFERROR(ROUNDDOWN($F$61*I61/2,4),"——")</f>
        <v>1.5699999999999999E-2</v>
      </c>
      <c r="I61" s="3368">
        <v>0.25</v>
      </c>
      <c r="J61" s="1064">
        <f t="shared" ref="J61:J69" si="14">K61+$G61</f>
        <v>3.1399999999999997E-2</v>
      </c>
      <c r="K61" s="1064">
        <f t="shared" ref="K61:K69" si="15">$L61+$G61</f>
        <v>1.5699999999999999E-2</v>
      </c>
      <c r="L61" s="1064">
        <v>0</v>
      </c>
      <c r="M61" s="1064">
        <f t="shared" ref="M61:N69" si="16">L61-$G61</f>
        <v>-1.5699999999999999E-2</v>
      </c>
      <c r="N61" s="1064">
        <f t="shared" si="16"/>
        <v>-3.1399999999999997E-2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3724</v>
      </c>
      <c r="D62" s="1065">
        <f t="shared" si="12"/>
        <v>1.6299999999999999E-2</v>
      </c>
      <c r="E62" s="745"/>
      <c r="F62" s="1813"/>
      <c r="G62" s="1063">
        <v>1.6299999999999999E-2</v>
      </c>
      <c r="H62" s="1066">
        <f t="shared" si="13"/>
        <v>1.6299999999999999E-2</v>
      </c>
      <c r="I62" s="3368">
        <v>0.26</v>
      </c>
      <c r="J62" s="1064">
        <f t="shared" si="14"/>
        <v>3.2599999999999997E-2</v>
      </c>
      <c r="K62" s="1064">
        <f t="shared" si="15"/>
        <v>1.6299999999999999E-2</v>
      </c>
      <c r="L62" s="1064">
        <v>0</v>
      </c>
      <c r="M62" s="1064">
        <f t="shared" si="16"/>
        <v>-1.6299999999999999E-2</v>
      </c>
      <c r="N62" s="1064">
        <f t="shared" si="16"/>
        <v>-3.2599999999999997E-2</v>
      </c>
      <c r="AA62" s="1120"/>
      <c r="AB62" s="1120"/>
      <c r="AC62" s="1120"/>
      <c r="AD62" s="1120"/>
      <c r="AE62" s="1120"/>
      <c r="AF62" s="1120"/>
      <c r="AG62" s="1120"/>
      <c r="AH62" s="1120"/>
      <c r="AI62" s="1120"/>
      <c r="AJ62" s="1120"/>
      <c r="AK62" s="1120"/>
    </row>
    <row r="63" spans="1:37" s="1119" customFormat="1" ht="36">
      <c r="A63" s="3370" t="s">
        <v>3276</v>
      </c>
      <c r="B63" s="2133">
        <f>估价对象房地状况!C19</f>
        <v>0</v>
      </c>
      <c r="C63" s="2043" t="s">
        <v>3724</v>
      </c>
      <c r="D63" s="1065">
        <f t="shared" si="12"/>
        <v>6.8999999999999999E-3</v>
      </c>
      <c r="E63" s="745"/>
      <c r="F63" s="1813"/>
      <c r="G63" s="1063">
        <v>6.8999999999999999E-3</v>
      </c>
      <c r="H63" s="1066">
        <f t="shared" si="13"/>
        <v>6.8999999999999999E-3</v>
      </c>
      <c r="I63" s="3368">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29" t="s">
        <v>2052</v>
      </c>
      <c r="B64" s="2134" t="s">
        <v>2053</v>
      </c>
      <c r="C64" s="2043" t="s">
        <v>3725</v>
      </c>
      <c r="D64" s="1065">
        <f t="shared" si="12"/>
        <v>0</v>
      </c>
      <c r="E64" s="745"/>
      <c r="F64" s="1813"/>
      <c r="G64" s="1063">
        <v>3.0999999999999999E-3</v>
      </c>
      <c r="H64" s="1066">
        <f t="shared" si="13"/>
        <v>3.0999999999999999E-3</v>
      </c>
      <c r="I64" s="3368">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3725</v>
      </c>
      <c r="D65" s="1065">
        <f t="shared" si="12"/>
        <v>0</v>
      </c>
      <c r="E65" s="745"/>
      <c r="F65" s="1813"/>
      <c r="G65" s="1063">
        <v>3.0999999999999999E-3</v>
      </c>
      <c r="H65" s="1066">
        <f t="shared" si="13"/>
        <v>3.0999999999999999E-3</v>
      </c>
      <c r="I65" s="3368">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29" t="s">
        <v>2055</v>
      </c>
      <c r="B66" s="2135" t="s">
        <v>2056</v>
      </c>
      <c r="C66" s="2043" t="s">
        <v>3724</v>
      </c>
      <c r="D66" s="1065">
        <f t="shared" si="12"/>
        <v>3.7000000000000002E-3</v>
      </c>
      <c r="E66" s="745"/>
      <c r="F66" s="1813"/>
      <c r="G66" s="1063">
        <v>3.7000000000000002E-3</v>
      </c>
      <c r="H66" s="1066">
        <f t="shared" si="13"/>
        <v>3.7000000000000002E-3</v>
      </c>
      <c r="I66" s="3368">
        <v>0.06</v>
      </c>
      <c r="J66" s="1064">
        <f t="shared" si="14"/>
        <v>7.4000000000000003E-3</v>
      </c>
      <c r="K66" s="1064">
        <f t="shared" si="15"/>
        <v>3.7000000000000002E-3</v>
      </c>
      <c r="L66" s="1064">
        <v>0</v>
      </c>
      <c r="M66" s="1064">
        <f t="shared" si="16"/>
        <v>-3.7000000000000002E-3</v>
      </c>
      <c r="N66" s="1064">
        <f t="shared" si="16"/>
        <v>-7.4000000000000003E-3</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t="s">
        <v>3724</v>
      </c>
      <c r="D67" s="1065">
        <f t="shared" si="12"/>
        <v>3.7000000000000002E-3</v>
      </c>
      <c r="E67" s="745"/>
      <c r="F67" s="1813"/>
      <c r="G67" s="1063">
        <v>3.7000000000000002E-3</v>
      </c>
      <c r="H67" s="1066">
        <f t="shared" si="13"/>
        <v>3.7000000000000002E-3</v>
      </c>
      <c r="I67" s="3368">
        <v>0.06</v>
      </c>
      <c r="J67" s="1064">
        <f t="shared" si="14"/>
        <v>7.4000000000000003E-3</v>
      </c>
      <c r="K67" s="1064">
        <f t="shared" si="15"/>
        <v>3.7000000000000002E-3</v>
      </c>
      <c r="L67" s="1064">
        <v>0</v>
      </c>
      <c r="M67" s="1064">
        <f t="shared" si="16"/>
        <v>-3.7000000000000002E-3</v>
      </c>
      <c r="N67" s="1064">
        <f t="shared" si="16"/>
        <v>-7.4000000000000003E-3</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t="s">
        <v>3726</v>
      </c>
      <c r="D68" s="1065">
        <f t="shared" si="12"/>
        <v>1.12E-2</v>
      </c>
      <c r="E68" s="745"/>
      <c r="F68" s="1813"/>
      <c r="G68" s="1063">
        <v>5.5999999999999999E-3</v>
      </c>
      <c r="H68" s="1066">
        <f t="shared" si="13"/>
        <v>5.5999999999999999E-3</v>
      </c>
      <c r="I68" s="3368">
        <v>0.09</v>
      </c>
      <c r="J68" s="1064">
        <f t="shared" si="14"/>
        <v>1.12E-2</v>
      </c>
      <c r="K68" s="1064">
        <f t="shared" si="15"/>
        <v>5.5999999999999999E-3</v>
      </c>
      <c r="L68" s="1064">
        <v>0</v>
      </c>
      <c r="M68" s="1064">
        <f t="shared" si="16"/>
        <v>-5.5999999999999999E-3</v>
      </c>
      <c r="N68" s="1064">
        <f t="shared" si="16"/>
        <v>-1.12E-2</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3724</v>
      </c>
      <c r="D69" s="1065">
        <f t="shared" si="12"/>
        <v>4.4000000000000003E-3</v>
      </c>
      <c r="E69" s="746"/>
      <c r="F69" s="1813"/>
      <c r="G69" s="1063">
        <v>4.4000000000000003E-3</v>
      </c>
      <c r="H69" s="1066">
        <f t="shared" si="13"/>
        <v>4.4000000000000003E-3</v>
      </c>
      <c r="I69" s="3369">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3276</v>
      </c>
      <c r="B74" s="2133">
        <f>估价对象房地状况!C19</f>
        <v>0</v>
      </c>
      <c r="C74" s="2043"/>
      <c r="D74" s="1065">
        <f t="shared" si="17"/>
        <v>0</v>
      </c>
      <c r="E74" s="747"/>
      <c r="F74" s="1813"/>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3277</v>
      </c>
      <c r="B85" s="2133">
        <f>估价对象房地状况!G17</f>
        <v>0</v>
      </c>
      <c r="C85" s="2043"/>
      <c r="D85" s="1065">
        <f t="shared" si="22"/>
        <v>0</v>
      </c>
      <c r="E85" s="747"/>
      <c r="F85" s="1813"/>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3"/>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5" t="str">
        <f>估价对象房地状况!G19</f>
        <v>估价对象所在区域公共配套设施齐备情况</v>
      </c>
      <c r="C87" s="2043"/>
      <c r="D87" s="1065">
        <f t="shared" si="22"/>
        <v>0</v>
      </c>
      <c r="E87" s="747"/>
      <c r="F87" s="1813"/>
      <c r="G87" s="1063"/>
      <c r="H87" s="1066" t="str">
        <f t="shared" si="23"/>
        <v>——</v>
      </c>
      <c r="I87" s="3368">
        <v>0.06</v>
      </c>
      <c r="J87" s="1064">
        <f t="shared" si="24"/>
        <v>0</v>
      </c>
      <c r="K87" s="1064">
        <f t="shared" si="25"/>
        <v>0</v>
      </c>
      <c r="L87" s="1064">
        <v>0</v>
      </c>
      <c r="M87" s="1064">
        <f t="shared" si="26"/>
        <v>0</v>
      </c>
      <c r="N87" s="1064">
        <f t="shared" si="26"/>
        <v>0</v>
      </c>
    </row>
    <row r="88" spans="1:37" ht="25.5">
      <c r="A88" s="2129" t="s">
        <v>2058</v>
      </c>
      <c r="B88" s="1325" t="str">
        <f>估价对象房地状况!G20</f>
        <v>估价对象所在区域基础设施水平</v>
      </c>
      <c r="C88" s="2043"/>
      <c r="D88" s="1065">
        <f t="shared" si="22"/>
        <v>0</v>
      </c>
      <c r="E88" s="747"/>
      <c r="F88" s="1813"/>
      <c r="G88" s="1063"/>
      <c r="H88" s="1066" t="str">
        <f t="shared" si="23"/>
        <v>——</v>
      </c>
      <c r="I88" s="3368">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3"/>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3"/>
      <c r="G90" s="1063"/>
      <c r="H90" s="1066" t="str">
        <f t="shared" si="23"/>
        <v>——</v>
      </c>
      <c r="I90" s="3369">
        <v>0.05</v>
      </c>
      <c r="J90" s="1064">
        <f t="shared" si="24"/>
        <v>0</v>
      </c>
      <c r="K90" s="1064">
        <f t="shared" si="25"/>
        <v>0</v>
      </c>
      <c r="L90" s="1064">
        <v>0</v>
      </c>
      <c r="M90" s="1064">
        <f t="shared" si="26"/>
        <v>0</v>
      </c>
      <c r="N90" s="1064">
        <f t="shared" si="26"/>
        <v>0</v>
      </c>
    </row>
    <row r="91" spans="1:37" ht="15">
      <c r="A91" s="3378" t="s">
        <v>2613</v>
      </c>
      <c r="B91" s="3379">
        <f>1+E93</f>
        <v>1</v>
      </c>
      <c r="C91" s="3372"/>
      <c r="D91" s="3373"/>
      <c r="E91" s="1813"/>
      <c r="F91" s="1813"/>
      <c r="G91" s="3374"/>
      <c r="H91" s="3375"/>
      <c r="I91" s="3376"/>
      <c r="J91" s="3377"/>
      <c r="K91" s="3377"/>
      <c r="L91" s="3377"/>
      <c r="M91" s="3377"/>
      <c r="N91" s="3377"/>
    </row>
    <row r="92" spans="1:37" ht="24.75">
      <c r="A92" s="3380" t="s">
        <v>3278</v>
      </c>
      <c r="B92" s="3367"/>
      <c r="C92" s="3367" t="s">
        <v>3287</v>
      </c>
      <c r="D92" s="3367" t="s">
        <v>3288</v>
      </c>
      <c r="E92" s="3349" t="s">
        <v>3289</v>
      </c>
      <c r="F92" s="3382" t="s">
        <v>3290</v>
      </c>
      <c r="G92" s="3367" t="s">
        <v>3291</v>
      </c>
      <c r="H92" s="3389" t="s">
        <v>3294</v>
      </c>
      <c r="I92" s="3367" t="s">
        <v>3295</v>
      </c>
      <c r="J92" s="3390" t="s">
        <v>3296</v>
      </c>
      <c r="K92" s="3390" t="s">
        <v>3297</v>
      </c>
      <c r="L92" s="3390" t="s">
        <v>3298</v>
      </c>
      <c r="M92" s="3390" t="s">
        <v>3299</v>
      </c>
      <c r="N92" s="3390" t="s">
        <v>3300</v>
      </c>
    </row>
    <row r="93" spans="1:37" ht="24">
      <c r="A93" s="3370" t="s">
        <v>3279</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3280</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3276</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3281</v>
      </c>
      <c r="B96" s="3386" t="s">
        <v>3292</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3282</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3283</v>
      </c>
      <c r="B98" s="3387" t="s">
        <v>3293</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3284</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3285</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3286</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1" t="s">
        <v>3301</v>
      </c>
      <c r="B103" s="3771"/>
      <c r="C103" s="3771"/>
      <c r="D103" s="3771"/>
      <c r="E103" s="3771"/>
      <c r="F103" s="3771"/>
      <c r="G103" s="3771"/>
      <c r="H103" s="3771"/>
      <c r="I103" s="3771"/>
      <c r="J103" s="3771"/>
      <c r="K103" s="3391"/>
      <c r="L103" s="3391"/>
      <c r="M103" s="3391"/>
      <c r="N103" s="3391"/>
    </row>
    <row r="104" spans="1:14">
      <c r="A104" s="3772" t="s">
        <v>3302</v>
      </c>
      <c r="B104" s="3772" t="s">
        <v>3303</v>
      </c>
      <c r="C104" s="3392" t="s">
        <v>3304</v>
      </c>
      <c r="D104" s="3393"/>
      <c r="E104" s="3393"/>
      <c r="F104" s="3393"/>
      <c r="G104" s="3393"/>
      <c r="H104" s="3393"/>
      <c r="I104" s="3393"/>
      <c r="J104" s="3394"/>
      <c r="K104" s="3395"/>
      <c r="L104" s="3395"/>
      <c r="M104" s="3395"/>
      <c r="N104" s="3395"/>
    </row>
    <row r="105" spans="1:14">
      <c r="A105" s="3772"/>
      <c r="B105" s="3772"/>
      <c r="C105" s="3396" t="s">
        <v>3305</v>
      </c>
      <c r="D105" s="3396" t="s">
        <v>3306</v>
      </c>
      <c r="E105" s="3396" t="s">
        <v>3307</v>
      </c>
      <c r="F105" s="3396" t="s">
        <v>3308</v>
      </c>
      <c r="G105" s="3396" t="s">
        <v>3309</v>
      </c>
      <c r="H105" s="3396" t="s">
        <v>3310</v>
      </c>
      <c r="I105" s="3396" t="s">
        <v>3311</v>
      </c>
      <c r="J105" s="3396" t="s">
        <v>3312</v>
      </c>
      <c r="K105" s="3396" t="s">
        <v>3313</v>
      </c>
      <c r="L105" s="3396" t="s">
        <v>3314</v>
      </c>
      <c r="M105" s="3396" t="s">
        <v>3315</v>
      </c>
      <c r="N105" s="3396" t="s">
        <v>3316</v>
      </c>
    </row>
    <row r="106" spans="1:14">
      <c r="A106" s="3758" t="s">
        <v>3317</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9"/>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9"/>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9"/>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9"/>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9"/>
      <c r="B111" s="3396" t="s">
        <v>3275</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60"/>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1" t="s">
        <v>3318</v>
      </c>
      <c r="B113" s="3761"/>
      <c r="C113" s="3761"/>
      <c r="D113" s="3761"/>
      <c r="E113" s="3761"/>
      <c r="F113" s="3761"/>
      <c r="G113" s="3761"/>
      <c r="H113" s="3761"/>
      <c r="I113" s="3761"/>
      <c r="J113" s="3761"/>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3319</v>
      </c>
      <c r="B116" s="3417">
        <f>G3</f>
        <v>0.78</v>
      </c>
      <c r="C116" s="3401" t="s">
        <v>3320</v>
      </c>
      <c r="D116" s="3402">
        <f>SUMPRODUCT((A118:A122=F116)*(B117:M117=H116)*B118:M122)</f>
        <v>0.9304</v>
      </c>
      <c r="E116" s="1999" t="s">
        <v>3321</v>
      </c>
      <c r="F116" s="3403" t="str">
        <f>E2</f>
        <v>办公</v>
      </c>
      <c r="G116" s="1999" t="s">
        <v>3322</v>
      </c>
      <c r="H116" s="3403" t="str">
        <f>G2</f>
        <v>七级</v>
      </c>
      <c r="I116" s="1999"/>
      <c r="J116" s="3404"/>
      <c r="K116" s="3404"/>
      <c r="L116" s="3404"/>
      <c r="M116" s="3404"/>
      <c r="N116" s="3399"/>
    </row>
    <row r="117" spans="1:14">
      <c r="A117" s="3405"/>
      <c r="B117" s="3406" t="s">
        <v>3323</v>
      </c>
      <c r="C117" s="3406" t="s">
        <v>3324</v>
      </c>
      <c r="D117" s="3406" t="s">
        <v>3325</v>
      </c>
      <c r="E117" s="3407" t="s">
        <v>3326</v>
      </c>
      <c r="F117" s="3407" t="s">
        <v>3327</v>
      </c>
      <c r="G117" s="3407" t="s">
        <v>3328</v>
      </c>
      <c r="H117" s="3408" t="s">
        <v>3329</v>
      </c>
      <c r="I117" s="3408" t="s">
        <v>3330</v>
      </c>
      <c r="J117" s="3409" t="s">
        <v>3331</v>
      </c>
      <c r="K117" s="3409" t="s">
        <v>3332</v>
      </c>
      <c r="L117" s="3409" t="s">
        <v>3333</v>
      </c>
      <c r="M117" s="3410" t="s">
        <v>3334</v>
      </c>
      <c r="N117" s="3399"/>
    </row>
    <row r="118" spans="1:14">
      <c r="A118" s="3411" t="s">
        <v>3335</v>
      </c>
      <c r="B118" s="3389">
        <f>ROUND(0.9968-0.011*B116,4)</f>
        <v>0.98819999999999997</v>
      </c>
      <c r="C118" s="3389">
        <f>B118</f>
        <v>0.98819999999999997</v>
      </c>
      <c r="D118" s="3389">
        <f>ROUND(0.949-0.014*B116,4)</f>
        <v>0.93810000000000004</v>
      </c>
      <c r="E118" s="3389">
        <f>D118</f>
        <v>0.93810000000000004</v>
      </c>
      <c r="F118" s="3389">
        <f>E118</f>
        <v>0.93810000000000004</v>
      </c>
      <c r="G118" s="3389">
        <f>F118</f>
        <v>0.93810000000000004</v>
      </c>
      <c r="H118" s="3389">
        <f>G118</f>
        <v>0.93810000000000004</v>
      </c>
      <c r="I118" s="3389">
        <f>ROUND(0.8486-0.018*B116,4)</f>
        <v>0.83460000000000001</v>
      </c>
      <c r="J118" s="3389">
        <f t="shared" ref="J118:M122" si="35">I118</f>
        <v>0.83460000000000001</v>
      </c>
      <c r="K118" s="3389">
        <f t="shared" si="35"/>
        <v>0.83460000000000001</v>
      </c>
      <c r="L118" s="3389">
        <f t="shared" si="35"/>
        <v>0.83460000000000001</v>
      </c>
      <c r="M118" s="3412">
        <f t="shared" si="35"/>
        <v>0.83460000000000001</v>
      </c>
      <c r="N118" s="3399"/>
    </row>
    <row r="119" spans="1:14">
      <c r="A119" s="3411" t="s">
        <v>3336</v>
      </c>
      <c r="B119" s="3389">
        <f>ROUND(0.993-0.0112*B116,4)</f>
        <v>0.98429999999999995</v>
      </c>
      <c r="C119" s="3389">
        <f>B119</f>
        <v>0.98429999999999995</v>
      </c>
      <c r="D119" s="3389">
        <f>ROUND(0.9415-0.0142*B116,4)</f>
        <v>0.9304</v>
      </c>
      <c r="E119" s="3389">
        <f t="shared" ref="E119:H120" si="36">D119</f>
        <v>0.9304</v>
      </c>
      <c r="F119" s="3389">
        <f t="shared" si="36"/>
        <v>0.9304</v>
      </c>
      <c r="G119" s="3389">
        <f t="shared" si="36"/>
        <v>0.9304</v>
      </c>
      <c r="H119" s="3389">
        <f t="shared" si="36"/>
        <v>0.9304</v>
      </c>
      <c r="I119" s="3389">
        <f>ROUND(0.838-0.0182*B116,4)</f>
        <v>0.82379999999999998</v>
      </c>
      <c r="J119" s="3389">
        <f t="shared" si="35"/>
        <v>0.82379999999999998</v>
      </c>
      <c r="K119" s="3389">
        <f t="shared" si="35"/>
        <v>0.82379999999999998</v>
      </c>
      <c r="L119" s="3389">
        <f t="shared" si="35"/>
        <v>0.82379999999999998</v>
      </c>
      <c r="M119" s="3412">
        <f t="shared" si="35"/>
        <v>0.82379999999999998</v>
      </c>
      <c r="N119" s="3399"/>
    </row>
    <row r="120" spans="1:14">
      <c r="A120" s="3411" t="s">
        <v>3337</v>
      </c>
      <c r="B120" s="3389">
        <f>ROUND(0.9448-0.0115*B116,4)</f>
        <v>0.93579999999999997</v>
      </c>
      <c r="C120" s="3389">
        <f>B120</f>
        <v>0.93579999999999997</v>
      </c>
      <c r="D120" s="3389">
        <f>ROUND(0.937-0.0145*B116,4)</f>
        <v>0.92569999999999997</v>
      </c>
      <c r="E120" s="3389">
        <f t="shared" si="36"/>
        <v>0.92569999999999997</v>
      </c>
      <c r="F120" s="3389">
        <f t="shared" si="36"/>
        <v>0.92569999999999997</v>
      </c>
      <c r="G120" s="3389">
        <f t="shared" si="36"/>
        <v>0.92569999999999997</v>
      </c>
      <c r="H120" s="3389">
        <f t="shared" si="36"/>
        <v>0.92569999999999997</v>
      </c>
      <c r="I120" s="3389">
        <f>ROUND(0.7965-0.0185*B116,4)</f>
        <v>0.78210000000000002</v>
      </c>
      <c r="J120" s="3389">
        <f t="shared" si="35"/>
        <v>0.78210000000000002</v>
      </c>
      <c r="K120" s="3389">
        <f t="shared" si="35"/>
        <v>0.78210000000000002</v>
      </c>
      <c r="L120" s="3389">
        <f t="shared" si="35"/>
        <v>0.78210000000000002</v>
      </c>
      <c r="M120" s="3412">
        <f t="shared" si="35"/>
        <v>0.78210000000000002</v>
      </c>
      <c r="N120" s="3399"/>
    </row>
    <row r="121" spans="1:14" ht="13.5" thickBot="1">
      <c r="A121" s="3413" t="s">
        <v>3338</v>
      </c>
      <c r="B121" s="3414">
        <f>ROUND(0.7836-0.012*B116,4)</f>
        <v>0.7742</v>
      </c>
      <c r="C121" s="3414">
        <f>B121</f>
        <v>0.7742</v>
      </c>
      <c r="D121" s="3414">
        <f>ROUND(0.753-0.015*B116,4)</f>
        <v>0.74129999999999996</v>
      </c>
      <c r="E121" s="3414">
        <f>D121</f>
        <v>0.74129999999999996</v>
      </c>
      <c r="F121" s="3414">
        <f>E121</f>
        <v>0.74129999999999996</v>
      </c>
      <c r="G121" s="3414">
        <f>ROUND(0.6612-0.018*B116,4)</f>
        <v>0.6472</v>
      </c>
      <c r="H121" s="3414">
        <f>G121</f>
        <v>0.6472</v>
      </c>
      <c r="I121" s="3414">
        <f>ROUND(0.5905-0.019*B116,4)</f>
        <v>0.57569999999999999</v>
      </c>
      <c r="J121" s="3414">
        <f t="shared" si="35"/>
        <v>0.57569999999999999</v>
      </c>
      <c r="K121" s="3414">
        <f t="shared" si="35"/>
        <v>0.57569999999999999</v>
      </c>
      <c r="L121" s="3414">
        <f t="shared" si="35"/>
        <v>0.57569999999999999</v>
      </c>
      <c r="M121" s="3415">
        <f t="shared" si="35"/>
        <v>0.57569999999999999</v>
      </c>
      <c r="N121" s="3399"/>
    </row>
    <row r="122" spans="1:14">
      <c r="A122" s="3416" t="s">
        <v>2613</v>
      </c>
      <c r="B122" s="3389">
        <f>ROUND(0.9404-0.0106*B116,4)</f>
        <v>0.93210000000000004</v>
      </c>
      <c r="C122" s="3389">
        <f>B122</f>
        <v>0.93210000000000004</v>
      </c>
      <c r="D122" s="3389">
        <f>ROUND(0.8955-0.0135*B116,4)</f>
        <v>0.88500000000000001</v>
      </c>
      <c r="E122" s="3389">
        <f t="shared" ref="E122:H122" si="37">D122</f>
        <v>0.88500000000000001</v>
      </c>
      <c r="F122" s="3389">
        <f t="shared" si="37"/>
        <v>0.88500000000000001</v>
      </c>
      <c r="G122" s="3389">
        <f t="shared" si="37"/>
        <v>0.88500000000000001</v>
      </c>
      <c r="H122" s="3389">
        <f t="shared" si="37"/>
        <v>0.88500000000000001</v>
      </c>
      <c r="I122" s="3389">
        <f>ROUND(0.7632-0.0166*B116,4)</f>
        <v>0.75029999999999997</v>
      </c>
      <c r="J122" s="3389">
        <f t="shared" si="35"/>
        <v>0.75029999999999997</v>
      </c>
      <c r="K122" s="3389">
        <f t="shared" si="35"/>
        <v>0.75029999999999997</v>
      </c>
      <c r="L122" s="3389">
        <f t="shared" si="35"/>
        <v>0.75029999999999997</v>
      </c>
      <c r="M122" s="3412">
        <f t="shared" si="35"/>
        <v>0.75029999999999997</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4" t="s">
        <v>2608</v>
      </c>
      <c r="B20" s="3777" t="s">
        <v>2629</v>
      </c>
      <c r="C20" s="3102" t="s">
        <v>2440</v>
      </c>
      <c r="D20" s="3103"/>
      <c r="E20" s="3104">
        <v>1</v>
      </c>
      <c r="F20" s="3105" t="s">
        <v>2441</v>
      </c>
      <c r="G20" s="3105"/>
    </row>
    <row r="21" spans="1:13" ht="19.5" customHeight="1">
      <c r="A21" s="3785"/>
      <c r="B21" s="3778"/>
      <c r="C21" s="3106" t="s">
        <v>2442</v>
      </c>
      <c r="D21" s="3107"/>
      <c r="E21" s="3108">
        <v>1</v>
      </c>
      <c r="F21" s="3105" t="s">
        <v>2443</v>
      </c>
      <c r="G21" s="3105"/>
    </row>
    <row r="22" spans="1:13" ht="19.5" customHeight="1">
      <c r="A22" s="3785"/>
      <c r="B22" s="3778"/>
      <c r="C22" s="3106" t="s">
        <v>2444</v>
      </c>
      <c r="D22" s="3107"/>
      <c r="E22" s="3108">
        <v>0.9</v>
      </c>
      <c r="F22" s="3105" t="s">
        <v>2445</v>
      </c>
      <c r="G22" s="3105"/>
    </row>
    <row r="23" spans="1:13" ht="19.5" customHeight="1">
      <c r="A23" s="3785"/>
      <c r="B23" s="3778"/>
      <c r="C23" s="3106" t="s">
        <v>2446</v>
      </c>
      <c r="D23" s="3107"/>
      <c r="E23" s="3108">
        <v>0.9</v>
      </c>
      <c r="F23" s="3105" t="s">
        <v>2447</v>
      </c>
      <c r="G23" s="3105"/>
    </row>
    <row r="24" spans="1:13" ht="19.5" customHeight="1">
      <c r="A24" s="3785"/>
      <c r="B24" s="3778"/>
      <c r="C24" s="3106" t="s">
        <v>2448</v>
      </c>
      <c r="D24" s="3107"/>
      <c r="E24" s="3108">
        <v>0.8</v>
      </c>
      <c r="F24" s="3105" t="s">
        <v>2449</v>
      </c>
      <c r="G24" s="3105"/>
    </row>
    <row r="25" spans="1:13" ht="19.5" customHeight="1" thickBot="1">
      <c r="A25" s="3786"/>
      <c r="B25" s="3779"/>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80" t="s">
        <v>2632</v>
      </c>
      <c r="B27" s="3777" t="s">
        <v>2613</v>
      </c>
      <c r="C27" s="3102" t="s">
        <v>2453</v>
      </c>
      <c r="D27" s="3103"/>
      <c r="E27" s="3104">
        <v>1</v>
      </c>
      <c r="F27" s="3105" t="s">
        <v>2454</v>
      </c>
      <c r="G27" s="3105"/>
    </row>
    <row r="28" spans="1:13" ht="19.5" customHeight="1">
      <c r="A28" s="3781"/>
      <c r="B28" s="3778"/>
      <c r="C28" s="3106" t="s">
        <v>2455</v>
      </c>
      <c r="D28" s="3107"/>
      <c r="E28" s="3108">
        <v>1</v>
      </c>
      <c r="F28" s="3105" t="s">
        <v>2456</v>
      </c>
      <c r="G28" s="3105"/>
    </row>
    <row r="29" spans="1:13" ht="19.5" customHeight="1">
      <c r="A29" s="3781"/>
      <c r="B29" s="3778"/>
      <c r="C29" s="3106" t="s">
        <v>2457</v>
      </c>
      <c r="D29" s="3107"/>
      <c r="E29" s="3108">
        <v>0.8</v>
      </c>
      <c r="F29" s="3105" t="s">
        <v>2458</v>
      </c>
      <c r="G29" s="3105"/>
    </row>
    <row r="30" spans="1:13" ht="19.5" customHeight="1">
      <c r="A30" s="3781"/>
      <c r="B30" s="3778"/>
      <c r="C30" s="3106" t="s">
        <v>2459</v>
      </c>
      <c r="D30" s="3107"/>
      <c r="E30" s="3108">
        <v>0.8</v>
      </c>
      <c r="F30" s="3105" t="s">
        <v>2460</v>
      </c>
      <c r="G30" s="3105"/>
    </row>
    <row r="31" spans="1:13" ht="19.5" customHeight="1">
      <c r="A31" s="3781"/>
      <c r="B31" s="3778"/>
      <c r="C31" s="3106" t="s">
        <v>2461</v>
      </c>
      <c r="D31" s="3107"/>
      <c r="E31" s="3108">
        <v>0.8</v>
      </c>
      <c r="F31" s="3105" t="s">
        <v>2462</v>
      </c>
      <c r="G31" s="3105"/>
    </row>
    <row r="32" spans="1:13" ht="19.5" customHeight="1">
      <c r="A32" s="3781"/>
      <c r="B32" s="3778"/>
      <c r="C32" s="3106" t="s">
        <v>2463</v>
      </c>
      <c r="D32" s="3107"/>
      <c r="E32" s="3108">
        <v>0.7</v>
      </c>
      <c r="F32" s="3105" t="s">
        <v>2464</v>
      </c>
      <c r="G32" s="3105"/>
    </row>
    <row r="33" spans="1:7" ht="19.5" customHeight="1">
      <c r="A33" s="3781"/>
      <c r="B33" s="3778"/>
      <c r="C33" s="3106" t="s">
        <v>2465</v>
      </c>
      <c r="D33" s="3107"/>
      <c r="E33" s="3108">
        <v>0.8</v>
      </c>
      <c r="F33" s="3105" t="s">
        <v>2466</v>
      </c>
      <c r="G33" s="3105"/>
    </row>
    <row r="34" spans="1:7" ht="19.5" customHeight="1">
      <c r="A34" s="3781"/>
      <c r="B34" s="3778"/>
      <c r="C34" s="3106" t="s">
        <v>2467</v>
      </c>
      <c r="D34" s="3107"/>
      <c r="E34" s="3108">
        <v>0.6</v>
      </c>
      <c r="F34" s="3105" t="s">
        <v>2468</v>
      </c>
      <c r="G34" s="3105"/>
    </row>
    <row r="35" spans="1:7" ht="19.5" customHeight="1">
      <c r="A35" s="3781"/>
      <c r="B35" s="3778"/>
      <c r="C35" s="3106" t="s">
        <v>2469</v>
      </c>
      <c r="D35" s="3107"/>
      <c r="E35" s="3108">
        <v>0.2</v>
      </c>
      <c r="F35" s="3105" t="s">
        <v>2470</v>
      </c>
      <c r="G35" s="3105"/>
    </row>
    <row r="36" spans="1:7" ht="19.5" customHeight="1">
      <c r="A36" s="3781"/>
      <c r="B36" s="3778"/>
      <c r="C36" s="3106" t="s">
        <v>2471</v>
      </c>
      <c r="D36" s="3107"/>
      <c r="E36" s="3108">
        <v>0.2</v>
      </c>
      <c r="F36" s="3105" t="s">
        <v>2472</v>
      </c>
      <c r="G36" s="3105"/>
    </row>
    <row r="37" spans="1:7" ht="19.5" customHeight="1">
      <c r="A37" s="3781"/>
      <c r="B37" s="3783" t="s">
        <v>2633</v>
      </c>
      <c r="C37" s="3106" t="s">
        <v>2473</v>
      </c>
      <c r="D37" s="3107"/>
      <c r="E37" s="3108">
        <v>0.6</v>
      </c>
      <c r="F37" s="3105" t="s">
        <v>2474</v>
      </c>
      <c r="G37" s="3105"/>
    </row>
    <row r="38" spans="1:7" ht="19.5" customHeight="1">
      <c r="A38" s="3781"/>
      <c r="B38" s="3778"/>
      <c r="C38" s="3106" t="s">
        <v>2475</v>
      </c>
      <c r="D38" s="3107"/>
      <c r="E38" s="3108">
        <v>0.6</v>
      </c>
      <c r="F38" s="3105" t="s">
        <v>2476</v>
      </c>
      <c r="G38" s="3105"/>
    </row>
    <row r="39" spans="1:7" ht="19.5" customHeight="1" thickBot="1">
      <c r="A39" s="3782"/>
      <c r="B39" s="3779"/>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4" t="s">
        <v>2611</v>
      </c>
      <c r="B41" s="3777" t="s">
        <v>2635</v>
      </c>
      <c r="C41" s="3102" t="s">
        <v>2480</v>
      </c>
      <c r="D41" s="3103"/>
      <c r="E41" s="3104">
        <v>1</v>
      </c>
      <c r="F41" s="3105" t="s">
        <v>2481</v>
      </c>
      <c r="G41" s="3105"/>
    </row>
    <row r="42" spans="1:7" ht="19.5" customHeight="1">
      <c r="A42" s="3785"/>
      <c r="B42" s="3778"/>
      <c r="C42" s="3106" t="s">
        <v>2482</v>
      </c>
      <c r="D42" s="3107"/>
      <c r="E42" s="3108">
        <v>1</v>
      </c>
      <c r="F42" s="3105" t="s">
        <v>2483</v>
      </c>
      <c r="G42" s="3105"/>
    </row>
    <row r="43" spans="1:7" ht="19.5" customHeight="1">
      <c r="A43" s="3785"/>
      <c r="B43" s="3787"/>
      <c r="C43" s="3106" t="s">
        <v>2484</v>
      </c>
      <c r="D43" s="3107"/>
      <c r="E43" s="3108">
        <v>1.5</v>
      </c>
      <c r="F43" s="3105" t="s">
        <v>2485</v>
      </c>
      <c r="G43" s="3105"/>
    </row>
    <row r="44" spans="1:7" ht="19.5" customHeight="1">
      <c r="A44" s="3785"/>
      <c r="B44" s="3117" t="s">
        <v>2636</v>
      </c>
      <c r="C44" s="3106" t="s">
        <v>2637</v>
      </c>
      <c r="D44" s="3107"/>
      <c r="E44" s="3108">
        <v>2</v>
      </c>
      <c r="F44" s="3105" t="s">
        <v>2486</v>
      </c>
      <c r="G44" s="3105"/>
    </row>
    <row r="45" spans="1:7" ht="19.5" customHeight="1">
      <c r="A45" s="3785"/>
      <c r="B45" s="3783" t="s">
        <v>2638</v>
      </c>
      <c r="C45" s="3106" t="s">
        <v>2487</v>
      </c>
      <c r="D45" s="3107"/>
      <c r="E45" s="3108">
        <v>1</v>
      </c>
      <c r="F45" s="3105" t="s">
        <v>2488</v>
      </c>
      <c r="G45" s="3105"/>
    </row>
    <row r="46" spans="1:7" ht="19.5" customHeight="1">
      <c r="A46" s="3785"/>
      <c r="B46" s="3778"/>
      <c r="C46" s="3106" t="s">
        <v>2489</v>
      </c>
      <c r="D46" s="3107"/>
      <c r="E46" s="3108">
        <v>1</v>
      </c>
      <c r="F46" s="3105" t="s">
        <v>2490</v>
      </c>
      <c r="G46" s="3105"/>
    </row>
    <row r="47" spans="1:7" ht="19.5" customHeight="1">
      <c r="A47" s="3785"/>
      <c r="B47" s="3778"/>
      <c r="C47" s="3106" t="s">
        <v>2491</v>
      </c>
      <c r="D47" s="3107"/>
      <c r="E47" s="3108">
        <v>1</v>
      </c>
      <c r="F47" s="3105" t="s">
        <v>2492</v>
      </c>
      <c r="G47" s="3105"/>
    </row>
    <row r="48" spans="1:7" ht="19.5" customHeight="1">
      <c r="A48" s="3785"/>
      <c r="B48" s="3778"/>
      <c r="C48" s="3106" t="s">
        <v>2493</v>
      </c>
      <c r="D48" s="3107"/>
      <c r="E48" s="3108">
        <v>1</v>
      </c>
      <c r="F48" s="3105" t="s">
        <v>2494</v>
      </c>
      <c r="G48" s="3105"/>
    </row>
    <row r="49" spans="1:7" ht="19.5" customHeight="1">
      <c r="A49" s="3785"/>
      <c r="B49" s="3778"/>
      <c r="C49" s="3106" t="s">
        <v>2495</v>
      </c>
      <c r="D49" s="3107"/>
      <c r="E49" s="3108">
        <v>1</v>
      </c>
      <c r="F49" s="3105" t="s">
        <v>2496</v>
      </c>
      <c r="G49" s="3105"/>
    </row>
    <row r="50" spans="1:7" ht="19.5" customHeight="1">
      <c r="A50" s="3785"/>
      <c r="B50" s="3778"/>
      <c r="C50" s="3106" t="s">
        <v>2497</v>
      </c>
      <c r="D50" s="3107"/>
      <c r="E50" s="3108">
        <v>1</v>
      </c>
      <c r="F50" s="3105" t="s">
        <v>2498</v>
      </c>
      <c r="G50" s="3105"/>
    </row>
    <row r="51" spans="1:7" ht="19.5" customHeight="1" thickBot="1">
      <c r="A51" s="3786"/>
      <c r="B51" s="3779"/>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83" t="s">
        <v>2652</v>
      </c>
      <c r="C73" s="3091" t="s">
        <v>2653</v>
      </c>
      <c r="D73" s="3091" t="s">
        <v>2654</v>
      </c>
      <c r="E73" s="3117">
        <v>0.2</v>
      </c>
      <c r="F73" s="3117">
        <v>25</v>
      </c>
    </row>
    <row r="74" spans="1:7" ht="24">
      <c r="A74" s="3117">
        <v>2</v>
      </c>
      <c r="B74" s="3778"/>
      <c r="C74" s="3091" t="s">
        <v>2655</v>
      </c>
      <c r="D74" s="3091" t="s">
        <v>2656</v>
      </c>
      <c r="E74" s="3117">
        <v>0.2</v>
      </c>
      <c r="F74" s="3117">
        <v>25</v>
      </c>
    </row>
    <row r="75" spans="1:7" ht="24">
      <c r="A75" s="3117">
        <v>3</v>
      </c>
      <c r="B75" s="3778"/>
      <c r="C75" s="3091" t="s">
        <v>2657</v>
      </c>
      <c r="D75" s="3091" t="s">
        <v>2658</v>
      </c>
      <c r="E75" s="3117">
        <v>0.2</v>
      </c>
      <c r="F75" s="3117">
        <v>25</v>
      </c>
    </row>
    <row r="76" spans="1:7" ht="13.5">
      <c r="A76" s="3117">
        <v>4</v>
      </c>
      <c r="B76" s="3778"/>
      <c r="C76" s="3091" t="s">
        <v>2659</v>
      </c>
      <c r="D76" s="3091" t="s">
        <v>2660</v>
      </c>
      <c r="E76" s="3117">
        <v>0.15</v>
      </c>
      <c r="F76" s="3117">
        <v>20</v>
      </c>
    </row>
    <row r="77" spans="1:7" ht="24">
      <c r="A77" s="3117">
        <v>5</v>
      </c>
      <c r="B77" s="3778"/>
      <c r="C77" s="3091" t="s">
        <v>2661</v>
      </c>
      <c r="D77" s="3091" t="s">
        <v>2662</v>
      </c>
      <c r="E77" s="3117">
        <v>0.15</v>
      </c>
      <c r="F77" s="3117">
        <v>20</v>
      </c>
    </row>
    <row r="78" spans="1:7" ht="24">
      <c r="A78" s="3117">
        <v>6</v>
      </c>
      <c r="B78" s="3778"/>
      <c r="C78" s="3091" t="s">
        <v>2663</v>
      </c>
      <c r="D78" s="3091" t="s">
        <v>2664</v>
      </c>
      <c r="E78" s="3117">
        <v>0.15</v>
      </c>
      <c r="F78" s="3117">
        <v>20</v>
      </c>
    </row>
    <row r="79" spans="1:7" ht="24">
      <c r="A79" s="3117">
        <v>7</v>
      </c>
      <c r="B79" s="3778"/>
      <c r="C79" s="3091" t="s">
        <v>2665</v>
      </c>
      <c r="D79" s="3091" t="s">
        <v>2666</v>
      </c>
      <c r="E79" s="3117">
        <v>0.15</v>
      </c>
      <c r="F79" s="3117">
        <v>20</v>
      </c>
    </row>
    <row r="80" spans="1:7" ht="24">
      <c r="A80" s="3117">
        <v>8</v>
      </c>
      <c r="B80" s="3778"/>
      <c r="C80" s="3091" t="s">
        <v>2667</v>
      </c>
      <c r="D80" s="3091" t="s">
        <v>2668</v>
      </c>
      <c r="E80" s="3117">
        <v>0.1</v>
      </c>
      <c r="F80" s="3117">
        <v>15</v>
      </c>
    </row>
    <row r="81" spans="1:6" ht="24">
      <c r="A81" s="3117">
        <v>9</v>
      </c>
      <c r="B81" s="3778"/>
      <c r="C81" s="3091" t="s">
        <v>2669</v>
      </c>
      <c r="D81" s="3091" t="s">
        <v>2670</v>
      </c>
      <c r="E81" s="3117">
        <v>0.1</v>
      </c>
      <c r="F81" s="3117">
        <v>15</v>
      </c>
    </row>
    <row r="82" spans="1:6" ht="24">
      <c r="A82" s="3117">
        <v>10</v>
      </c>
      <c r="B82" s="3778"/>
      <c r="C82" s="3091" t="s">
        <v>2671</v>
      </c>
      <c r="D82" s="3091" t="s">
        <v>2672</v>
      </c>
      <c r="E82" s="3117">
        <v>0.1</v>
      </c>
      <c r="F82" s="3117">
        <v>15</v>
      </c>
    </row>
    <row r="83" spans="1:6" ht="24">
      <c r="A83" s="3117">
        <v>11</v>
      </c>
      <c r="B83" s="3778"/>
      <c r="C83" s="3091" t="s">
        <v>2673</v>
      </c>
      <c r="D83" s="3091" t="s">
        <v>2674</v>
      </c>
      <c r="E83" s="3117">
        <v>0.1</v>
      </c>
      <c r="F83" s="3117">
        <v>15</v>
      </c>
    </row>
    <row r="84" spans="1:6" ht="24">
      <c r="A84" s="3117">
        <v>12</v>
      </c>
      <c r="B84" s="3778"/>
      <c r="C84" s="3091" t="s">
        <v>2675</v>
      </c>
      <c r="D84" s="3091" t="s">
        <v>2676</v>
      </c>
      <c r="E84" s="3117">
        <v>0.1</v>
      </c>
      <c r="F84" s="3117">
        <v>15</v>
      </c>
    </row>
    <row r="85" spans="1:6" ht="13.5">
      <c r="A85" s="3117">
        <v>13</v>
      </c>
      <c r="B85" s="3778"/>
      <c r="C85" s="3091" t="s">
        <v>2677</v>
      </c>
      <c r="D85" s="3091" t="s">
        <v>2678</v>
      </c>
      <c r="E85" s="3117">
        <v>0.1</v>
      </c>
      <c r="F85" s="3117">
        <v>15</v>
      </c>
    </row>
    <row r="86" spans="1:6" ht="13.5">
      <c r="A86" s="3117">
        <v>14</v>
      </c>
      <c r="B86" s="3778"/>
      <c r="C86" s="3091" t="s">
        <v>2679</v>
      </c>
      <c r="D86" s="3091" t="s">
        <v>2680</v>
      </c>
      <c r="E86" s="3117">
        <v>0.1</v>
      </c>
      <c r="F86" s="3117">
        <v>15</v>
      </c>
    </row>
    <row r="87" spans="1:6" ht="13.5">
      <c r="A87" s="3117">
        <v>15</v>
      </c>
      <c r="B87" s="3778"/>
      <c r="C87" s="3091" t="s">
        <v>2681</v>
      </c>
      <c r="D87" s="3091" t="s">
        <v>2682</v>
      </c>
      <c r="E87" s="3117">
        <v>0.1</v>
      </c>
      <c r="F87" s="3117">
        <v>15</v>
      </c>
    </row>
    <row r="88" spans="1:6" ht="24">
      <c r="A88" s="3117">
        <v>16</v>
      </c>
      <c r="B88" s="3778"/>
      <c r="C88" s="3091" t="s">
        <v>2683</v>
      </c>
      <c r="D88" s="3091" t="s">
        <v>2684</v>
      </c>
      <c r="E88" s="3117">
        <v>0.1</v>
      </c>
      <c r="F88" s="3117">
        <v>15</v>
      </c>
    </row>
    <row r="89" spans="1:6" ht="24">
      <c r="A89" s="3117">
        <v>17</v>
      </c>
      <c r="B89" s="3787"/>
      <c r="C89" s="3091" t="s">
        <v>2685</v>
      </c>
      <c r="D89" s="3091" t="s">
        <v>2686</v>
      </c>
      <c r="E89" s="3117">
        <v>0.1</v>
      </c>
      <c r="F89" s="3117">
        <v>15</v>
      </c>
    </row>
    <row r="90" spans="1:6" ht="13.5">
      <c r="A90" s="3117">
        <v>18</v>
      </c>
      <c r="B90" s="3783" t="s">
        <v>2687</v>
      </c>
      <c r="C90" s="3091" t="s">
        <v>2688</v>
      </c>
      <c r="D90" s="3091" t="s">
        <v>2689</v>
      </c>
      <c r="E90" s="3117">
        <v>0.2</v>
      </c>
      <c r="F90" s="3117">
        <v>25</v>
      </c>
    </row>
    <row r="91" spans="1:6" ht="24">
      <c r="A91" s="3117">
        <v>19</v>
      </c>
      <c r="B91" s="3778"/>
      <c r="C91" s="3091" t="s">
        <v>2690</v>
      </c>
      <c r="D91" s="3091" t="s">
        <v>2691</v>
      </c>
      <c r="E91" s="3117">
        <v>0.2</v>
      </c>
      <c r="F91" s="3117">
        <v>25</v>
      </c>
    </row>
    <row r="92" spans="1:6" ht="13.5">
      <c r="A92" s="3117">
        <v>20</v>
      </c>
      <c r="B92" s="3778"/>
      <c r="C92" s="3091" t="s">
        <v>2692</v>
      </c>
      <c r="D92" s="3091" t="s">
        <v>2693</v>
      </c>
      <c r="E92" s="3117">
        <v>0.15</v>
      </c>
      <c r="F92" s="3117">
        <v>20</v>
      </c>
    </row>
    <row r="93" spans="1:6" ht="13.5">
      <c r="A93" s="3117">
        <v>21</v>
      </c>
      <c r="B93" s="3778"/>
      <c r="C93" s="3091" t="s">
        <v>2694</v>
      </c>
      <c r="D93" s="3091" t="s">
        <v>2695</v>
      </c>
      <c r="E93" s="3117">
        <v>0.15</v>
      </c>
      <c r="F93" s="3117">
        <v>20</v>
      </c>
    </row>
    <row r="94" spans="1:6" ht="13.5">
      <c r="A94" s="3117">
        <v>22</v>
      </c>
      <c r="B94" s="3778"/>
      <c r="C94" s="3091" t="s">
        <v>2696</v>
      </c>
      <c r="D94" s="3091" t="s">
        <v>2697</v>
      </c>
      <c r="E94" s="3117">
        <v>0.15</v>
      </c>
      <c r="F94" s="3117">
        <v>20</v>
      </c>
    </row>
    <row r="95" spans="1:6" ht="36">
      <c r="A95" s="3117">
        <v>23</v>
      </c>
      <c r="B95" s="3778"/>
      <c r="C95" s="3091" t="s">
        <v>2698</v>
      </c>
      <c r="D95" s="3091" t="s">
        <v>2699</v>
      </c>
      <c r="E95" s="3117">
        <v>0.15</v>
      </c>
      <c r="F95" s="3117">
        <v>20</v>
      </c>
    </row>
    <row r="96" spans="1:6" ht="13.5">
      <c r="A96" s="3117">
        <v>24</v>
      </c>
      <c r="B96" s="3778"/>
      <c r="C96" s="3091" t="s">
        <v>2700</v>
      </c>
      <c r="D96" s="3091" t="s">
        <v>2701</v>
      </c>
      <c r="E96" s="3117">
        <v>0.1</v>
      </c>
      <c r="F96" s="3117">
        <v>15</v>
      </c>
    </row>
    <row r="97" spans="1:6" ht="13.5">
      <c r="A97" s="3117">
        <v>25</v>
      </c>
      <c r="B97" s="3778"/>
      <c r="C97" s="3091" t="s">
        <v>2702</v>
      </c>
      <c r="D97" s="3091" t="s">
        <v>2703</v>
      </c>
      <c r="E97" s="3117">
        <v>0.1</v>
      </c>
      <c r="F97" s="3117">
        <v>15</v>
      </c>
    </row>
    <row r="98" spans="1:6" ht="24">
      <c r="A98" s="3117">
        <v>26</v>
      </c>
      <c r="B98" s="3778"/>
      <c r="C98" s="3091" t="s">
        <v>2704</v>
      </c>
      <c r="D98" s="3091" t="s">
        <v>2705</v>
      </c>
      <c r="E98" s="3117">
        <v>0.1</v>
      </c>
      <c r="F98" s="3117">
        <v>15</v>
      </c>
    </row>
    <row r="99" spans="1:6" ht="24">
      <c r="A99" s="3117">
        <v>27</v>
      </c>
      <c r="B99" s="3778"/>
      <c r="C99" s="3091" t="s">
        <v>2706</v>
      </c>
      <c r="D99" s="3091" t="s">
        <v>2707</v>
      </c>
      <c r="E99" s="3117">
        <v>0.1</v>
      </c>
      <c r="F99" s="3117">
        <v>15</v>
      </c>
    </row>
    <row r="100" spans="1:6" ht="13.5">
      <c r="A100" s="3117">
        <v>28</v>
      </c>
      <c r="B100" s="3778"/>
      <c r="C100" s="3091" t="s">
        <v>2708</v>
      </c>
      <c r="D100" s="3091" t="s">
        <v>2709</v>
      </c>
      <c r="E100" s="3117">
        <v>0.1</v>
      </c>
      <c r="F100" s="3117">
        <v>15</v>
      </c>
    </row>
    <row r="101" spans="1:6" ht="13.5">
      <c r="A101" s="3117">
        <v>29</v>
      </c>
      <c r="B101" s="3778"/>
      <c r="C101" s="3091" t="s">
        <v>2710</v>
      </c>
      <c r="D101" s="3091" t="s">
        <v>2711</v>
      </c>
      <c r="E101" s="3117">
        <v>0.1</v>
      </c>
      <c r="F101" s="3117">
        <v>15</v>
      </c>
    </row>
    <row r="102" spans="1:6" ht="13.5">
      <c r="A102" s="3117">
        <v>30</v>
      </c>
      <c r="B102" s="3778"/>
      <c r="C102" s="3091" t="s">
        <v>2712</v>
      </c>
      <c r="D102" s="3091" t="s">
        <v>2713</v>
      </c>
      <c r="E102" s="3117">
        <v>0.1</v>
      </c>
      <c r="F102" s="3117">
        <v>15</v>
      </c>
    </row>
    <row r="103" spans="1:6" ht="24">
      <c r="A103" s="3117">
        <v>31</v>
      </c>
      <c r="B103" s="3778"/>
      <c r="C103" s="3091" t="s">
        <v>2714</v>
      </c>
      <c r="D103" s="3091" t="s">
        <v>2715</v>
      </c>
      <c r="E103" s="3117">
        <v>0.1</v>
      </c>
      <c r="F103" s="3117">
        <v>15</v>
      </c>
    </row>
    <row r="104" spans="1:6" ht="24">
      <c r="A104" s="3117">
        <v>32</v>
      </c>
      <c r="B104" s="3778"/>
      <c r="C104" s="3091" t="s">
        <v>2716</v>
      </c>
      <c r="D104" s="3091" t="s">
        <v>2717</v>
      </c>
      <c r="E104" s="3117">
        <v>0.1</v>
      </c>
      <c r="F104" s="3117">
        <v>15</v>
      </c>
    </row>
    <row r="105" spans="1:6" ht="24">
      <c r="A105" s="3117">
        <v>33</v>
      </c>
      <c r="B105" s="3778"/>
      <c r="C105" s="3091" t="s">
        <v>2718</v>
      </c>
      <c r="D105" s="3091" t="s">
        <v>2719</v>
      </c>
      <c r="E105" s="3117">
        <v>0.1</v>
      </c>
      <c r="F105" s="3117">
        <v>15</v>
      </c>
    </row>
    <row r="106" spans="1:6" ht="24">
      <c r="A106" s="3117">
        <v>34</v>
      </c>
      <c r="B106" s="3787"/>
      <c r="C106" s="3091" t="s">
        <v>2720</v>
      </c>
      <c r="D106" s="3091" t="s">
        <v>2721</v>
      </c>
      <c r="E106" s="3117">
        <v>0.1</v>
      </c>
      <c r="F106" s="3117">
        <v>15</v>
      </c>
    </row>
    <row r="107" spans="1:6" ht="24">
      <c r="A107" s="3117">
        <v>35</v>
      </c>
      <c r="B107" s="3783" t="s">
        <v>2722</v>
      </c>
      <c r="C107" s="3117" t="s">
        <v>2723</v>
      </c>
      <c r="D107" s="3091" t="s">
        <v>2724</v>
      </c>
      <c r="E107" s="3117">
        <v>0.15</v>
      </c>
      <c r="F107" s="3117">
        <v>20</v>
      </c>
    </row>
    <row r="108" spans="1:6" ht="13.5">
      <c r="A108" s="3117">
        <v>36</v>
      </c>
      <c r="B108" s="3778"/>
      <c r="C108" s="3117" t="s">
        <v>2725</v>
      </c>
      <c r="D108" s="3091" t="s">
        <v>2726</v>
      </c>
      <c r="E108" s="3117">
        <v>0.15</v>
      </c>
      <c r="F108" s="3117">
        <v>20</v>
      </c>
    </row>
    <row r="109" spans="1:6" ht="13.5">
      <c r="A109" s="3117">
        <v>37</v>
      </c>
      <c r="B109" s="3778"/>
      <c r="C109" s="3117" t="s">
        <v>2727</v>
      </c>
      <c r="D109" s="3091" t="s">
        <v>2728</v>
      </c>
      <c r="E109" s="3117">
        <v>0.15</v>
      </c>
      <c r="F109" s="3117">
        <v>20</v>
      </c>
    </row>
    <row r="110" spans="1:6" ht="13.5">
      <c r="A110" s="3117">
        <v>38</v>
      </c>
      <c r="B110" s="3778"/>
      <c r="C110" s="3117" t="s">
        <v>2729</v>
      </c>
      <c r="D110" s="3091" t="s">
        <v>2730</v>
      </c>
      <c r="E110" s="3117">
        <v>0.1</v>
      </c>
      <c r="F110" s="3117">
        <v>15</v>
      </c>
    </row>
    <row r="111" spans="1:6" ht="24">
      <c r="A111" s="3117">
        <v>39</v>
      </c>
      <c r="B111" s="3778"/>
      <c r="C111" s="3117" t="s">
        <v>2731</v>
      </c>
      <c r="D111" s="3091" t="s">
        <v>2732</v>
      </c>
      <c r="E111" s="3117">
        <v>0.1</v>
      </c>
      <c r="F111" s="3117">
        <v>15</v>
      </c>
    </row>
    <row r="112" spans="1:6" ht="24">
      <c r="A112" s="3117">
        <v>40</v>
      </c>
      <c r="B112" s="3787"/>
      <c r="C112" s="3117" t="s">
        <v>2733</v>
      </c>
      <c r="D112" s="3091" t="s">
        <v>2734</v>
      </c>
      <c r="E112" s="3117">
        <v>0.1</v>
      </c>
      <c r="F112" s="3117">
        <v>15</v>
      </c>
    </row>
    <row r="113" spans="1:6" ht="13.5">
      <c r="A113" s="3117">
        <v>41</v>
      </c>
      <c r="B113" s="3788" t="s">
        <v>2735</v>
      </c>
      <c r="C113" s="3117" t="s">
        <v>2736</v>
      </c>
      <c r="D113" s="3091" t="s">
        <v>2737</v>
      </c>
      <c r="E113" s="3117">
        <v>0.1</v>
      </c>
      <c r="F113" s="3117">
        <v>15</v>
      </c>
    </row>
    <row r="114" spans="1:6" ht="13.5">
      <c r="A114" s="3117">
        <v>42</v>
      </c>
      <c r="B114" s="3788"/>
      <c r="C114" s="3117" t="s">
        <v>2738</v>
      </c>
      <c r="D114" s="3091" t="s">
        <v>2739</v>
      </c>
      <c r="E114" s="3117">
        <v>0.1</v>
      </c>
      <c r="F114" s="3117">
        <v>15</v>
      </c>
    </row>
    <row r="115" spans="1:6" ht="24">
      <c r="A115" s="3117">
        <v>43</v>
      </c>
      <c r="B115" s="3788"/>
      <c r="C115" s="3117" t="s">
        <v>2740</v>
      </c>
      <c r="D115" s="3091" t="s">
        <v>2741</v>
      </c>
      <c r="E115" s="3117">
        <v>0.1</v>
      </c>
      <c r="F115" s="3117">
        <v>15</v>
      </c>
    </row>
    <row r="116" spans="1:6" ht="13.5">
      <c r="A116" s="3117">
        <v>44</v>
      </c>
      <c r="B116" s="3783" t="s">
        <v>2742</v>
      </c>
      <c r="C116" s="3117" t="s">
        <v>2743</v>
      </c>
      <c r="D116" s="3091" t="s">
        <v>2744</v>
      </c>
      <c r="E116" s="3117">
        <v>0.1</v>
      </c>
      <c r="F116" s="3117">
        <v>15</v>
      </c>
    </row>
    <row r="117" spans="1:6" ht="24">
      <c r="A117" s="3117">
        <v>45</v>
      </c>
      <c r="B117" s="3787"/>
      <c r="C117" s="3091" t="s">
        <v>2745</v>
      </c>
      <c r="D117" s="3091" t="s">
        <v>2746</v>
      </c>
      <c r="E117" s="3117">
        <v>0.1</v>
      </c>
      <c r="F117" s="3117">
        <v>15</v>
      </c>
    </row>
    <row r="118" spans="1:6" ht="24">
      <c r="A118" s="3117">
        <v>46</v>
      </c>
      <c r="B118" s="3783" t="s">
        <v>2747</v>
      </c>
      <c r="C118" s="3117" t="s">
        <v>2748</v>
      </c>
      <c r="D118" s="3091" t="s">
        <v>2749</v>
      </c>
      <c r="E118" s="3117">
        <v>0.1</v>
      </c>
      <c r="F118" s="3117">
        <v>15</v>
      </c>
    </row>
    <row r="119" spans="1:6" ht="24">
      <c r="A119" s="3117">
        <v>47</v>
      </c>
      <c r="B119" s="3787"/>
      <c r="C119" s="3117" t="s">
        <v>2750</v>
      </c>
      <c r="D119" s="3091" t="s">
        <v>2751</v>
      </c>
      <c r="E119" s="3117">
        <v>0.1</v>
      </c>
      <c r="F119" s="3117">
        <v>15</v>
      </c>
    </row>
    <row r="120" spans="1:6" ht="13.5">
      <c r="A120" s="3117">
        <v>48</v>
      </c>
      <c r="B120" s="3783" t="s">
        <v>2752</v>
      </c>
      <c r="C120" s="3117" t="s">
        <v>2753</v>
      </c>
      <c r="D120" s="3091" t="s">
        <v>2754</v>
      </c>
      <c r="E120" s="3117">
        <v>0.1</v>
      </c>
      <c r="F120" s="3117">
        <v>15</v>
      </c>
    </row>
    <row r="121" spans="1:6" ht="13.5">
      <c r="A121" s="3117">
        <v>49</v>
      </c>
      <c r="B121" s="3787"/>
      <c r="C121" s="3117" t="s">
        <v>2755</v>
      </c>
      <c r="D121" s="3091" t="s">
        <v>2756</v>
      </c>
      <c r="E121" s="3117">
        <v>0.1</v>
      </c>
      <c r="F121" s="3117">
        <v>15</v>
      </c>
    </row>
    <row r="122" spans="1:6" ht="24">
      <c r="A122" s="3117">
        <v>50</v>
      </c>
      <c r="B122" s="3788" t="s">
        <v>2757</v>
      </c>
      <c r="C122" s="3117" t="s">
        <v>2758</v>
      </c>
      <c r="D122" s="3091" t="s">
        <v>2759</v>
      </c>
      <c r="E122" s="3117">
        <v>0.1</v>
      </c>
      <c r="F122" s="3117">
        <v>15</v>
      </c>
    </row>
    <row r="123" spans="1:6" ht="24">
      <c r="A123" s="3117">
        <v>51</v>
      </c>
      <c r="B123" s="3788"/>
      <c r="C123" s="3117" t="s">
        <v>2760</v>
      </c>
      <c r="D123" s="3091" t="s">
        <v>2761</v>
      </c>
      <c r="E123" s="3117">
        <v>0.1</v>
      </c>
      <c r="F123" s="3117">
        <v>15</v>
      </c>
    </row>
    <row r="124" spans="1:6" ht="24">
      <c r="A124" s="3117">
        <v>52</v>
      </c>
      <c r="B124" s="3788" t="s">
        <v>2762</v>
      </c>
      <c r="C124" s="3117" t="s">
        <v>2763</v>
      </c>
      <c r="D124" s="3091" t="s">
        <v>2764</v>
      </c>
      <c r="E124" s="3117">
        <v>0.1</v>
      </c>
      <c r="F124" s="3117">
        <v>15</v>
      </c>
    </row>
    <row r="125" spans="1:6" ht="24">
      <c r="A125" s="3117">
        <v>53</v>
      </c>
      <c r="B125" s="3788"/>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8" t="s">
        <v>2770</v>
      </c>
      <c r="C127" s="3117" t="s">
        <v>2771</v>
      </c>
      <c r="D127" s="3091" t="s">
        <v>2772</v>
      </c>
      <c r="E127" s="3117">
        <v>0.1</v>
      </c>
      <c r="F127" s="3117">
        <v>15</v>
      </c>
    </row>
    <row r="128" spans="1:6" ht="13.5">
      <c r="A128" s="3117">
        <v>56</v>
      </c>
      <c r="B128" s="3788"/>
      <c r="C128" s="3117" t="s">
        <v>2773</v>
      </c>
      <c r="D128" s="3091" t="s">
        <v>2774</v>
      </c>
      <c r="E128" s="3117">
        <v>0.1</v>
      </c>
      <c r="F128" s="3117">
        <v>15</v>
      </c>
    </row>
    <row r="129" spans="1:6" ht="24">
      <c r="A129" s="3117">
        <v>57</v>
      </c>
      <c r="B129" s="3788"/>
      <c r="C129" s="3117" t="s">
        <v>2775</v>
      </c>
      <c r="D129" s="3091" t="s">
        <v>2776</v>
      </c>
      <c r="E129" s="3117">
        <v>0.1</v>
      </c>
      <c r="F129" s="3117">
        <v>15</v>
      </c>
    </row>
    <row r="130" spans="1:6" ht="24">
      <c r="A130" s="3117">
        <v>58</v>
      </c>
      <c r="B130" s="3788" t="s">
        <v>2777</v>
      </c>
      <c r="C130" s="3117" t="s">
        <v>2778</v>
      </c>
      <c r="D130" s="3091" t="s">
        <v>2779</v>
      </c>
      <c r="E130" s="3117">
        <v>0.1</v>
      </c>
      <c r="F130" s="3117">
        <v>15</v>
      </c>
    </row>
    <row r="131" spans="1:6" ht="13.5">
      <c r="A131" s="3117">
        <v>59</v>
      </c>
      <c r="B131" s="3788"/>
      <c r="C131" s="3117" t="s">
        <v>2780</v>
      </c>
      <c r="D131" s="3091" t="s">
        <v>2781</v>
      </c>
      <c r="E131" s="3117">
        <v>0.1</v>
      </c>
      <c r="F131" s="3117">
        <v>15</v>
      </c>
    </row>
    <row r="132" spans="1:6" ht="13.5">
      <c r="A132" s="3117">
        <v>60</v>
      </c>
      <c r="B132" s="3783" t="s">
        <v>2782</v>
      </c>
      <c r="C132" s="3117" t="s">
        <v>2783</v>
      </c>
      <c r="D132" s="3091" t="s">
        <v>2784</v>
      </c>
      <c r="E132" s="3117">
        <v>0.1</v>
      </c>
      <c r="F132" s="3117">
        <v>15</v>
      </c>
    </row>
    <row r="133" spans="1:6" ht="13.5">
      <c r="A133" s="3117">
        <v>61</v>
      </c>
      <c r="B133" s="3787"/>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8" t="s">
        <v>2790</v>
      </c>
      <c r="C135" s="3117" t="s">
        <v>2791</v>
      </c>
      <c r="D135" s="3091" t="s">
        <v>2792</v>
      </c>
      <c r="E135" s="3117">
        <v>0.1</v>
      </c>
      <c r="F135" s="3117">
        <v>15</v>
      </c>
    </row>
    <row r="136" spans="1:6" ht="13.5">
      <c r="A136" s="3117">
        <v>64</v>
      </c>
      <c r="B136" s="3788"/>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2"/>
      <c r="B4" s="3474" t="s">
        <v>917</v>
      </c>
      <c r="C4" s="3474"/>
      <c r="D4" s="3474"/>
      <c r="E4" s="1492"/>
    </row>
    <row r="5" spans="1:5" ht="16.5" thickTop="1">
      <c r="A5" s="1490"/>
      <c r="B5" s="3472" t="s">
        <v>909</v>
      </c>
      <c r="C5" s="1493" t="s">
        <v>910</v>
      </c>
      <c r="D5" s="850">
        <f ca="1">结果表!H101</f>
        <v>110218</v>
      </c>
      <c r="E5" s="1490"/>
    </row>
    <row r="6" spans="1:5" ht="15.75">
      <c r="A6" s="1490"/>
      <c r="B6" s="3472"/>
      <c r="C6" s="1493" t="s">
        <v>911</v>
      </c>
      <c r="D6" s="850" t="str">
        <f ca="1">NUMBERSTRING(INT(D5*10000),2)&amp;"元整"</f>
        <v>壹拾壹亿零贰佰壹拾捌万元整</v>
      </c>
      <c r="E6" s="1490"/>
    </row>
    <row r="7" spans="1:5" ht="15.75">
      <c r="A7" s="1490"/>
      <c r="B7" s="3477"/>
      <c r="C7" s="1494" t="s">
        <v>912</v>
      </c>
      <c r="D7" s="851">
        <f ca="1">结果表!H102</f>
        <v>15735</v>
      </c>
      <c r="E7" s="1490"/>
    </row>
    <row r="8" spans="1:5" ht="15.75">
      <c r="A8" s="1490"/>
      <c r="B8" s="3478" t="str">
        <f>结果表!E103</f>
        <v>2.估价师知悉的法定优先受偿款</v>
      </c>
      <c r="C8" s="1495" t="s">
        <v>913</v>
      </c>
      <c r="D8" s="851">
        <f>结果表!H103</f>
        <v>0</v>
      </c>
      <c r="E8" s="1490"/>
    </row>
    <row r="9" spans="1:5" ht="15.75">
      <c r="A9" s="1490"/>
      <c r="B9" s="3480"/>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1" t="str">
        <f>结果表!E107</f>
        <v>3.房地产抵押价值</v>
      </c>
      <c r="C13" s="1498" t="s">
        <v>910</v>
      </c>
      <c r="D13" s="853">
        <f ca="1">结果表!H107</f>
        <v>110218</v>
      </c>
      <c r="E13" s="1490"/>
    </row>
    <row r="14" spans="1:5" ht="15.75">
      <c r="A14" s="1490"/>
      <c r="B14" s="3472"/>
      <c r="C14" s="1493" t="s">
        <v>911</v>
      </c>
      <c r="D14" s="850" t="str">
        <f ca="1">NUMBERSTRING(INT(D13*10000),2)&amp;"元整"</f>
        <v>壹拾壹亿零贰佰壹拾捌万元整</v>
      </c>
      <c r="E14" s="1490"/>
    </row>
    <row r="15" spans="1:5" ht="15">
      <c r="A15" s="1490"/>
      <c r="B15" s="3477"/>
      <c r="C15" s="1494" t="s">
        <v>921</v>
      </c>
      <c r="D15" s="859">
        <f ca="1">结果表!H108</f>
        <v>15735</v>
      </c>
      <c r="E15" s="1490"/>
    </row>
    <row r="16" spans="1:5" ht="15">
      <c r="A16" s="1490"/>
      <c r="B16" s="3478" t="str">
        <f>结果表!E109</f>
        <v>——</v>
      </c>
      <c r="C16" s="1498" t="s">
        <v>922</v>
      </c>
      <c r="D16" s="1499" t="str">
        <f>结果表!H109</f>
        <v>——</v>
      </c>
      <c r="E16" s="1490"/>
    </row>
    <row r="17" spans="1:5" ht="15.75">
      <c r="A17" s="1490"/>
      <c r="B17" s="3479"/>
      <c r="C17" s="1493" t="s">
        <v>923</v>
      </c>
      <c r="D17" s="850" t="e">
        <f>NUMBERSTRING(INT(D16*10000),2)&amp;"元整"</f>
        <v>#VALUE!</v>
      </c>
      <c r="E17" s="1490"/>
    </row>
    <row r="18" spans="1:5" ht="15">
      <c r="A18" s="1490"/>
      <c r="B18" s="3480"/>
      <c r="C18" s="1494" t="s">
        <v>912</v>
      </c>
      <c r="D18" s="859" t="str">
        <f>结果表!H110</f>
        <v>——</v>
      </c>
      <c r="E18" s="1490"/>
    </row>
    <row r="19" spans="1:5" ht="15.75">
      <c r="A19" s="1490"/>
      <c r="B19" s="3471" t="str">
        <f>结果表!E111</f>
        <v>——</v>
      </c>
      <c r="C19" s="1498" t="s">
        <v>910</v>
      </c>
      <c r="D19" s="851" t="str">
        <f>结果表!H111</f>
        <v>——</v>
      </c>
      <c r="E19" s="1490"/>
    </row>
    <row r="20" spans="1:5" ht="15.75">
      <c r="A20" s="1490"/>
      <c r="B20" s="3472"/>
      <c r="C20" s="1493" t="s">
        <v>923</v>
      </c>
      <c r="D20" s="850" t="e">
        <f>NUMBERSTRING(INT(D19*10000),2)&amp;"元整"</f>
        <v>#VALUE!</v>
      </c>
      <c r="E20" s="1490"/>
    </row>
    <row r="21" spans="1:5" ht="15.75" thickBot="1">
      <c r="A21" s="1490"/>
      <c r="B21" s="3473"/>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64378</v>
      </c>
      <c r="C2" s="2" t="s">
        <v>106</v>
      </c>
      <c r="D2" s="199"/>
      <c r="E2" s="199"/>
      <c r="F2" s="199"/>
      <c r="G2" s="199"/>
    </row>
    <row r="3" spans="1:7" s="200" customFormat="1" ht="18" customHeight="1" thickBot="1">
      <c r="A3" s="203" t="s">
        <v>58</v>
      </c>
      <c r="B3" s="204">
        <f ca="1">ROUND(B2*10000/'数据-汇总表'!E3,0)</f>
        <v>9191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1401</v>
      </c>
      <c r="D10" s="845">
        <f>'数据-汇总表'!E6</f>
        <v>70044.73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1401</v>
      </c>
      <c r="D19" s="849">
        <f>'数据-汇总表'!E3</f>
        <v>70044.73</v>
      </c>
      <c r="E19" s="211">
        <f>'数据-取费表'!B31</f>
        <v>200</v>
      </c>
      <c r="F19" s="231"/>
      <c r="G19" s="1" t="s">
        <v>436</v>
      </c>
    </row>
    <row r="20" spans="1:7" s="214" customFormat="1" ht="13.5" customHeight="1">
      <c r="A20" s="777" t="s">
        <v>419</v>
      </c>
      <c r="B20" s="210" t="s">
        <v>77</v>
      </c>
      <c r="C20" s="232">
        <f>ROUND((C5+C19)*F20,0)</f>
        <v>330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1879</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3351</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3351</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31405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28172</v>
      </c>
      <c r="D34" s="217"/>
      <c r="E34" s="220"/>
      <c r="F34" s="257">
        <f>IF('数据-取费表'!B24=0,1,'数据-取费表'!N16)</f>
        <v>1</v>
      </c>
      <c r="G34" s="219" t="s">
        <v>89</v>
      </c>
    </row>
    <row r="35" spans="1:7" ht="13.5" customHeight="1">
      <c r="A35" s="780" t="s">
        <v>351</v>
      </c>
      <c r="B35" s="215" t="s">
        <v>33</v>
      </c>
      <c r="C35" s="220">
        <f>ROUND(C34*F35,0)</f>
        <v>1409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1401</v>
      </c>
      <c r="D37" s="217">
        <f>'数据-汇总表'!E3</f>
        <v>70044.73</v>
      </c>
      <c r="E37" s="249">
        <f>'数据-取费表'!B35</f>
        <v>200</v>
      </c>
      <c r="F37" s="259"/>
      <c r="G37" s="261" t="s">
        <v>92</v>
      </c>
    </row>
    <row r="38" spans="1:7" ht="13.5" customHeight="1">
      <c r="A38" s="780" t="s">
        <v>354</v>
      </c>
      <c r="B38" s="215" t="s">
        <v>36</v>
      </c>
      <c r="C38" s="220">
        <f>ROUND(C34*F38,0)</f>
        <v>423</v>
      </c>
      <c r="D38" s="220"/>
      <c r="E38" s="220"/>
      <c r="F38" s="259">
        <f>'数据-取费表'!B36</f>
        <v>1.4999999999999999E-2</v>
      </c>
      <c r="G38" s="219" t="s">
        <v>90</v>
      </c>
    </row>
    <row r="39" spans="1:7" s="214" customFormat="1" ht="13.5" customHeight="1">
      <c r="A39" s="777" t="s">
        <v>338</v>
      </c>
      <c r="B39" s="210" t="s">
        <v>77</v>
      </c>
      <c r="C39" s="232">
        <f>ROUND(C33*F20,0)</f>
        <v>471</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1323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1303</v>
      </c>
      <c r="D42" s="238"/>
      <c r="E42" s="238"/>
      <c r="F42" s="239"/>
      <c r="G42" s="3653" t="s">
        <v>94</v>
      </c>
    </row>
    <row r="43" spans="1:7" ht="13.5" customHeight="1">
      <c r="A43" s="780" t="s">
        <v>347</v>
      </c>
      <c r="B43" s="215" t="s">
        <v>426</v>
      </c>
      <c r="C43" s="238">
        <f ca="1">ROUND(IF('数据-取费表'!B22&lt;=1,C39*F22*'数据-取费表'!B21/2,C39*(POWER((1+F22),'数据-取费表'!B21/2)-1)),0)</f>
        <v>20</v>
      </c>
      <c r="D43" s="238"/>
      <c r="E43" s="238"/>
      <c r="F43" s="239"/>
      <c r="G43" s="3654"/>
    </row>
    <row r="44" spans="1:7" ht="13.5" customHeight="1">
      <c r="A44" s="780" t="s">
        <v>348</v>
      </c>
      <c r="B44" s="215" t="s">
        <v>428</v>
      </c>
      <c r="C44" s="238">
        <f ca="1">ROUND(IF('数据-取费表'!B22&lt;=1,C40*F22*'数据-取费表'!B21/2,C40*(POWER((1+F22),'数据-取费表'!B21/2)-1)),4)</f>
        <v>5.9999999999999995E-4</v>
      </c>
      <c r="D44" s="238"/>
      <c r="E44" s="238"/>
      <c r="F44" s="239"/>
      <c r="G44" s="3655"/>
    </row>
    <row r="45" spans="1:7" s="214" customFormat="1" ht="13.5" customHeight="1">
      <c r="A45" s="777" t="s">
        <v>341</v>
      </c>
      <c r="B45" s="244" t="s">
        <v>85</v>
      </c>
      <c r="C45" s="245">
        <f>C46</f>
        <v>4781</v>
      </c>
      <c r="D45" s="235">
        <f>C47</f>
        <v>2.3E-3</v>
      </c>
      <c r="E45" s="236" t="s">
        <v>102</v>
      </c>
      <c r="F45" s="246"/>
      <c r="G45" s="247" t="s">
        <v>434</v>
      </c>
    </row>
    <row r="46" spans="1:7" s="214" customFormat="1" ht="13.5" customHeight="1">
      <c r="A46" s="780" t="s">
        <v>349</v>
      </c>
      <c r="B46" s="248" t="s">
        <v>427</v>
      </c>
      <c r="C46" s="249">
        <f>ROUND((C33+C39)*F27,0)</f>
        <v>4781</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40851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34723</v>
      </c>
      <c r="D51" s="232"/>
      <c r="E51" s="232"/>
      <c r="F51" s="264"/>
      <c r="G51" s="234" t="s">
        <v>37</v>
      </c>
    </row>
    <row r="52" spans="1:7" s="208" customFormat="1" ht="16.5" thickBot="1">
      <c r="A52" s="265" t="s">
        <v>38</v>
      </c>
      <c r="B52" s="266"/>
      <c r="C52" s="267">
        <f ca="1">C31+C51</f>
        <v>64378</v>
      </c>
      <c r="D52" s="266"/>
      <c r="E52" s="266"/>
      <c r="F52" s="266"/>
      <c r="G52" s="268"/>
    </row>
    <row r="55" spans="1:7" ht="15">
      <c r="B55" s="270" t="s">
        <v>39</v>
      </c>
      <c r="C55" s="271"/>
    </row>
    <row r="56" spans="1:7">
      <c r="B56" s="273" t="s">
        <v>40</v>
      </c>
      <c r="C56" s="274">
        <f ca="1">ROUND(C51/C52,3)</f>
        <v>0.53900000000000003</v>
      </c>
    </row>
    <row r="57" spans="1:7">
      <c r="B57" s="273" t="s">
        <v>41</v>
      </c>
      <c r="C57" s="275">
        <f ca="1">1-C56</f>
        <v>0.46099999999999997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41" activeCellId="1" sqref="E26 H4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1" t="s">
        <v>2846</v>
      </c>
      <c r="B1" s="3791"/>
      <c r="C1" s="3791"/>
      <c r="D1" s="3791"/>
      <c r="E1" s="3791"/>
      <c r="F1" s="3791"/>
      <c r="G1" s="379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89" t="s">
        <v>2873</v>
      </c>
      <c r="B3" s="3230"/>
      <c r="C3" s="3231" t="s">
        <v>2812</v>
      </c>
      <c r="D3" s="3231" t="s">
        <v>2874</v>
      </c>
      <c r="E3" s="3231" t="s">
        <v>2814</v>
      </c>
      <c r="F3" s="3231" t="s">
        <v>2875</v>
      </c>
      <c r="G3" s="3231" t="s">
        <v>2632</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3" t="s">
        <v>3188</v>
      </c>
      <c r="B1" s="3793"/>
    </row>
    <row r="2" spans="1:7" ht="14.25" thickBot="1">
      <c r="A2" s="3255"/>
      <c r="B2" s="3255"/>
    </row>
    <row r="3" spans="1:7" ht="14.25" thickBot="1">
      <c r="A3" s="3255"/>
      <c r="B3" s="3255"/>
      <c r="C3" s="3256" t="s">
        <v>2812</v>
      </c>
      <c r="D3" s="3256" t="s">
        <v>2874</v>
      </c>
      <c r="E3" s="3256" t="s">
        <v>2814</v>
      </c>
      <c r="F3" s="3256" t="s">
        <v>2875</v>
      </c>
      <c r="G3" s="3256" t="s">
        <v>2632</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4" t="s">
        <v>3239</v>
      </c>
      <c r="B1" s="3794"/>
      <c r="C1" s="3794"/>
      <c r="D1" s="3794"/>
      <c r="E1" s="3794"/>
      <c r="F1" s="379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H41" activeCellId="1" sqref="E26 H41"/>
    </sheetView>
  </sheetViews>
  <sheetFormatPr defaultRowHeight="13.5"/>
  <cols>
    <col min="1" max="1" width="13.875" customWidth="1"/>
  </cols>
  <sheetData>
    <row r="1" spans="1:30">
      <c r="A1" s="3221">
        <f>基准地价修正!G23</f>
        <v>44929</v>
      </c>
      <c r="B1" s="3210" t="s">
        <v>2845</v>
      </c>
      <c r="C1" s="3211"/>
      <c r="D1" s="3211"/>
      <c r="E1" s="3211"/>
      <c r="F1" s="3211"/>
      <c r="G1" s="3211"/>
      <c r="H1" s="3211"/>
      <c r="I1" s="3211"/>
      <c r="J1" s="3164"/>
      <c r="K1" s="3211" t="s">
        <v>454</v>
      </c>
      <c r="L1" s="3211"/>
      <c r="M1" s="3211"/>
      <c r="N1" s="3211"/>
      <c r="O1" s="3211"/>
      <c r="P1" s="3211"/>
      <c r="Q1" s="3164"/>
      <c r="R1" s="3796" t="s">
        <v>456</v>
      </c>
      <c r="S1" s="3797"/>
      <c r="T1" s="3797"/>
      <c r="U1" s="3797"/>
      <c r="V1" s="3797"/>
      <c r="W1" s="3797"/>
      <c r="X1" s="3164"/>
      <c r="Y1" s="3796" t="s">
        <v>457</v>
      </c>
      <c r="Z1" s="3797"/>
      <c r="AA1" s="3797"/>
      <c r="AB1" s="3797"/>
      <c r="AC1" s="3797"/>
      <c r="AD1" s="3797"/>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2821</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2822</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3362</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3363</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2823</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2824</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2825</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2826</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2827</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2828</v>
      </c>
    </row>
    <row r="17" spans="1:30" s="3008" customFormat="1"/>
    <row r="18" spans="1:30" s="3209" customFormat="1" ht="12.75">
      <c r="B18" s="3210" t="s">
        <v>2829</v>
      </c>
      <c r="C18" s="3211"/>
      <c r="D18" s="3211"/>
      <c r="E18" s="3211"/>
      <c r="F18" s="3211"/>
      <c r="G18" s="3211"/>
      <c r="H18" s="3211"/>
      <c r="I18" s="3211"/>
      <c r="J18" s="3164"/>
      <c r="K18" s="3211" t="s">
        <v>2830</v>
      </c>
      <c r="L18" s="3211"/>
      <c r="M18" s="3211"/>
      <c r="N18" s="3211"/>
      <c r="O18" s="3211"/>
      <c r="P18" s="3211"/>
      <c r="Q18" s="3164"/>
      <c r="R18" s="3796" t="s">
        <v>2831</v>
      </c>
      <c r="S18" s="3797"/>
      <c r="T18" s="3797"/>
      <c r="U18" s="3797"/>
      <c r="V18" s="3797"/>
      <c r="W18" s="3797"/>
      <c r="X18" s="3164"/>
      <c r="Y18" s="3796" t="s">
        <v>2832</v>
      </c>
      <c r="Z18" s="3797"/>
      <c r="AA18" s="3797"/>
      <c r="AB18" s="3797"/>
      <c r="AC18" s="3797"/>
      <c r="AD18" s="3797"/>
    </row>
    <row r="19" spans="1:30" s="3142" customFormat="1" ht="14.25" thickBot="1">
      <c r="B19" s="3143"/>
      <c r="C19" s="3144"/>
      <c r="D19" s="3145" t="s">
        <v>2833</v>
      </c>
      <c r="E19" s="3146" t="s">
        <v>2834</v>
      </c>
      <c r="F19" s="3146" t="s">
        <v>2835</v>
      </c>
      <c r="G19" s="3146" t="s">
        <v>2836</v>
      </c>
      <c r="H19" s="3146"/>
      <c r="I19" s="3146" t="s">
        <v>2837</v>
      </c>
      <c r="J19" s="3147"/>
      <c r="K19" s="3145" t="s">
        <v>2833</v>
      </c>
      <c r="L19" s="3146" t="s">
        <v>2834</v>
      </c>
      <c r="M19" s="3146" t="s">
        <v>2835</v>
      </c>
      <c r="N19" s="3146" t="s">
        <v>2836</v>
      </c>
      <c r="O19" s="3146"/>
      <c r="P19" s="3146" t="s">
        <v>2837</v>
      </c>
      <c r="Q19" s="3147"/>
      <c r="R19" s="3145" t="s">
        <v>2833</v>
      </c>
      <c r="S19" s="3146" t="s">
        <v>2834</v>
      </c>
      <c r="T19" s="3146" t="s">
        <v>2835</v>
      </c>
      <c r="U19" s="3146" t="s">
        <v>2836</v>
      </c>
      <c r="V19" s="3146"/>
      <c r="W19" s="3146" t="s">
        <v>2837</v>
      </c>
      <c r="X19" s="3147"/>
      <c r="Y19" s="3145" t="s">
        <v>2833</v>
      </c>
      <c r="Z19" s="3146" t="s">
        <v>2834</v>
      </c>
      <c r="AA19" s="3146" t="s">
        <v>2835</v>
      </c>
      <c r="AB19" s="3146" t="s">
        <v>2836</v>
      </c>
      <c r="AC19" s="3146"/>
      <c r="AD19" s="3146" t="s">
        <v>2837</v>
      </c>
    </row>
    <row r="20" spans="1:30" s="3160" customFormat="1" ht="12.75">
      <c r="A20" s="3148" t="s">
        <v>2838</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2839</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2840</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3364</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3363</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2841</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2842</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2843</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2844</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2827</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41" activeCellId="1" sqref="E26 H4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2311</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A14" workbookViewId="0">
      <selection activeCell="D56" sqref="D56"/>
    </sheetView>
  </sheetViews>
  <sheetFormatPr defaultRowHeight="12"/>
  <cols>
    <col min="1" max="2" width="20" style="3461" customWidth="1"/>
    <col min="3" max="3" width="7" style="3461" customWidth="1"/>
    <col min="4" max="4" width="6.75" style="3461" customWidth="1"/>
    <col min="5" max="5" width="20" style="3461" customWidth="1"/>
    <col min="6" max="6" width="20" style="3461" hidden="1" customWidth="1"/>
    <col min="7" max="7" width="10.125" style="3461" customWidth="1"/>
    <col min="8" max="8" width="10.5" style="3461" customWidth="1"/>
    <col min="9" max="9" width="6.875" style="3461" customWidth="1"/>
    <col min="10" max="10" width="20" style="3461" customWidth="1"/>
    <col min="11" max="11" width="20" style="3461" hidden="1" customWidth="1"/>
    <col min="12" max="12" width="6.625" style="3461" customWidth="1"/>
    <col min="13" max="13" width="10.125" style="3461" customWidth="1"/>
    <col min="14" max="15" width="20" style="3461" customWidth="1"/>
    <col min="16" max="17" width="10.875" style="3461" customWidth="1"/>
    <col min="18" max="18" width="10.125" style="3461" customWidth="1"/>
    <col min="19" max="20" width="9.375" style="3461" customWidth="1"/>
    <col min="21" max="21" width="20" style="3461" customWidth="1"/>
    <col min="22" max="16384" width="9" style="3461"/>
  </cols>
  <sheetData>
    <row r="1" spans="1:20">
      <c r="A1" s="3460" t="s">
        <v>3404</v>
      </c>
      <c r="B1" s="3460" t="s">
        <v>3405</v>
      </c>
      <c r="C1" s="3460" t="s">
        <v>3406</v>
      </c>
      <c r="D1" s="3460" t="s">
        <v>3407</v>
      </c>
      <c r="E1" s="3460" t="s">
        <v>3408</v>
      </c>
      <c r="F1" s="3460" t="s">
        <v>3409</v>
      </c>
      <c r="G1" s="3460" t="s">
        <v>3410</v>
      </c>
      <c r="H1" s="3460" t="s">
        <v>3411</v>
      </c>
      <c r="I1" s="3460" t="s">
        <v>3412</v>
      </c>
      <c r="J1" s="3460" t="s">
        <v>3413</v>
      </c>
      <c r="K1" s="3460" t="s">
        <v>3414</v>
      </c>
      <c r="L1" s="3460" t="s">
        <v>3415</v>
      </c>
      <c r="M1" s="3460" t="s">
        <v>3416</v>
      </c>
      <c r="N1" s="3460" t="s">
        <v>3417</v>
      </c>
      <c r="O1" s="3460" t="s">
        <v>3418</v>
      </c>
      <c r="P1" s="3460" t="s">
        <v>3419</v>
      </c>
      <c r="Q1" s="3460" t="s">
        <v>3420</v>
      </c>
      <c r="R1" s="3460" t="s">
        <v>3421</v>
      </c>
      <c r="S1" s="3460" t="s">
        <v>3422</v>
      </c>
      <c r="T1" s="3460" t="s">
        <v>3423</v>
      </c>
    </row>
    <row r="2" spans="1:20" s="3465" customFormat="1">
      <c r="A2" s="3463" t="s">
        <v>3424</v>
      </c>
      <c r="B2" s="3463" t="s">
        <v>3425</v>
      </c>
      <c r="C2" s="3463" t="s">
        <v>3426</v>
      </c>
      <c r="D2" s="3463" t="s">
        <v>3427</v>
      </c>
      <c r="E2" s="3463" t="s">
        <v>3428</v>
      </c>
      <c r="F2" s="3463" t="s">
        <v>3429</v>
      </c>
      <c r="G2" s="3463">
        <v>32733.22</v>
      </c>
      <c r="H2" s="3463">
        <v>72013.08</v>
      </c>
      <c r="I2" s="3463">
        <v>2.2000000000000002</v>
      </c>
      <c r="J2" s="3463" t="s">
        <v>3430</v>
      </c>
      <c r="K2" s="3463" t="s">
        <v>3431</v>
      </c>
      <c r="L2" s="3463" t="s">
        <v>3431</v>
      </c>
      <c r="M2" s="3464">
        <v>44865.000497685185</v>
      </c>
      <c r="N2" s="3463" t="s">
        <v>3432</v>
      </c>
      <c r="O2" s="3463" t="s">
        <v>3433</v>
      </c>
      <c r="P2" s="3463">
        <v>149000</v>
      </c>
      <c r="Q2" s="3463">
        <v>3034.63</v>
      </c>
      <c r="R2" s="3463">
        <v>20691</v>
      </c>
      <c r="S2" s="3463">
        <v>0</v>
      </c>
      <c r="T2" s="3463" t="s">
        <v>3434</v>
      </c>
    </row>
    <row r="3" spans="1:20" s="3465" customFormat="1">
      <c r="A3" s="3463" t="s">
        <v>3435</v>
      </c>
      <c r="B3" s="3463" t="s">
        <v>3436</v>
      </c>
      <c r="C3" s="3463" t="s">
        <v>3426</v>
      </c>
      <c r="D3" s="3463" t="s">
        <v>3427</v>
      </c>
      <c r="E3" s="3463" t="s">
        <v>3428</v>
      </c>
      <c r="F3" s="3463" t="s">
        <v>3429</v>
      </c>
      <c r="G3" s="3463">
        <v>29506.55</v>
      </c>
      <c r="H3" s="3463">
        <v>64914.41</v>
      </c>
      <c r="I3" s="3463">
        <v>2.2000000000000002</v>
      </c>
      <c r="J3" s="3463" t="s">
        <v>3430</v>
      </c>
      <c r="K3" s="3463" t="s">
        <v>3431</v>
      </c>
      <c r="L3" s="3463" t="s">
        <v>3431</v>
      </c>
      <c r="M3" s="3464">
        <v>44865.000497685185</v>
      </c>
      <c r="N3" s="3463" t="s">
        <v>3437</v>
      </c>
      <c r="O3" s="3463" t="s">
        <v>3433</v>
      </c>
      <c r="P3" s="3463">
        <v>135000</v>
      </c>
      <c r="Q3" s="3463">
        <v>3050.17</v>
      </c>
      <c r="R3" s="3463">
        <v>20797</v>
      </c>
      <c r="S3" s="3463">
        <v>0</v>
      </c>
      <c r="T3" s="3463" t="s">
        <v>3434</v>
      </c>
    </row>
    <row r="4" spans="1:20">
      <c r="A4" s="3460" t="s">
        <v>3438</v>
      </c>
      <c r="B4" s="3460" t="s">
        <v>3439</v>
      </c>
      <c r="C4" s="3460" t="s">
        <v>3440</v>
      </c>
      <c r="D4" s="3460" t="s">
        <v>3441</v>
      </c>
      <c r="E4" s="3460" t="s">
        <v>3442</v>
      </c>
      <c r="F4" s="3460" t="s">
        <v>3429</v>
      </c>
      <c r="G4" s="3460">
        <v>10000</v>
      </c>
      <c r="H4" s="3460">
        <v>22000</v>
      </c>
      <c r="I4" s="3460" t="s">
        <v>3443</v>
      </c>
      <c r="J4" s="3460" t="s">
        <v>3430</v>
      </c>
      <c r="K4" s="3460" t="s">
        <v>3431</v>
      </c>
      <c r="L4" s="3460" t="s">
        <v>3431</v>
      </c>
      <c r="M4" s="3462">
        <v>44795.000497685185</v>
      </c>
      <c r="N4" s="3460" t="s">
        <v>3444</v>
      </c>
      <c r="O4" s="3460" t="s">
        <v>3445</v>
      </c>
      <c r="P4" s="3460">
        <v>36400</v>
      </c>
      <c r="Q4" s="3460">
        <v>2426.67</v>
      </c>
      <c r="R4" s="3460">
        <v>16545</v>
      </c>
      <c r="S4" s="3460">
        <v>0</v>
      </c>
      <c r="T4" s="3460" t="s">
        <v>3446</v>
      </c>
    </row>
    <row r="5" spans="1:20">
      <c r="A5" s="3460" t="s">
        <v>3447</v>
      </c>
      <c r="B5" s="3460" t="s">
        <v>3448</v>
      </c>
      <c r="C5" s="3460" t="s">
        <v>3440</v>
      </c>
      <c r="D5" s="3460" t="s">
        <v>3441</v>
      </c>
      <c r="E5" s="3460" t="s">
        <v>3442</v>
      </c>
      <c r="F5" s="3460" t="s">
        <v>3429</v>
      </c>
      <c r="G5" s="3460">
        <v>5500</v>
      </c>
      <c r="H5" s="3460">
        <v>12100</v>
      </c>
      <c r="I5" s="3460" t="s">
        <v>3443</v>
      </c>
      <c r="J5" s="3460" t="s">
        <v>3430</v>
      </c>
      <c r="K5" s="3460" t="s">
        <v>3431</v>
      </c>
      <c r="L5" s="3460" t="s">
        <v>3431</v>
      </c>
      <c r="M5" s="3462">
        <v>44796.000497685185</v>
      </c>
      <c r="N5" s="3460" t="s">
        <v>3449</v>
      </c>
      <c r="O5" s="3460" t="s">
        <v>3431</v>
      </c>
      <c r="P5" s="3460">
        <v>20000</v>
      </c>
      <c r="Q5" s="3460">
        <v>2424.2399999999998</v>
      </c>
      <c r="R5" s="3460">
        <v>16529</v>
      </c>
      <c r="S5" s="3460">
        <v>0</v>
      </c>
      <c r="T5" s="3460" t="s">
        <v>3446</v>
      </c>
    </row>
    <row r="6" spans="1:20">
      <c r="A6" s="3460" t="s">
        <v>3450</v>
      </c>
      <c r="B6" s="3460" t="s">
        <v>3451</v>
      </c>
      <c r="C6" s="3460" t="s">
        <v>3440</v>
      </c>
      <c r="D6" s="3460" t="s">
        <v>3452</v>
      </c>
      <c r="E6" s="3460" t="s">
        <v>3453</v>
      </c>
      <c r="F6" s="3460" t="s">
        <v>3429</v>
      </c>
      <c r="G6" s="3460">
        <v>16122.82</v>
      </c>
      <c r="H6" s="3460">
        <v>45143.91</v>
      </c>
      <c r="I6" s="3460" t="s">
        <v>3454</v>
      </c>
      <c r="J6" s="3460" t="s">
        <v>3430</v>
      </c>
      <c r="K6" s="3460" t="s">
        <v>3431</v>
      </c>
      <c r="L6" s="3460" t="s">
        <v>3431</v>
      </c>
      <c r="M6" s="3462">
        <v>44761.000497685185</v>
      </c>
      <c r="N6" s="3460" t="s">
        <v>3455</v>
      </c>
      <c r="O6" s="3460" t="s">
        <v>3456</v>
      </c>
      <c r="P6" s="3460">
        <v>76000</v>
      </c>
      <c r="Q6" s="3460">
        <v>3142.54</v>
      </c>
      <c r="R6" s="3460">
        <v>16835</v>
      </c>
      <c r="S6" s="3460">
        <v>0</v>
      </c>
      <c r="T6" s="3460" t="s">
        <v>3457</v>
      </c>
    </row>
    <row r="7" spans="1:20">
      <c r="A7" s="3460" t="s">
        <v>3458</v>
      </c>
      <c r="B7" s="3460" t="s">
        <v>3459</v>
      </c>
      <c r="C7" s="3460" t="s">
        <v>3440</v>
      </c>
      <c r="D7" s="3460" t="s">
        <v>3460</v>
      </c>
      <c r="E7" s="3460" t="s">
        <v>3461</v>
      </c>
      <c r="F7" s="3460" t="s">
        <v>3429</v>
      </c>
      <c r="G7" s="3460">
        <v>29991.73</v>
      </c>
      <c r="H7" s="3460">
        <v>119966.93</v>
      </c>
      <c r="I7" s="3460">
        <v>4</v>
      </c>
      <c r="J7" s="3460" t="s">
        <v>3430</v>
      </c>
      <c r="K7" s="3460">
        <v>100</v>
      </c>
      <c r="L7" s="3460" t="s">
        <v>3431</v>
      </c>
      <c r="M7" s="3462">
        <v>44566.000497685185</v>
      </c>
      <c r="N7" s="3460" t="s">
        <v>3462</v>
      </c>
      <c r="O7" s="3460" t="s">
        <v>3431</v>
      </c>
      <c r="P7" s="3460">
        <v>165300</v>
      </c>
      <c r="Q7" s="3460">
        <v>3674.35</v>
      </c>
      <c r="R7" s="3460">
        <v>13779</v>
      </c>
      <c r="S7" s="3460">
        <v>0</v>
      </c>
      <c r="T7" s="3460" t="s">
        <v>3463</v>
      </c>
    </row>
    <row r="8" spans="1:20">
      <c r="A8" s="3460" t="s">
        <v>3464</v>
      </c>
      <c r="B8" s="3460" t="s">
        <v>3465</v>
      </c>
      <c r="C8" s="3460" t="s">
        <v>3426</v>
      </c>
      <c r="D8" s="3460" t="s">
        <v>3427</v>
      </c>
      <c r="E8" s="3460" t="s">
        <v>3466</v>
      </c>
      <c r="F8" s="3460" t="s">
        <v>3429</v>
      </c>
      <c r="G8" s="3460">
        <v>38252.550000000003</v>
      </c>
      <c r="H8" s="3460">
        <v>84155.61</v>
      </c>
      <c r="I8" s="3460">
        <v>2.2000000000000002</v>
      </c>
      <c r="J8" s="3460" t="s">
        <v>3430</v>
      </c>
      <c r="K8" s="3460">
        <v>45</v>
      </c>
      <c r="L8" s="3460" t="s">
        <v>3431</v>
      </c>
      <c r="M8" s="3462">
        <v>44495.000497685185</v>
      </c>
      <c r="N8" s="3460" t="s">
        <v>3467</v>
      </c>
      <c r="O8" s="3460" t="s">
        <v>3431</v>
      </c>
      <c r="P8" s="3460">
        <v>175000</v>
      </c>
      <c r="Q8" s="3460">
        <v>3049.91</v>
      </c>
      <c r="R8" s="3460">
        <v>20795</v>
      </c>
      <c r="S8" s="3460">
        <v>0</v>
      </c>
      <c r="T8" s="3460" t="s">
        <v>3463</v>
      </c>
    </row>
    <row r="9" spans="1:20">
      <c r="A9" s="3460" t="s">
        <v>3468</v>
      </c>
      <c r="B9" s="3460" t="s">
        <v>3469</v>
      </c>
      <c r="C9" s="3460" t="s">
        <v>3426</v>
      </c>
      <c r="D9" s="3460" t="s">
        <v>3427</v>
      </c>
      <c r="E9" s="3460" t="s">
        <v>3466</v>
      </c>
      <c r="F9" s="3460" t="s">
        <v>3429</v>
      </c>
      <c r="G9" s="3460">
        <v>30025.18</v>
      </c>
      <c r="H9" s="3460">
        <v>66055.39</v>
      </c>
      <c r="I9" s="3460">
        <v>2.2000000000000002</v>
      </c>
      <c r="J9" s="3460" t="s">
        <v>3430</v>
      </c>
      <c r="K9" s="3460">
        <v>45</v>
      </c>
      <c r="L9" s="3460" t="s">
        <v>3431</v>
      </c>
      <c r="M9" s="3462">
        <v>44495.000497685185</v>
      </c>
      <c r="N9" s="3460" t="s">
        <v>3470</v>
      </c>
      <c r="O9" s="3460" t="s">
        <v>3431</v>
      </c>
      <c r="P9" s="3460">
        <v>137000</v>
      </c>
      <c r="Q9" s="3460">
        <v>3041.89</v>
      </c>
      <c r="R9" s="3460">
        <v>20740</v>
      </c>
      <c r="S9" s="3460">
        <v>0</v>
      </c>
      <c r="T9" s="3460" t="s">
        <v>3463</v>
      </c>
    </row>
    <row r="10" spans="1:20">
      <c r="A10" s="3460" t="s">
        <v>3471</v>
      </c>
      <c r="B10" s="3460" t="s">
        <v>3472</v>
      </c>
      <c r="C10" s="3460" t="s">
        <v>3440</v>
      </c>
      <c r="D10" s="3460" t="s">
        <v>3452</v>
      </c>
      <c r="E10" s="3460" t="s">
        <v>3453</v>
      </c>
      <c r="F10" s="3460" t="s">
        <v>3429</v>
      </c>
      <c r="G10" s="3460">
        <v>204418.11</v>
      </c>
      <c r="H10" s="3460">
        <v>302000</v>
      </c>
      <c r="I10" s="3460">
        <v>1.5</v>
      </c>
      <c r="J10" s="3460" t="s">
        <v>3430</v>
      </c>
      <c r="K10" s="3460">
        <v>36</v>
      </c>
      <c r="L10" s="3460" t="s">
        <v>3431</v>
      </c>
      <c r="M10" s="3462">
        <v>44495.000497685185</v>
      </c>
      <c r="N10" s="3460" t="s">
        <v>3473</v>
      </c>
      <c r="O10" s="3460" t="s">
        <v>3474</v>
      </c>
      <c r="P10" s="3460">
        <v>506700</v>
      </c>
      <c r="Q10" s="3460">
        <v>1652.5</v>
      </c>
      <c r="R10" s="3460">
        <v>16778</v>
      </c>
      <c r="S10" s="3460">
        <v>0</v>
      </c>
      <c r="T10" s="3460" t="s">
        <v>3463</v>
      </c>
    </row>
    <row r="11" spans="1:20" hidden="1">
      <c r="A11" s="3460" t="s">
        <v>3475</v>
      </c>
      <c r="B11" s="3460" t="s">
        <v>3476</v>
      </c>
      <c r="C11" s="3460" t="s">
        <v>3477</v>
      </c>
      <c r="D11" s="3460" t="s">
        <v>3478</v>
      </c>
      <c r="E11" s="3460" t="s">
        <v>3479</v>
      </c>
      <c r="F11" s="3460" t="s">
        <v>3429</v>
      </c>
      <c r="G11" s="3460">
        <v>12136.3</v>
      </c>
      <c r="H11" s="3460">
        <v>42477</v>
      </c>
      <c r="I11" s="3460">
        <v>3.5</v>
      </c>
      <c r="J11" s="3460" t="s">
        <v>3480</v>
      </c>
      <c r="K11" s="3460">
        <v>45</v>
      </c>
      <c r="L11" s="3460" t="s">
        <v>3431</v>
      </c>
      <c r="M11" s="3462">
        <v>44495.000497685185</v>
      </c>
      <c r="N11" s="3460" t="s">
        <v>3481</v>
      </c>
      <c r="O11" s="3460" t="s">
        <v>3482</v>
      </c>
      <c r="P11" s="3460">
        <v>71000</v>
      </c>
      <c r="Q11" s="3460">
        <v>3900.15</v>
      </c>
      <c r="R11" s="3460">
        <v>16715</v>
      </c>
      <c r="S11" s="3460">
        <v>0</v>
      </c>
      <c r="T11" s="3460" t="s">
        <v>3463</v>
      </c>
    </row>
    <row r="12" spans="1:20">
      <c r="A12" s="3460" t="s">
        <v>3483</v>
      </c>
      <c r="B12" s="3460" t="s">
        <v>3484</v>
      </c>
      <c r="C12" s="3460" t="s">
        <v>3426</v>
      </c>
      <c r="D12" s="3460" t="s">
        <v>3427</v>
      </c>
      <c r="E12" s="3460" t="s">
        <v>3466</v>
      </c>
      <c r="F12" s="3460" t="s">
        <v>3429</v>
      </c>
      <c r="G12" s="3460">
        <v>25121.77</v>
      </c>
      <c r="H12" s="3460">
        <v>55267.89</v>
      </c>
      <c r="I12" s="3460">
        <v>2.2000000000000002</v>
      </c>
      <c r="J12" s="3460" t="s">
        <v>3430</v>
      </c>
      <c r="K12" s="3460">
        <v>45</v>
      </c>
      <c r="L12" s="3460" t="s">
        <v>3431</v>
      </c>
      <c r="M12" s="3462">
        <v>44495.000497685185</v>
      </c>
      <c r="N12" s="3460" t="s">
        <v>3485</v>
      </c>
      <c r="O12" s="3460" t="s">
        <v>3431</v>
      </c>
      <c r="P12" s="3460">
        <v>115000</v>
      </c>
      <c r="Q12" s="3460">
        <v>3051.8</v>
      </c>
      <c r="R12" s="3460">
        <v>20808</v>
      </c>
      <c r="S12" s="3460">
        <v>0</v>
      </c>
      <c r="T12" s="3460" t="s">
        <v>3463</v>
      </c>
    </row>
    <row r="13" spans="1:20" hidden="1">
      <c r="A13" s="3460" t="s">
        <v>3486</v>
      </c>
      <c r="B13" s="3460" t="s">
        <v>3487</v>
      </c>
      <c r="C13" s="3460" t="s">
        <v>3440</v>
      </c>
      <c r="D13" s="3460" t="s">
        <v>3460</v>
      </c>
      <c r="E13" s="3460" t="s">
        <v>3488</v>
      </c>
      <c r="F13" s="3460" t="s">
        <v>3429</v>
      </c>
      <c r="G13" s="3460">
        <v>17147.95</v>
      </c>
      <c r="H13" s="3460">
        <v>53158.65</v>
      </c>
      <c r="I13" s="3460" t="s">
        <v>3489</v>
      </c>
      <c r="J13" s="3460" t="s">
        <v>3490</v>
      </c>
      <c r="K13" s="3460" t="s">
        <v>3491</v>
      </c>
      <c r="L13" s="3460" t="s">
        <v>3431</v>
      </c>
      <c r="M13" s="3462">
        <v>44335.000497685185</v>
      </c>
      <c r="N13" s="3460" t="s">
        <v>3492</v>
      </c>
      <c r="O13" s="3460" t="s">
        <v>3493</v>
      </c>
      <c r="P13" s="3460">
        <v>69200</v>
      </c>
      <c r="Q13" s="3460">
        <v>2690.31</v>
      </c>
      <c r="R13" s="3460">
        <v>13018</v>
      </c>
      <c r="S13" s="3460">
        <v>0</v>
      </c>
      <c r="T13" s="3460" t="s">
        <v>3494</v>
      </c>
    </row>
    <row r="14" spans="1:20">
      <c r="A14" s="3460" t="s">
        <v>3495</v>
      </c>
      <c r="B14" s="3460" t="s">
        <v>3496</v>
      </c>
      <c r="C14" s="3460" t="s">
        <v>3440</v>
      </c>
      <c r="D14" s="3460" t="s">
        <v>3452</v>
      </c>
      <c r="E14" s="3460" t="s">
        <v>3497</v>
      </c>
      <c r="F14" s="3460" t="s">
        <v>3429</v>
      </c>
      <c r="G14" s="3460">
        <v>22058.78</v>
      </c>
      <c r="H14" s="3460">
        <v>47390</v>
      </c>
      <c r="I14" s="3460" t="s">
        <v>3498</v>
      </c>
      <c r="J14" s="3460" t="s">
        <v>3430</v>
      </c>
      <c r="K14" s="3460" t="s">
        <v>3499</v>
      </c>
      <c r="L14" s="3460" t="s">
        <v>3431</v>
      </c>
      <c r="M14" s="3462">
        <v>44234.000497685185</v>
      </c>
      <c r="N14" s="3460" t="s">
        <v>3500</v>
      </c>
      <c r="O14" s="3460" t="s">
        <v>3501</v>
      </c>
      <c r="P14" s="3460">
        <v>32700</v>
      </c>
      <c r="Q14" s="3460">
        <v>988.27</v>
      </c>
      <c r="R14" s="3460">
        <v>6900</v>
      </c>
      <c r="S14" s="3460">
        <v>0</v>
      </c>
      <c r="T14" s="3460" t="s">
        <v>3494</v>
      </c>
    </row>
    <row r="15" spans="1:20" hidden="1">
      <c r="A15" s="3460" t="s">
        <v>3502</v>
      </c>
      <c r="B15" s="3460" t="s">
        <v>3503</v>
      </c>
      <c r="C15" s="3460" t="s">
        <v>3477</v>
      </c>
      <c r="D15" s="3460" t="s">
        <v>3478</v>
      </c>
      <c r="E15" s="3460" t="s">
        <v>3504</v>
      </c>
      <c r="F15" s="3460" t="s">
        <v>3429</v>
      </c>
      <c r="G15" s="3460">
        <v>28676.63</v>
      </c>
      <c r="H15" s="3460">
        <v>114706.51</v>
      </c>
      <c r="I15" s="3460" t="s">
        <v>3505</v>
      </c>
      <c r="J15" s="3460" t="s">
        <v>3506</v>
      </c>
      <c r="K15" s="3460" t="s">
        <v>3507</v>
      </c>
      <c r="L15" s="3460" t="s">
        <v>3431</v>
      </c>
      <c r="M15" s="3462">
        <v>44179.000497685185</v>
      </c>
      <c r="N15" s="3460" t="s">
        <v>3508</v>
      </c>
      <c r="O15" s="3460" t="s">
        <v>3509</v>
      </c>
      <c r="P15" s="3460">
        <v>175500</v>
      </c>
      <c r="Q15" s="3460">
        <v>4079.98</v>
      </c>
      <c r="R15" s="3460">
        <v>15300</v>
      </c>
      <c r="S15" s="3460">
        <v>0</v>
      </c>
      <c r="T15" s="3460" t="s">
        <v>3446</v>
      </c>
    </row>
    <row r="16" spans="1:20" hidden="1">
      <c r="A16" s="3460" t="s">
        <v>3510</v>
      </c>
      <c r="B16" s="3460" t="s">
        <v>3511</v>
      </c>
      <c r="C16" s="3460" t="s">
        <v>3426</v>
      </c>
      <c r="D16" s="3460" t="s">
        <v>3512</v>
      </c>
      <c r="E16" s="3460" t="s">
        <v>3513</v>
      </c>
      <c r="F16" s="3460" t="s">
        <v>3429</v>
      </c>
      <c r="G16" s="3460">
        <v>51788.13</v>
      </c>
      <c r="H16" s="3460">
        <v>184800</v>
      </c>
      <c r="I16" s="3460" t="s">
        <v>3514</v>
      </c>
      <c r="J16" s="3460" t="s">
        <v>3480</v>
      </c>
      <c r="K16" s="3460" t="s">
        <v>3515</v>
      </c>
      <c r="L16" s="3460" t="s">
        <v>3431</v>
      </c>
      <c r="M16" s="3462">
        <v>44167.000497685185</v>
      </c>
      <c r="N16" s="3460" t="s">
        <v>3516</v>
      </c>
      <c r="O16" s="3460" t="s">
        <v>3517</v>
      </c>
      <c r="P16" s="3460">
        <v>579500</v>
      </c>
      <c r="Q16" s="3460">
        <v>7459.88</v>
      </c>
      <c r="R16" s="3460">
        <v>31358</v>
      </c>
      <c r="S16" s="3460">
        <v>1.58</v>
      </c>
      <c r="T16" s="3460" t="s">
        <v>3446</v>
      </c>
    </row>
    <row r="17" spans="1:20" hidden="1">
      <c r="A17" s="3460" t="s">
        <v>3518</v>
      </c>
      <c r="B17" s="3460" t="s">
        <v>3519</v>
      </c>
      <c r="C17" s="3460" t="s">
        <v>3520</v>
      </c>
      <c r="D17" s="3460" t="s">
        <v>3521</v>
      </c>
      <c r="E17" s="3460" t="s">
        <v>3522</v>
      </c>
      <c r="F17" s="3460" t="s">
        <v>3429</v>
      </c>
      <c r="G17" s="3460">
        <v>7289.19</v>
      </c>
      <c r="H17" s="3460">
        <v>21867.57</v>
      </c>
      <c r="I17" s="3460" t="s">
        <v>3523</v>
      </c>
      <c r="J17" s="3460" t="s">
        <v>3524</v>
      </c>
      <c r="K17" s="3460" t="s">
        <v>3507</v>
      </c>
      <c r="L17" s="3460" t="s">
        <v>3431</v>
      </c>
      <c r="M17" s="3462">
        <v>43923.000497685185</v>
      </c>
      <c r="N17" s="3460" t="s">
        <v>3525</v>
      </c>
      <c r="O17" s="3460" t="s">
        <v>3526</v>
      </c>
      <c r="P17" s="3460">
        <v>35200</v>
      </c>
      <c r="Q17" s="3460">
        <v>3219.38</v>
      </c>
      <c r="R17" s="3460">
        <v>16097</v>
      </c>
      <c r="S17" s="3460">
        <v>0</v>
      </c>
      <c r="T17" s="3460" t="s">
        <v>3446</v>
      </c>
    </row>
    <row r="18" spans="1:20" s="3465" customFormat="1">
      <c r="A18" s="3463" t="s">
        <v>3527</v>
      </c>
      <c r="B18" s="3463" t="s">
        <v>3528</v>
      </c>
      <c r="C18" s="3463" t="s">
        <v>3529</v>
      </c>
      <c r="D18" s="3463" t="s">
        <v>3530</v>
      </c>
      <c r="E18" s="3463" t="s">
        <v>3531</v>
      </c>
      <c r="F18" s="3463" t="s">
        <v>3429</v>
      </c>
      <c r="G18" s="3463">
        <v>12501.51</v>
      </c>
      <c r="H18" s="3463">
        <v>37505</v>
      </c>
      <c r="I18" s="3463" t="s">
        <v>3523</v>
      </c>
      <c r="J18" s="3463" t="s">
        <v>3430</v>
      </c>
      <c r="K18" s="3463" t="s">
        <v>3532</v>
      </c>
      <c r="L18" s="3463" t="s">
        <v>3431</v>
      </c>
      <c r="M18" s="3464">
        <v>43923.000497685185</v>
      </c>
      <c r="N18" s="3463" t="s">
        <v>3533</v>
      </c>
      <c r="O18" s="3463" t="s">
        <v>3534</v>
      </c>
      <c r="P18" s="3463">
        <v>56000</v>
      </c>
      <c r="Q18" s="3463">
        <v>2986.31</v>
      </c>
      <c r="R18" s="3463">
        <v>14931</v>
      </c>
      <c r="S18" s="3463">
        <v>0</v>
      </c>
      <c r="T18" s="3463" t="s">
        <v>3446</v>
      </c>
    </row>
    <row r="19" spans="1:20" hidden="1">
      <c r="A19" s="3460" t="s">
        <v>3535</v>
      </c>
      <c r="B19" s="3460" t="s">
        <v>3536</v>
      </c>
      <c r="C19" s="3460" t="s">
        <v>3477</v>
      </c>
      <c r="D19" s="3460" t="s">
        <v>3478</v>
      </c>
      <c r="E19" s="3460" t="s">
        <v>3537</v>
      </c>
      <c r="F19" s="3460" t="s">
        <v>3429</v>
      </c>
      <c r="G19" s="3460">
        <v>30159.25</v>
      </c>
      <c r="H19" s="3460">
        <v>138421</v>
      </c>
      <c r="I19" s="3460" t="s">
        <v>3538</v>
      </c>
      <c r="J19" s="3460" t="s">
        <v>3480</v>
      </c>
      <c r="K19" s="3460" t="s">
        <v>3539</v>
      </c>
      <c r="L19" s="3460" t="s">
        <v>3431</v>
      </c>
      <c r="M19" s="3462">
        <v>43811.000497685185</v>
      </c>
      <c r="N19" s="3460" t="s">
        <v>3540</v>
      </c>
      <c r="O19" s="3460" t="s">
        <v>3541</v>
      </c>
      <c r="P19" s="3460">
        <v>230100</v>
      </c>
      <c r="Q19" s="3460">
        <v>5086.33</v>
      </c>
      <c r="R19" s="3460">
        <v>16623</v>
      </c>
      <c r="S19" s="3460">
        <v>0</v>
      </c>
      <c r="T19" s="3460" t="s">
        <v>3446</v>
      </c>
    </row>
    <row r="20" spans="1:20" hidden="1">
      <c r="A20" s="3460" t="s">
        <v>3542</v>
      </c>
      <c r="B20" s="3460" t="s">
        <v>3543</v>
      </c>
      <c r="C20" s="3460" t="s">
        <v>3477</v>
      </c>
      <c r="D20" s="3460" t="s">
        <v>3478</v>
      </c>
      <c r="E20" s="3460" t="s">
        <v>3537</v>
      </c>
      <c r="F20" s="3460" t="s">
        <v>3429</v>
      </c>
      <c r="G20" s="3460">
        <v>35629.120000000003</v>
      </c>
      <c r="H20" s="3460">
        <v>100429</v>
      </c>
      <c r="I20" s="3460" t="s">
        <v>3544</v>
      </c>
      <c r="J20" s="3460" t="s">
        <v>3545</v>
      </c>
      <c r="K20" s="3460" t="s">
        <v>3546</v>
      </c>
      <c r="L20" s="3460" t="s">
        <v>3431</v>
      </c>
      <c r="M20" s="3462">
        <v>43811.000497685185</v>
      </c>
      <c r="N20" s="3460" t="s">
        <v>3540</v>
      </c>
      <c r="O20" s="3460" t="s">
        <v>3541</v>
      </c>
      <c r="P20" s="3460">
        <v>166700</v>
      </c>
      <c r="Q20" s="3460">
        <v>3119.17</v>
      </c>
      <c r="R20" s="3460">
        <v>16599</v>
      </c>
      <c r="S20" s="3460">
        <v>0</v>
      </c>
      <c r="T20" s="3460" t="s">
        <v>3446</v>
      </c>
    </row>
    <row r="21" spans="1:20" hidden="1">
      <c r="A21" s="3460" t="s">
        <v>3547</v>
      </c>
      <c r="B21" s="3460" t="s">
        <v>3548</v>
      </c>
      <c r="C21" s="3460" t="s">
        <v>3426</v>
      </c>
      <c r="D21" s="3460" t="s">
        <v>3549</v>
      </c>
      <c r="E21" s="3460" t="s">
        <v>3550</v>
      </c>
      <c r="F21" s="3460" t="s">
        <v>3429</v>
      </c>
      <c r="G21" s="3460">
        <v>70601.070000000007</v>
      </c>
      <c r="H21" s="3460">
        <v>285523</v>
      </c>
      <c r="I21" s="3460" t="s">
        <v>3551</v>
      </c>
      <c r="J21" s="3460" t="s">
        <v>3552</v>
      </c>
      <c r="K21" s="3460" t="s">
        <v>3431</v>
      </c>
      <c r="L21" s="3460" t="s">
        <v>3431</v>
      </c>
      <c r="M21" s="3462">
        <v>43801.000497685185</v>
      </c>
      <c r="N21" s="3460" t="s">
        <v>3553</v>
      </c>
      <c r="O21" s="3460" t="s">
        <v>3554</v>
      </c>
      <c r="P21" s="3460">
        <v>660900</v>
      </c>
      <c r="Q21" s="3460">
        <v>6240.7</v>
      </c>
      <c r="R21" s="3460">
        <v>23147</v>
      </c>
      <c r="S21" s="3460">
        <v>0</v>
      </c>
      <c r="T21" s="3460" t="s">
        <v>3446</v>
      </c>
    </row>
    <row r="22" spans="1:20">
      <c r="A22" s="3460" t="s">
        <v>3555</v>
      </c>
      <c r="B22" s="3460" t="s">
        <v>3556</v>
      </c>
      <c r="C22" s="3460" t="s">
        <v>3440</v>
      </c>
      <c r="D22" s="3460" t="s">
        <v>3460</v>
      </c>
      <c r="E22" s="3460" t="s">
        <v>3557</v>
      </c>
      <c r="F22" s="3460" t="s">
        <v>3429</v>
      </c>
      <c r="G22" s="3460">
        <v>28003.32</v>
      </c>
      <c r="H22" s="3460">
        <v>70008</v>
      </c>
      <c r="I22" s="3460" t="s">
        <v>3558</v>
      </c>
      <c r="J22" s="3460" t="s">
        <v>3430</v>
      </c>
      <c r="K22" s="3460" t="s">
        <v>3559</v>
      </c>
      <c r="L22" s="3460" t="s">
        <v>3431</v>
      </c>
      <c r="M22" s="3462">
        <v>43755.000497685185</v>
      </c>
      <c r="N22" s="3460" t="s">
        <v>3560</v>
      </c>
      <c r="O22" s="3460" t="s">
        <v>3561</v>
      </c>
      <c r="P22" s="3460">
        <v>97800</v>
      </c>
      <c r="Q22" s="3460">
        <v>2328.3000000000002</v>
      </c>
      <c r="R22" s="3460">
        <v>13970</v>
      </c>
      <c r="S22" s="3460">
        <v>1.03</v>
      </c>
      <c r="T22" s="3460" t="s">
        <v>3434</v>
      </c>
    </row>
    <row r="23" spans="1:20" hidden="1">
      <c r="A23" s="3460" t="s">
        <v>3562</v>
      </c>
      <c r="B23" s="3460" t="s">
        <v>3563</v>
      </c>
      <c r="C23" s="3460" t="s">
        <v>3426</v>
      </c>
      <c r="D23" s="3460" t="s">
        <v>3564</v>
      </c>
      <c r="E23" s="3460" t="s">
        <v>3565</v>
      </c>
      <c r="F23" s="3460" t="s">
        <v>3429</v>
      </c>
      <c r="G23" s="3460">
        <v>22035.93</v>
      </c>
      <c r="H23" s="3460">
        <v>61700.6</v>
      </c>
      <c r="I23" s="3460" t="s">
        <v>3454</v>
      </c>
      <c r="J23" s="3460" t="s">
        <v>3480</v>
      </c>
      <c r="K23" s="3460" t="s">
        <v>3507</v>
      </c>
      <c r="L23" s="3460" t="s">
        <v>3431</v>
      </c>
      <c r="M23" s="3462">
        <v>43650.000497685185</v>
      </c>
      <c r="N23" s="3460" t="s">
        <v>3566</v>
      </c>
      <c r="O23" s="3460" t="s">
        <v>3567</v>
      </c>
      <c r="P23" s="3460">
        <v>103700</v>
      </c>
      <c r="Q23" s="3460">
        <v>3137.3</v>
      </c>
      <c r="R23" s="3460">
        <v>16807</v>
      </c>
      <c r="S23" s="3460">
        <v>0</v>
      </c>
      <c r="T23" s="3460" t="s">
        <v>3446</v>
      </c>
    </row>
    <row r="24" spans="1:20" hidden="1">
      <c r="A24" s="3460" t="s">
        <v>3568</v>
      </c>
      <c r="B24" s="3460" t="s">
        <v>3569</v>
      </c>
      <c r="C24" s="3460" t="s">
        <v>3426</v>
      </c>
      <c r="D24" s="3460" t="s">
        <v>3427</v>
      </c>
      <c r="E24" s="3460" t="s">
        <v>3570</v>
      </c>
      <c r="F24" s="3460" t="s">
        <v>3429</v>
      </c>
      <c r="G24" s="3460">
        <v>32158.94</v>
      </c>
      <c r="H24" s="3460">
        <v>96476.82</v>
      </c>
      <c r="I24" s="3460" t="s">
        <v>3523</v>
      </c>
      <c r="J24" s="3460" t="s">
        <v>3506</v>
      </c>
      <c r="K24" s="3460" t="s">
        <v>3571</v>
      </c>
      <c r="L24" s="3460" t="s">
        <v>3431</v>
      </c>
      <c r="M24" s="3462">
        <v>43613.000497685185</v>
      </c>
      <c r="N24" s="3460" t="s">
        <v>3572</v>
      </c>
      <c r="O24" s="3460" t="s">
        <v>3433</v>
      </c>
      <c r="P24" s="3460">
        <v>263800</v>
      </c>
      <c r="Q24" s="3460">
        <v>5468.67</v>
      </c>
      <c r="R24" s="3460">
        <v>27343</v>
      </c>
      <c r="S24" s="3460">
        <v>0</v>
      </c>
      <c r="T24" s="3460" t="s">
        <v>3446</v>
      </c>
    </row>
    <row r="25" spans="1:20" hidden="1">
      <c r="A25" s="3460" t="s">
        <v>3573</v>
      </c>
      <c r="B25" s="3460" t="s">
        <v>3574</v>
      </c>
      <c r="C25" s="3460" t="s">
        <v>3529</v>
      </c>
      <c r="D25" s="3460" t="s">
        <v>3530</v>
      </c>
      <c r="E25" s="3460" t="s">
        <v>3575</v>
      </c>
      <c r="F25" s="3460" t="s">
        <v>3429</v>
      </c>
      <c r="G25" s="3460">
        <v>28622.32</v>
      </c>
      <c r="H25" s="3460">
        <v>71556</v>
      </c>
      <c r="I25" s="3460">
        <v>2.5</v>
      </c>
      <c r="J25" s="3460" t="s">
        <v>3480</v>
      </c>
      <c r="K25" s="3460" t="s">
        <v>3576</v>
      </c>
      <c r="L25" s="3460" t="s">
        <v>3431</v>
      </c>
      <c r="M25" s="3462">
        <v>43430.000497685185</v>
      </c>
      <c r="N25" s="3460" t="s">
        <v>3577</v>
      </c>
      <c r="O25" s="3460" t="s">
        <v>3578</v>
      </c>
      <c r="P25" s="3460">
        <v>132000</v>
      </c>
      <c r="Q25" s="3460">
        <v>3074.52</v>
      </c>
      <c r="R25" s="3460">
        <v>18447</v>
      </c>
      <c r="S25" s="3460">
        <v>0</v>
      </c>
      <c r="T25" s="3460" t="s">
        <v>3446</v>
      </c>
    </row>
    <row r="26" spans="1:20" hidden="1">
      <c r="A26" s="3460" t="s">
        <v>3579</v>
      </c>
      <c r="B26" s="3460" t="s">
        <v>3580</v>
      </c>
      <c r="C26" s="3460" t="s">
        <v>3520</v>
      </c>
      <c r="D26" s="3460" t="s">
        <v>3581</v>
      </c>
      <c r="E26" s="3460" t="s">
        <v>3582</v>
      </c>
      <c r="F26" s="3460" t="s">
        <v>3429</v>
      </c>
      <c r="G26" s="3460">
        <v>138746.29999999999</v>
      </c>
      <c r="H26" s="3460">
        <v>486596</v>
      </c>
      <c r="I26" s="3460">
        <v>3.51</v>
      </c>
      <c r="J26" s="3460" t="s">
        <v>3545</v>
      </c>
      <c r="K26" s="3460" t="s">
        <v>3583</v>
      </c>
      <c r="L26" s="3460" t="s">
        <v>3431</v>
      </c>
      <c r="M26" s="3462">
        <v>43409.000497685185</v>
      </c>
      <c r="N26" s="3460" t="s">
        <v>3584</v>
      </c>
      <c r="O26" s="3460" t="s">
        <v>3585</v>
      </c>
      <c r="P26" s="3460">
        <v>866300</v>
      </c>
      <c r="Q26" s="3460">
        <v>4162.51</v>
      </c>
      <c r="R26" s="3460">
        <v>17803</v>
      </c>
      <c r="S26" s="3460">
        <v>0</v>
      </c>
      <c r="T26" s="3460" t="s">
        <v>3446</v>
      </c>
    </row>
    <row r="27" spans="1:20" s="3465" customFormat="1">
      <c r="A27" s="3463" t="s">
        <v>3586</v>
      </c>
      <c r="B27" s="3463" t="s">
        <v>3587</v>
      </c>
      <c r="C27" s="3463" t="s">
        <v>3477</v>
      </c>
      <c r="D27" s="3463" t="s">
        <v>3427</v>
      </c>
      <c r="E27" s="3463" t="s">
        <v>3588</v>
      </c>
      <c r="F27" s="3463" t="s">
        <v>3429</v>
      </c>
      <c r="G27" s="3463">
        <v>59747.77</v>
      </c>
      <c r="H27" s="3463">
        <v>89622</v>
      </c>
      <c r="I27" s="3463">
        <v>1.5</v>
      </c>
      <c r="J27" s="3463" t="s">
        <v>3589</v>
      </c>
      <c r="K27" s="3463" t="s">
        <v>3590</v>
      </c>
      <c r="L27" s="3463" t="s">
        <v>3431</v>
      </c>
      <c r="M27" s="3464">
        <v>43109.000497685185</v>
      </c>
      <c r="N27" s="3463" t="s">
        <v>3591</v>
      </c>
      <c r="O27" s="3463" t="s">
        <v>3592</v>
      </c>
      <c r="P27" s="3463">
        <v>146800</v>
      </c>
      <c r="Q27" s="3463">
        <v>1638</v>
      </c>
      <c r="R27" s="3463">
        <v>16380</v>
      </c>
      <c r="S27" s="3463">
        <v>0</v>
      </c>
      <c r="T27" s="3463" t="s">
        <v>3593</v>
      </c>
    </row>
    <row r="28" spans="1:20" s="3465" customFormat="1">
      <c r="A28" s="3463" t="s">
        <v>3594</v>
      </c>
      <c r="B28" s="3463" t="s">
        <v>3595</v>
      </c>
      <c r="C28" s="3463" t="s">
        <v>3477</v>
      </c>
      <c r="D28" s="3463" t="s">
        <v>3427</v>
      </c>
      <c r="E28" s="3463" t="s">
        <v>3588</v>
      </c>
      <c r="F28" s="3463" t="s">
        <v>3429</v>
      </c>
      <c r="G28" s="3463">
        <v>31420.65</v>
      </c>
      <c r="H28" s="3463">
        <v>65983</v>
      </c>
      <c r="I28" s="3463">
        <v>2.1</v>
      </c>
      <c r="J28" s="3463" t="s">
        <v>3589</v>
      </c>
      <c r="K28" s="3463" t="s">
        <v>3596</v>
      </c>
      <c r="L28" s="3463" t="s">
        <v>3597</v>
      </c>
      <c r="M28" s="3464">
        <v>43109.000497685185</v>
      </c>
      <c r="N28" s="3463" t="s">
        <v>3598</v>
      </c>
      <c r="O28" s="3463" t="s">
        <v>3599</v>
      </c>
      <c r="P28" s="3463">
        <v>108100</v>
      </c>
      <c r="Q28" s="3463">
        <v>2293.61</v>
      </c>
      <c r="R28" s="3463">
        <v>16383</v>
      </c>
      <c r="S28" s="3463">
        <v>0</v>
      </c>
      <c r="T28" s="3463" t="s">
        <v>3593</v>
      </c>
    </row>
    <row r="29" spans="1:20" hidden="1">
      <c r="A29" s="3460" t="s">
        <v>3600</v>
      </c>
      <c r="B29" s="3460" t="s">
        <v>3601</v>
      </c>
      <c r="C29" s="3460" t="s">
        <v>3426</v>
      </c>
      <c r="D29" s="3460" t="s">
        <v>3512</v>
      </c>
      <c r="E29" s="3460" t="s">
        <v>3513</v>
      </c>
      <c r="F29" s="3460" t="s">
        <v>3429</v>
      </c>
      <c r="G29" s="3460">
        <v>15240.2</v>
      </c>
      <c r="H29" s="3460">
        <v>86800</v>
      </c>
      <c r="I29" s="3460">
        <v>5.7</v>
      </c>
      <c r="J29" s="3460" t="s">
        <v>3480</v>
      </c>
      <c r="K29" s="3460" t="s">
        <v>3431</v>
      </c>
      <c r="L29" s="3460" t="s">
        <v>3431</v>
      </c>
      <c r="M29" s="3462">
        <v>43055.000497685185</v>
      </c>
      <c r="N29" s="3460" t="s">
        <v>3602</v>
      </c>
      <c r="O29" s="3460" t="s">
        <v>3431</v>
      </c>
      <c r="P29" s="3460">
        <v>242500</v>
      </c>
      <c r="Q29" s="3460">
        <v>10607.91</v>
      </c>
      <c r="R29" s="3460">
        <v>27938</v>
      </c>
      <c r="S29" s="3460">
        <v>2.11</v>
      </c>
      <c r="T29" s="3460" t="s">
        <v>3446</v>
      </c>
    </row>
    <row r="30" spans="1:20" hidden="1">
      <c r="A30" s="3460" t="s">
        <v>3603</v>
      </c>
      <c r="B30" s="3460" t="s">
        <v>3604</v>
      </c>
      <c r="C30" s="3460" t="s">
        <v>3477</v>
      </c>
      <c r="D30" s="3460" t="s">
        <v>3605</v>
      </c>
      <c r="E30" s="3460" t="s">
        <v>3606</v>
      </c>
      <c r="F30" s="3460" t="s">
        <v>3429</v>
      </c>
      <c r="G30" s="3460">
        <v>16863.939999999999</v>
      </c>
      <c r="H30" s="3460">
        <v>87923.61</v>
      </c>
      <c r="I30" s="3460">
        <v>5.21</v>
      </c>
      <c r="J30" s="3460" t="s">
        <v>3480</v>
      </c>
      <c r="K30" s="3460" t="s">
        <v>3607</v>
      </c>
      <c r="L30" s="3460" t="s">
        <v>3431</v>
      </c>
      <c r="M30" s="3462">
        <v>43053.000497685185</v>
      </c>
      <c r="N30" s="3460" t="s">
        <v>3608</v>
      </c>
      <c r="O30" s="3460" t="s">
        <v>3431</v>
      </c>
      <c r="P30" s="3460">
        <v>211000</v>
      </c>
      <c r="Q30" s="3460">
        <v>8341.27</v>
      </c>
      <c r="R30" s="3460">
        <v>23998</v>
      </c>
      <c r="S30" s="3460">
        <v>0</v>
      </c>
      <c r="T30" s="3460" t="s">
        <v>3446</v>
      </c>
    </row>
    <row r="31" spans="1:20">
      <c r="A31" s="3460" t="s">
        <v>3609</v>
      </c>
      <c r="B31" s="3460" t="s">
        <v>3610</v>
      </c>
      <c r="C31" s="3460" t="s">
        <v>3440</v>
      </c>
      <c r="D31" s="3460" t="s">
        <v>3611</v>
      </c>
      <c r="E31" s="3460" t="s">
        <v>3612</v>
      </c>
      <c r="F31" s="3460" t="s">
        <v>3429</v>
      </c>
      <c r="G31" s="3460">
        <v>35230.230000000003</v>
      </c>
      <c r="H31" s="3460">
        <v>88076</v>
      </c>
      <c r="I31" s="3460">
        <v>2.5</v>
      </c>
      <c r="J31" s="3460" t="s">
        <v>3430</v>
      </c>
      <c r="K31" s="3460" t="s">
        <v>3431</v>
      </c>
      <c r="L31" s="3460" t="s">
        <v>3431</v>
      </c>
      <c r="M31" s="3462">
        <v>42867.000497685185</v>
      </c>
      <c r="N31" s="3460" t="s">
        <v>3613</v>
      </c>
      <c r="O31" s="3460" t="s">
        <v>3431</v>
      </c>
      <c r="P31" s="3460">
        <v>62000</v>
      </c>
      <c r="Q31" s="3460">
        <v>1173.23</v>
      </c>
      <c r="R31" s="3460">
        <v>7039</v>
      </c>
      <c r="S31" s="3460">
        <v>0</v>
      </c>
      <c r="T31" s="3460" t="s">
        <v>3434</v>
      </c>
    </row>
    <row r="32" spans="1:20">
      <c r="A32" s="3460" t="s">
        <v>3614</v>
      </c>
      <c r="B32" s="3460" t="s">
        <v>3615</v>
      </c>
      <c r="C32" s="3460" t="s">
        <v>3616</v>
      </c>
      <c r="D32" s="3460" t="s">
        <v>3617</v>
      </c>
      <c r="E32" s="3460" t="s">
        <v>3618</v>
      </c>
      <c r="F32" s="3460" t="s">
        <v>3429</v>
      </c>
      <c r="G32" s="3460">
        <v>170200.2</v>
      </c>
      <c r="H32" s="3460">
        <v>255301</v>
      </c>
      <c r="I32" s="3460">
        <v>1.5</v>
      </c>
      <c r="J32" s="3460" t="s">
        <v>3430</v>
      </c>
      <c r="K32" s="3460" t="s">
        <v>3431</v>
      </c>
      <c r="L32" s="3460" t="s">
        <v>3431</v>
      </c>
      <c r="M32" s="3462">
        <v>42860.000497685185</v>
      </c>
      <c r="N32" s="3460" t="s">
        <v>3619</v>
      </c>
      <c r="O32" s="3460" t="s">
        <v>3620</v>
      </c>
      <c r="P32" s="3460">
        <v>259500</v>
      </c>
      <c r="Q32" s="3460">
        <v>1016.45</v>
      </c>
      <c r="R32" s="3460">
        <v>10164</v>
      </c>
      <c r="S32" s="3460">
        <v>1.76</v>
      </c>
      <c r="T32" s="3460" t="s">
        <v>3434</v>
      </c>
    </row>
    <row r="33" spans="1:20" hidden="1">
      <c r="A33" s="3460" t="s">
        <v>3621</v>
      </c>
      <c r="B33" s="3460" t="s">
        <v>3622</v>
      </c>
      <c r="C33" s="3460" t="s">
        <v>3520</v>
      </c>
      <c r="D33" s="3460" t="s">
        <v>3623</v>
      </c>
      <c r="E33" s="3460" t="s">
        <v>3624</v>
      </c>
      <c r="F33" s="3460" t="s">
        <v>3429</v>
      </c>
      <c r="G33" s="3460">
        <v>92055.95</v>
      </c>
      <c r="H33" s="3460">
        <v>92056</v>
      </c>
      <c r="I33" s="3460">
        <v>1</v>
      </c>
      <c r="J33" s="3460" t="s">
        <v>3480</v>
      </c>
      <c r="K33" s="3460">
        <v>12</v>
      </c>
      <c r="L33" s="3460" t="s">
        <v>3431</v>
      </c>
      <c r="M33" s="3462">
        <v>42836.000497685185</v>
      </c>
      <c r="N33" s="3460" t="s">
        <v>3625</v>
      </c>
      <c r="O33" s="3460" t="s">
        <v>3626</v>
      </c>
      <c r="P33" s="3460">
        <v>285373.59999999998</v>
      </c>
      <c r="Q33" s="3460">
        <v>2066.67</v>
      </c>
      <c r="R33" s="3460">
        <v>31000</v>
      </c>
      <c r="S33" s="3460">
        <v>0</v>
      </c>
      <c r="T33" s="3460" t="s">
        <v>3480</v>
      </c>
    </row>
    <row r="34" spans="1:20" hidden="1">
      <c r="A34" s="3460" t="s">
        <v>3627</v>
      </c>
      <c r="B34" s="3460" t="s">
        <v>3628</v>
      </c>
      <c r="C34" s="3460" t="s">
        <v>3520</v>
      </c>
      <c r="D34" s="3460" t="s">
        <v>3629</v>
      </c>
      <c r="E34" s="3460" t="s">
        <v>3630</v>
      </c>
      <c r="F34" s="3460" t="s">
        <v>3429</v>
      </c>
      <c r="G34" s="3460">
        <v>39744.120000000003</v>
      </c>
      <c r="H34" s="3460">
        <v>119232</v>
      </c>
      <c r="I34" s="3460">
        <v>3</v>
      </c>
      <c r="J34" s="3460" t="s">
        <v>3506</v>
      </c>
      <c r="K34" s="3460" t="s">
        <v>3631</v>
      </c>
      <c r="L34" s="3460" t="s">
        <v>3431</v>
      </c>
      <c r="M34" s="3462">
        <v>42839.000497685185</v>
      </c>
      <c r="N34" s="3460" t="s">
        <v>3632</v>
      </c>
      <c r="O34" s="3460" t="s">
        <v>3633</v>
      </c>
      <c r="P34" s="3460">
        <v>292000</v>
      </c>
      <c r="Q34" s="3460">
        <v>4898</v>
      </c>
      <c r="R34" s="3460">
        <v>24490</v>
      </c>
      <c r="S34" s="3460">
        <v>28.63</v>
      </c>
      <c r="T34" s="3460" t="s">
        <v>3494</v>
      </c>
    </row>
    <row r="35" spans="1:20">
      <c r="A35" s="3460" t="s">
        <v>3634</v>
      </c>
      <c r="B35" s="3460" t="s">
        <v>3635</v>
      </c>
      <c r="C35" s="3460" t="s">
        <v>3520</v>
      </c>
      <c r="D35" s="3460" t="s">
        <v>3629</v>
      </c>
      <c r="E35" s="3460" t="s">
        <v>3636</v>
      </c>
      <c r="F35" s="3460" t="s">
        <v>3429</v>
      </c>
      <c r="G35" s="3460">
        <v>46165.91</v>
      </c>
      <c r="H35" s="3460">
        <v>92332</v>
      </c>
      <c r="I35" s="3460">
        <v>2</v>
      </c>
      <c r="J35" s="3460" t="s">
        <v>3430</v>
      </c>
      <c r="K35" s="3460" t="s">
        <v>3431</v>
      </c>
      <c r="L35" s="3460" t="s">
        <v>3431</v>
      </c>
      <c r="M35" s="3462">
        <v>42824.000497685185</v>
      </c>
      <c r="N35" s="3460" t="s">
        <v>3637</v>
      </c>
      <c r="O35" s="3460" t="s">
        <v>3638</v>
      </c>
      <c r="P35" s="3460">
        <v>225000</v>
      </c>
      <c r="Q35" s="3460">
        <v>3249.15</v>
      </c>
      <c r="R35" s="3460">
        <v>24369</v>
      </c>
      <c r="S35" s="3460">
        <v>27.84</v>
      </c>
      <c r="T35" s="3460" t="s">
        <v>3446</v>
      </c>
    </row>
    <row r="36" spans="1:20">
      <c r="A36" s="3460" t="s">
        <v>3639</v>
      </c>
      <c r="B36" s="3460" t="s">
        <v>3640</v>
      </c>
      <c r="C36" s="3460" t="s">
        <v>3520</v>
      </c>
      <c r="D36" s="3460" t="s">
        <v>3629</v>
      </c>
      <c r="E36" s="3460" t="s">
        <v>3636</v>
      </c>
      <c r="F36" s="3460" t="s">
        <v>3429</v>
      </c>
      <c r="G36" s="3460">
        <v>38100</v>
      </c>
      <c r="H36" s="3460">
        <v>76200</v>
      </c>
      <c r="I36" s="3460">
        <v>2</v>
      </c>
      <c r="J36" s="3460" t="s">
        <v>3430</v>
      </c>
      <c r="K36" s="3460" t="s">
        <v>3431</v>
      </c>
      <c r="L36" s="3460" t="s">
        <v>3431</v>
      </c>
      <c r="M36" s="3462">
        <v>42824.000497685185</v>
      </c>
      <c r="N36" s="3460" t="s">
        <v>3641</v>
      </c>
      <c r="O36" s="3460" t="s">
        <v>3642</v>
      </c>
      <c r="P36" s="3460">
        <v>204000</v>
      </c>
      <c r="Q36" s="3460">
        <v>3569.55</v>
      </c>
      <c r="R36" s="3460">
        <v>26772</v>
      </c>
      <c r="S36" s="3460">
        <v>40.69</v>
      </c>
      <c r="T36" s="3460" t="s">
        <v>3446</v>
      </c>
    </row>
    <row r="37" spans="1:20">
      <c r="A37" s="3460" t="s">
        <v>3643</v>
      </c>
      <c r="B37" s="3460" t="s">
        <v>3644</v>
      </c>
      <c r="C37" s="3460" t="s">
        <v>3477</v>
      </c>
      <c r="D37" s="3460" t="s">
        <v>3427</v>
      </c>
      <c r="E37" s="3460" t="s">
        <v>3645</v>
      </c>
      <c r="F37" s="3460" t="s">
        <v>3429</v>
      </c>
      <c r="G37" s="3460">
        <v>69848.44</v>
      </c>
      <c r="H37" s="3460">
        <v>146863</v>
      </c>
      <c r="I37" s="3460">
        <v>2.1</v>
      </c>
      <c r="J37" s="3460" t="s">
        <v>3589</v>
      </c>
      <c r="K37" s="3460" t="s">
        <v>3431</v>
      </c>
      <c r="L37" s="3460" t="s">
        <v>3431</v>
      </c>
      <c r="M37" s="3462">
        <v>42711.000497685185</v>
      </c>
      <c r="N37" s="3460" t="s">
        <v>3646</v>
      </c>
      <c r="O37" s="3460" t="s">
        <v>3431</v>
      </c>
      <c r="P37" s="3460">
        <v>220000</v>
      </c>
      <c r="Q37" s="3460">
        <v>2099.7800000000002</v>
      </c>
      <c r="R37" s="3460">
        <v>14980</v>
      </c>
      <c r="S37" s="3460">
        <v>0</v>
      </c>
      <c r="T37" s="3460" t="s">
        <v>3593</v>
      </c>
    </row>
    <row r="38" spans="1:20">
      <c r="A38" s="3460" t="s">
        <v>3647</v>
      </c>
      <c r="B38" s="3460" t="s">
        <v>3648</v>
      </c>
      <c r="C38" s="3460" t="s">
        <v>3477</v>
      </c>
      <c r="D38" s="3460" t="s">
        <v>3427</v>
      </c>
      <c r="E38" s="3460" t="s">
        <v>3645</v>
      </c>
      <c r="F38" s="3460" t="s">
        <v>3429</v>
      </c>
      <c r="G38" s="3460">
        <v>66079.679999999993</v>
      </c>
      <c r="H38" s="3460">
        <v>111429</v>
      </c>
      <c r="I38" s="3460">
        <v>1.69</v>
      </c>
      <c r="J38" s="3460" t="s">
        <v>3589</v>
      </c>
      <c r="K38" s="3460" t="s">
        <v>3431</v>
      </c>
      <c r="L38" s="3460" t="s">
        <v>3431</v>
      </c>
      <c r="M38" s="3462">
        <v>42711.000497685185</v>
      </c>
      <c r="N38" s="3460" t="s">
        <v>3598</v>
      </c>
      <c r="O38" s="3460" t="s">
        <v>3431</v>
      </c>
      <c r="P38" s="3460">
        <v>135000</v>
      </c>
      <c r="Q38" s="3460">
        <v>1361.99</v>
      </c>
      <c r="R38" s="3460">
        <v>12115</v>
      </c>
      <c r="S38" s="3460">
        <v>0</v>
      </c>
      <c r="T38" s="3460" t="s">
        <v>3593</v>
      </c>
    </row>
    <row r="39" spans="1:20">
      <c r="A39" s="3460" t="s">
        <v>3649</v>
      </c>
      <c r="B39" s="3460" t="s">
        <v>3650</v>
      </c>
      <c r="C39" s="3460" t="s">
        <v>3440</v>
      </c>
      <c r="D39" s="3460" t="s">
        <v>3452</v>
      </c>
      <c r="E39" s="3460" t="s">
        <v>3651</v>
      </c>
      <c r="F39" s="3460" t="s">
        <v>3429</v>
      </c>
      <c r="G39" s="3460">
        <v>2070793</v>
      </c>
      <c r="H39" s="3460">
        <v>1642730</v>
      </c>
      <c r="I39" s="3460">
        <v>0.79</v>
      </c>
      <c r="J39" s="3460" t="s">
        <v>3652</v>
      </c>
      <c r="K39" s="3460" t="s">
        <v>3431</v>
      </c>
      <c r="L39" s="3460" t="s">
        <v>3431</v>
      </c>
      <c r="M39" s="3462">
        <v>42558.000497685185</v>
      </c>
      <c r="N39" s="3460" t="s">
        <v>3653</v>
      </c>
      <c r="O39" s="3460" t="s">
        <v>3456</v>
      </c>
      <c r="P39" s="3460">
        <v>870000</v>
      </c>
      <c r="Q39" s="3460">
        <v>280.08999999999997</v>
      </c>
      <c r="R39" s="3460">
        <v>5296</v>
      </c>
      <c r="S39" s="3460">
        <v>0</v>
      </c>
      <c r="T39" s="3460" t="s">
        <v>3446</v>
      </c>
    </row>
    <row r="40" spans="1:20">
      <c r="A40" s="3460" t="s">
        <v>3654</v>
      </c>
      <c r="B40" s="3460" t="s">
        <v>3655</v>
      </c>
      <c r="C40" s="3460" t="s">
        <v>3426</v>
      </c>
      <c r="D40" s="3460" t="s">
        <v>3427</v>
      </c>
      <c r="E40" s="3460" t="s">
        <v>3656</v>
      </c>
      <c r="F40" s="3460" t="s">
        <v>3429</v>
      </c>
      <c r="G40" s="3460">
        <v>13326.99</v>
      </c>
      <c r="H40" s="3460">
        <v>46644</v>
      </c>
      <c r="I40" s="3460">
        <v>3.5</v>
      </c>
      <c r="J40" s="3460" t="s">
        <v>3490</v>
      </c>
      <c r="K40" s="3460" t="s">
        <v>3431</v>
      </c>
      <c r="L40" s="3460" t="s">
        <v>3431</v>
      </c>
      <c r="M40" s="3462">
        <v>42523.000497685185</v>
      </c>
      <c r="N40" s="3460" t="s">
        <v>3657</v>
      </c>
      <c r="O40" s="3460" t="s">
        <v>3658</v>
      </c>
      <c r="P40" s="3460">
        <v>141000</v>
      </c>
      <c r="Q40" s="3460">
        <v>7053.36</v>
      </c>
      <c r="R40" s="3460">
        <v>30229</v>
      </c>
      <c r="S40" s="3460">
        <v>107.35</v>
      </c>
      <c r="T40" s="3460" t="s">
        <v>3446</v>
      </c>
    </row>
    <row r="41" spans="1:20">
      <c r="A41" s="3460" t="s">
        <v>3659</v>
      </c>
      <c r="B41" s="3460" t="s">
        <v>3660</v>
      </c>
      <c r="C41" s="3460" t="s">
        <v>3520</v>
      </c>
      <c r="D41" s="3460" t="s">
        <v>3661</v>
      </c>
      <c r="E41" s="3460" t="s">
        <v>3662</v>
      </c>
      <c r="F41" s="3460" t="s">
        <v>3429</v>
      </c>
      <c r="G41" s="3460">
        <v>18313.7</v>
      </c>
      <c r="H41" s="3460">
        <v>119400</v>
      </c>
      <c r="I41" s="3460">
        <v>6.52</v>
      </c>
      <c r="J41" s="3460" t="s">
        <v>3480</v>
      </c>
      <c r="K41" s="3460" t="s">
        <v>3431</v>
      </c>
      <c r="L41" s="3460" t="s">
        <v>3431</v>
      </c>
      <c r="M41" s="3462">
        <v>42395.000497685185</v>
      </c>
      <c r="N41" s="3460" t="s">
        <v>3663</v>
      </c>
      <c r="O41" s="3460" t="s">
        <v>3626</v>
      </c>
      <c r="P41" s="3460">
        <v>415000</v>
      </c>
      <c r="Q41" s="3460">
        <v>15107.09</v>
      </c>
      <c r="R41" s="3460">
        <v>34757</v>
      </c>
      <c r="S41" s="3460">
        <v>0</v>
      </c>
      <c r="T41" s="3460" t="s">
        <v>3446</v>
      </c>
    </row>
    <row r="42" spans="1:20">
      <c r="A42" s="3460" t="s">
        <v>3664</v>
      </c>
      <c r="B42" s="3460" t="s">
        <v>3665</v>
      </c>
      <c r="C42" s="3460" t="s">
        <v>3616</v>
      </c>
      <c r="D42" s="3460" t="s">
        <v>3666</v>
      </c>
      <c r="E42" s="3460" t="s">
        <v>3667</v>
      </c>
      <c r="F42" s="3460" t="s">
        <v>3429</v>
      </c>
      <c r="G42" s="3460">
        <v>49477.2</v>
      </c>
      <c r="H42" s="3460">
        <v>123693</v>
      </c>
      <c r="I42" s="3460">
        <v>2.5</v>
      </c>
      <c r="J42" s="3460" t="s">
        <v>3430</v>
      </c>
      <c r="K42" s="3460" t="s">
        <v>3431</v>
      </c>
      <c r="L42" s="3460" t="s">
        <v>3431</v>
      </c>
      <c r="M42" s="3462">
        <v>42396.000497685185</v>
      </c>
      <c r="N42" s="3460" t="s">
        <v>3668</v>
      </c>
      <c r="O42" s="3460" t="s">
        <v>3669</v>
      </c>
      <c r="P42" s="3460">
        <v>187500</v>
      </c>
      <c r="Q42" s="3460">
        <v>2526.42</v>
      </c>
      <c r="R42" s="3460">
        <v>15159</v>
      </c>
      <c r="S42" s="3460">
        <v>152.36000000000001</v>
      </c>
      <c r="T42" s="3460" t="s">
        <v>3446</v>
      </c>
    </row>
    <row r="43" spans="1:20">
      <c r="A43" s="3460" t="s">
        <v>3670</v>
      </c>
      <c r="B43" s="3460" t="s">
        <v>3671</v>
      </c>
      <c r="C43" s="3460" t="s">
        <v>3477</v>
      </c>
      <c r="D43" s="3460" t="s">
        <v>3478</v>
      </c>
      <c r="E43" s="3460" t="s">
        <v>3672</v>
      </c>
      <c r="F43" s="3460" t="s">
        <v>3429</v>
      </c>
      <c r="G43" s="3460">
        <v>35244.94</v>
      </c>
      <c r="H43" s="3460">
        <v>123357</v>
      </c>
      <c r="I43" s="3460">
        <v>3.5</v>
      </c>
      <c r="J43" s="3460" t="s">
        <v>3480</v>
      </c>
      <c r="K43" s="3460" t="s">
        <v>3431</v>
      </c>
      <c r="L43" s="3460" t="s">
        <v>3431</v>
      </c>
      <c r="M43" s="3462">
        <v>42331.000497685185</v>
      </c>
      <c r="N43" s="3460" t="s">
        <v>3673</v>
      </c>
      <c r="O43" s="3460" t="s">
        <v>3674</v>
      </c>
      <c r="P43" s="3460">
        <v>354000</v>
      </c>
      <c r="Q43" s="3460">
        <v>6696</v>
      </c>
      <c r="R43" s="3460">
        <v>28697</v>
      </c>
      <c r="S43" s="3460">
        <v>121.25</v>
      </c>
      <c r="T43" s="3460" t="s">
        <v>3446</v>
      </c>
    </row>
    <row r="44" spans="1:20">
      <c r="A44" s="3460" t="s">
        <v>3675</v>
      </c>
      <c r="B44" s="3460" t="s">
        <v>3676</v>
      </c>
      <c r="C44" s="3460" t="s">
        <v>3529</v>
      </c>
      <c r="D44" s="3460" t="s">
        <v>3677</v>
      </c>
      <c r="E44" s="3460" t="s">
        <v>3678</v>
      </c>
      <c r="F44" s="3460" t="s">
        <v>3429</v>
      </c>
      <c r="G44" s="3460">
        <v>74500</v>
      </c>
      <c r="H44" s="3460">
        <v>475640</v>
      </c>
      <c r="I44" s="3460">
        <v>6.38</v>
      </c>
      <c r="J44" s="3460" t="s">
        <v>3480</v>
      </c>
      <c r="K44" s="3460" t="s">
        <v>3431</v>
      </c>
      <c r="L44" s="3460" t="s">
        <v>3431</v>
      </c>
      <c r="M44" s="3462">
        <v>42327.000497685185</v>
      </c>
      <c r="N44" s="3460" t="s">
        <v>3679</v>
      </c>
      <c r="O44" s="3460" t="s">
        <v>3680</v>
      </c>
      <c r="P44" s="3460">
        <v>420000</v>
      </c>
      <c r="Q44" s="3460">
        <v>3758.39</v>
      </c>
      <c r="R44" s="3460">
        <v>8830</v>
      </c>
      <c r="S44" s="3460">
        <v>0</v>
      </c>
      <c r="T44" s="3460" t="s">
        <v>3446</v>
      </c>
    </row>
    <row r="45" spans="1:20">
      <c r="A45" s="3460" t="s">
        <v>3681</v>
      </c>
      <c r="B45" s="3460" t="s">
        <v>3682</v>
      </c>
      <c r="C45" s="3460" t="s">
        <v>3426</v>
      </c>
      <c r="D45" s="3460" t="s">
        <v>3427</v>
      </c>
      <c r="E45" s="3460" t="s">
        <v>3683</v>
      </c>
      <c r="F45" s="3460" t="s">
        <v>3429</v>
      </c>
      <c r="G45" s="3460">
        <v>17629.740000000002</v>
      </c>
      <c r="H45" s="3460">
        <v>52889</v>
      </c>
      <c r="I45" s="3460">
        <v>3</v>
      </c>
      <c r="J45" s="3460" t="s">
        <v>3490</v>
      </c>
      <c r="K45" s="3460" t="s">
        <v>3431</v>
      </c>
      <c r="L45" s="3460" t="s">
        <v>3431</v>
      </c>
      <c r="M45" s="3462">
        <v>42305.000497685185</v>
      </c>
      <c r="N45" s="3460" t="s">
        <v>3684</v>
      </c>
      <c r="O45" s="3460" t="s">
        <v>3685</v>
      </c>
      <c r="P45" s="3460">
        <v>64200</v>
      </c>
      <c r="Q45" s="3460">
        <v>2427.7199999999998</v>
      </c>
      <c r="R45" s="3460">
        <v>12139</v>
      </c>
      <c r="S45" s="3460">
        <v>1.1000000000000001</v>
      </c>
      <c r="T45" s="3460" t="s">
        <v>3446</v>
      </c>
    </row>
    <row r="46" spans="1:20">
      <c r="A46" s="3460" t="s">
        <v>3686</v>
      </c>
      <c r="B46" s="3460" t="s">
        <v>3687</v>
      </c>
      <c r="C46" s="3460" t="s">
        <v>3426</v>
      </c>
      <c r="D46" s="3460" t="s">
        <v>3427</v>
      </c>
      <c r="E46" s="3460" t="s">
        <v>3683</v>
      </c>
      <c r="F46" s="3460" t="s">
        <v>3429</v>
      </c>
      <c r="G46" s="3460">
        <v>20680.23</v>
      </c>
      <c r="H46" s="3460">
        <v>62041</v>
      </c>
      <c r="I46" s="3460">
        <v>3</v>
      </c>
      <c r="J46" s="3460" t="s">
        <v>3688</v>
      </c>
      <c r="K46" s="3460" t="s">
        <v>3431</v>
      </c>
      <c r="L46" s="3460" t="s">
        <v>3431</v>
      </c>
      <c r="M46" s="3462">
        <v>42304.000497685185</v>
      </c>
      <c r="N46" s="3460" t="s">
        <v>3689</v>
      </c>
      <c r="O46" s="3460" t="s">
        <v>3685</v>
      </c>
      <c r="P46" s="3460">
        <v>81000</v>
      </c>
      <c r="Q46" s="3460">
        <v>2611.19</v>
      </c>
      <c r="R46" s="3460">
        <v>13056</v>
      </c>
      <c r="S46" s="3460">
        <v>8</v>
      </c>
      <c r="T46" s="3460" t="s">
        <v>3446</v>
      </c>
    </row>
    <row r="47" spans="1:20">
      <c r="A47" s="3460" t="s">
        <v>3690</v>
      </c>
      <c r="B47" s="3460" t="s">
        <v>3691</v>
      </c>
      <c r="C47" s="3460" t="s">
        <v>3477</v>
      </c>
      <c r="D47" s="3460" t="s">
        <v>3427</v>
      </c>
      <c r="E47" s="3460" t="s">
        <v>3692</v>
      </c>
      <c r="F47" s="3460" t="s">
        <v>3429</v>
      </c>
      <c r="G47" s="3460">
        <v>27377.24</v>
      </c>
      <c r="H47" s="3460">
        <v>62968</v>
      </c>
      <c r="I47" s="3460">
        <v>2.2999999999999998</v>
      </c>
      <c r="J47" s="3460" t="s">
        <v>3589</v>
      </c>
      <c r="K47" s="3460" t="s">
        <v>3431</v>
      </c>
      <c r="L47" s="3460" t="s">
        <v>3431</v>
      </c>
      <c r="M47" s="3462">
        <v>42304.000497685185</v>
      </c>
      <c r="N47" s="3460" t="s">
        <v>3646</v>
      </c>
      <c r="O47" s="3460" t="s">
        <v>3431</v>
      </c>
      <c r="P47" s="3460">
        <v>65000</v>
      </c>
      <c r="Q47" s="3460">
        <v>1582.82</v>
      </c>
      <c r="R47" s="3460">
        <v>10323</v>
      </c>
      <c r="S47" s="3460">
        <v>0</v>
      </c>
      <c r="T47" s="3460" t="s">
        <v>3593</v>
      </c>
    </row>
    <row r="48" spans="1:20">
      <c r="A48" s="3460" t="s">
        <v>3693</v>
      </c>
      <c r="B48" s="3460" t="s">
        <v>3694</v>
      </c>
      <c r="C48" s="3460" t="s">
        <v>3520</v>
      </c>
      <c r="D48" s="3460" t="s">
        <v>3695</v>
      </c>
      <c r="E48" s="3460" t="s">
        <v>3696</v>
      </c>
      <c r="F48" s="3460" t="s">
        <v>3429</v>
      </c>
      <c r="G48" s="3460">
        <v>166012.29999999999</v>
      </c>
      <c r="H48" s="3460">
        <v>332025</v>
      </c>
      <c r="I48" s="3460">
        <v>2</v>
      </c>
      <c r="J48" s="3460" t="s">
        <v>3506</v>
      </c>
      <c r="K48" s="3460" t="s">
        <v>3431</v>
      </c>
      <c r="L48" s="3460" t="s">
        <v>3431</v>
      </c>
      <c r="M48" s="3462">
        <v>42258.000497685185</v>
      </c>
      <c r="N48" s="3460" t="s">
        <v>3697</v>
      </c>
      <c r="O48" s="3460" t="s">
        <v>3431</v>
      </c>
      <c r="P48" s="3460">
        <v>240045</v>
      </c>
      <c r="Q48" s="3460">
        <v>963.96</v>
      </c>
      <c r="R48" s="3460">
        <v>7230</v>
      </c>
      <c r="S48" s="3460">
        <v>0</v>
      </c>
      <c r="T48" s="3460" t="s">
        <v>3446</v>
      </c>
    </row>
    <row r="49" spans="1:20">
      <c r="A49" s="3460" t="s">
        <v>3698</v>
      </c>
      <c r="B49" s="3460" t="s">
        <v>3699</v>
      </c>
      <c r="C49" s="3460" t="s">
        <v>3440</v>
      </c>
      <c r="D49" s="3460" t="s">
        <v>3700</v>
      </c>
      <c r="E49" s="3460" t="s">
        <v>3701</v>
      </c>
      <c r="F49" s="3460" t="s">
        <v>3429</v>
      </c>
      <c r="G49" s="3460">
        <v>65873.39</v>
      </c>
      <c r="H49" s="3460">
        <v>164683</v>
      </c>
      <c r="I49" s="3460">
        <v>2.5</v>
      </c>
      <c r="J49" s="3460" t="s">
        <v>3702</v>
      </c>
      <c r="K49" s="3460" t="s">
        <v>3431</v>
      </c>
      <c r="L49" s="3460" t="s">
        <v>3431</v>
      </c>
      <c r="M49" s="3462">
        <v>42087.000497685185</v>
      </c>
      <c r="N49" s="3460" t="s">
        <v>3703</v>
      </c>
      <c r="O49" s="3460" t="s">
        <v>3431</v>
      </c>
      <c r="P49" s="3460">
        <v>108000</v>
      </c>
      <c r="Q49" s="3460">
        <v>1093.01</v>
      </c>
      <c r="R49" s="3460">
        <v>6558</v>
      </c>
      <c r="S49" s="3460">
        <v>38.46</v>
      </c>
      <c r="T49" s="3460" t="s">
        <v>3704</v>
      </c>
    </row>
    <row r="50" spans="1:20">
      <c r="A50" s="3460" t="s">
        <v>3705</v>
      </c>
      <c r="B50" s="3460" t="s">
        <v>3706</v>
      </c>
      <c r="C50" s="3460" t="s">
        <v>3616</v>
      </c>
      <c r="D50" s="3460" t="s">
        <v>3707</v>
      </c>
      <c r="E50" s="3460" t="s">
        <v>3708</v>
      </c>
      <c r="F50" s="3460" t="s">
        <v>3429</v>
      </c>
      <c r="G50" s="3460">
        <v>17277.400000000001</v>
      </c>
      <c r="H50" s="3460">
        <v>34555</v>
      </c>
      <c r="I50" s="3460">
        <v>2</v>
      </c>
      <c r="J50" s="3460" t="s">
        <v>3430</v>
      </c>
      <c r="K50" s="3460" t="s">
        <v>3431</v>
      </c>
      <c r="L50" s="3460" t="s">
        <v>3431</v>
      </c>
      <c r="M50" s="3462">
        <v>42047.000497685185</v>
      </c>
      <c r="N50" s="3460" t="s">
        <v>3709</v>
      </c>
      <c r="O50" s="3460" t="s">
        <v>3710</v>
      </c>
      <c r="P50" s="3460">
        <v>22000</v>
      </c>
      <c r="Q50" s="3460">
        <v>848.89</v>
      </c>
      <c r="R50" s="3460">
        <v>6367</v>
      </c>
      <c r="S50" s="3460">
        <v>0</v>
      </c>
      <c r="T50" s="3460" t="s">
        <v>3704</v>
      </c>
    </row>
    <row r="51" spans="1:20">
      <c r="A51" s="3460" t="s">
        <v>3711</v>
      </c>
      <c r="B51" s="3460" t="s">
        <v>3712</v>
      </c>
      <c r="C51" s="3460" t="s">
        <v>3616</v>
      </c>
      <c r="D51" s="3460" t="s">
        <v>3713</v>
      </c>
      <c r="E51" s="3460" t="s">
        <v>3714</v>
      </c>
      <c r="F51" s="3460" t="s">
        <v>3429</v>
      </c>
      <c r="G51" s="3460">
        <v>88702.37</v>
      </c>
      <c r="H51" s="3460">
        <v>206707</v>
      </c>
      <c r="I51" s="3460">
        <v>2.33</v>
      </c>
      <c r="J51" s="3460" t="s">
        <v>3715</v>
      </c>
      <c r="K51" s="3460" t="s">
        <v>3431</v>
      </c>
      <c r="L51" s="3460" t="s">
        <v>3431</v>
      </c>
      <c r="M51" s="3462">
        <v>42047.000497685185</v>
      </c>
      <c r="N51" s="3460" t="s">
        <v>3716</v>
      </c>
      <c r="O51" s="3460" t="s">
        <v>3717</v>
      </c>
      <c r="P51" s="3460">
        <v>138000</v>
      </c>
      <c r="Q51" s="3460">
        <v>1037.18</v>
      </c>
      <c r="R51" s="3460">
        <v>6676</v>
      </c>
      <c r="S51" s="3460">
        <v>2.6</v>
      </c>
      <c r="T51" s="3460" t="s">
        <v>3704</v>
      </c>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L41" sqref="L41"/>
    </sheetView>
  </sheetViews>
  <sheetFormatPr defaultRowHeight="13.5"/>
  <sheetData>
    <row r="1" spans="1:5">
      <c r="A1" t="s">
        <v>3746</v>
      </c>
      <c r="B1" t="s">
        <v>3747</v>
      </c>
      <c r="C1" t="s">
        <v>3748</v>
      </c>
      <c r="D1" t="s">
        <v>3749</v>
      </c>
      <c r="E1" t="s">
        <v>660</v>
      </c>
    </row>
    <row r="2" spans="1:5">
      <c r="A2">
        <v>1</v>
      </c>
      <c r="B2" t="s">
        <v>3750</v>
      </c>
      <c r="C2">
        <v>7792.51</v>
      </c>
      <c r="D2">
        <v>21055</v>
      </c>
      <c r="E2">
        <v>16407</v>
      </c>
    </row>
    <row r="3" spans="1:5">
      <c r="A3">
        <v>2</v>
      </c>
      <c r="B3" t="s">
        <v>3751</v>
      </c>
      <c r="C3">
        <v>7637.27</v>
      </c>
      <c r="D3">
        <v>21019</v>
      </c>
      <c r="E3">
        <v>16053</v>
      </c>
    </row>
    <row r="4" spans="1:5">
      <c r="A4">
        <v>3</v>
      </c>
      <c r="B4" t="s">
        <v>3752</v>
      </c>
      <c r="C4">
        <v>10545.05</v>
      </c>
      <c r="D4">
        <v>11185</v>
      </c>
      <c r="E4">
        <v>11795</v>
      </c>
    </row>
    <row r="5" spans="1:5">
      <c r="A5">
        <v>4</v>
      </c>
      <c r="B5" t="s">
        <v>3753</v>
      </c>
      <c r="C5">
        <v>6921.25</v>
      </c>
      <c r="D5">
        <v>21021</v>
      </c>
      <c r="E5">
        <v>14549</v>
      </c>
    </row>
    <row r="6" spans="1:5">
      <c r="A6">
        <v>5</v>
      </c>
      <c r="B6" t="s">
        <v>3754</v>
      </c>
      <c r="C6">
        <v>6982.07</v>
      </c>
      <c r="D6">
        <v>21073</v>
      </c>
      <c r="E6">
        <v>14713</v>
      </c>
    </row>
    <row r="7" spans="1:5">
      <c r="A7">
        <v>6</v>
      </c>
      <c r="B7" t="s">
        <v>3755</v>
      </c>
      <c r="C7">
        <v>5673.53</v>
      </c>
      <c r="D7">
        <v>21135</v>
      </c>
      <c r="E7">
        <v>11991</v>
      </c>
    </row>
    <row r="8" spans="1:5">
      <c r="A8">
        <v>7</v>
      </c>
      <c r="B8" t="s">
        <v>3756</v>
      </c>
      <c r="C8">
        <v>6933.94</v>
      </c>
      <c r="D8">
        <v>20975</v>
      </c>
      <c r="E8">
        <v>14544</v>
      </c>
    </row>
    <row r="9" spans="1:5">
      <c r="A9">
        <v>8</v>
      </c>
      <c r="B9" t="s">
        <v>3757</v>
      </c>
      <c r="C9">
        <v>17559.11</v>
      </c>
      <c r="D9">
        <v>6053</v>
      </c>
      <c r="E9">
        <v>10629</v>
      </c>
    </row>
    <row r="10" spans="1:5">
      <c r="A10" t="s">
        <v>3758</v>
      </c>
      <c r="B10" t="s">
        <v>633</v>
      </c>
      <c r="C10">
        <f>SUM(C2:C9)</f>
        <v>70044.73000000001</v>
      </c>
      <c r="D10">
        <f>ROUND(E10*10000/C10,0)</f>
        <v>15801</v>
      </c>
      <c r="E10">
        <f>SUM(E2:E9)</f>
        <v>110681</v>
      </c>
    </row>
    <row r="12" spans="1:5">
      <c r="A12" t="s">
        <v>3780</v>
      </c>
      <c r="B12" t="s">
        <v>3781</v>
      </c>
      <c r="C12" t="s">
        <v>3782</v>
      </c>
      <c r="D12" t="s">
        <v>3783</v>
      </c>
      <c r="E12" t="s">
        <v>3748</v>
      </c>
    </row>
    <row r="13" spans="1:5">
      <c r="A13">
        <v>1</v>
      </c>
      <c r="B13">
        <v>5</v>
      </c>
      <c r="C13" t="s">
        <v>3784</v>
      </c>
      <c r="D13" t="s">
        <v>21</v>
      </c>
      <c r="E13">
        <v>7792.51</v>
      </c>
    </row>
    <row r="14" spans="1:5">
      <c r="A14">
        <v>2</v>
      </c>
      <c r="B14">
        <v>4</v>
      </c>
      <c r="C14" t="s">
        <v>3785</v>
      </c>
      <c r="D14" t="s">
        <v>21</v>
      </c>
      <c r="E14">
        <v>7637.27</v>
      </c>
    </row>
    <row r="15" spans="1:5">
      <c r="A15">
        <v>3</v>
      </c>
      <c r="B15">
        <v>7</v>
      </c>
      <c r="C15" t="s">
        <v>3786</v>
      </c>
      <c r="D15" t="s">
        <v>3777</v>
      </c>
      <c r="E15">
        <v>10545.05</v>
      </c>
    </row>
    <row r="16" spans="1:5">
      <c r="A16">
        <v>4</v>
      </c>
      <c r="B16">
        <v>4</v>
      </c>
      <c r="C16" t="s">
        <v>3785</v>
      </c>
      <c r="D16" t="s">
        <v>21</v>
      </c>
      <c r="E16">
        <v>6921.25</v>
      </c>
    </row>
    <row r="17" spans="1:5">
      <c r="A17">
        <v>5</v>
      </c>
      <c r="B17">
        <v>5</v>
      </c>
      <c r="C17" t="s">
        <v>3784</v>
      </c>
      <c r="D17" t="s">
        <v>21</v>
      </c>
      <c r="E17">
        <v>6982.07</v>
      </c>
    </row>
    <row r="18" spans="1:5">
      <c r="A18">
        <v>6</v>
      </c>
      <c r="B18">
        <v>6</v>
      </c>
      <c r="C18" t="s">
        <v>3787</v>
      </c>
      <c r="D18" t="s">
        <v>21</v>
      </c>
      <c r="E18">
        <v>5673.53</v>
      </c>
    </row>
    <row r="19" spans="1:5">
      <c r="A19">
        <v>7</v>
      </c>
      <c r="B19">
        <v>5</v>
      </c>
      <c r="C19" t="s">
        <v>3784</v>
      </c>
      <c r="D19" t="s">
        <v>21</v>
      </c>
      <c r="E19">
        <v>6933.94</v>
      </c>
    </row>
    <row r="20" spans="1:5">
      <c r="A20">
        <v>8</v>
      </c>
      <c r="B20">
        <v>2</v>
      </c>
      <c r="C20" t="s">
        <v>3788</v>
      </c>
      <c r="D20" t="s">
        <v>21</v>
      </c>
      <c r="E20">
        <v>17559.11</v>
      </c>
    </row>
    <row r="21" spans="1:5">
      <c r="A21" t="s">
        <v>3758</v>
      </c>
      <c r="B21" t="s">
        <v>633</v>
      </c>
      <c r="C21" t="s">
        <v>633</v>
      </c>
      <c r="D21" t="s">
        <v>633</v>
      </c>
      <c r="E21">
        <v>70044.73</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54" sqref="M5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15">
      <c r="A4" s="1504" t="str">
        <f>项目基本情况!S2</f>
        <v>北京市昌平区生命园路20号院1号楼-1至4层101等8幢综合（研发）用房房地产</v>
      </c>
      <c r="B4" s="854">
        <f>项目基本情况!C17</f>
        <v>70044.73</v>
      </c>
      <c r="C4" s="854">
        <f>项目基本情况!C18</f>
        <v>62378.94</v>
      </c>
      <c r="D4" s="854">
        <f ca="1">结果表!D118</f>
        <v>80900</v>
      </c>
      <c r="E4" s="854">
        <f ca="1">结果表!E118</f>
        <v>11549</v>
      </c>
      <c r="F4" s="854">
        <f ca="1">结果表!F118</f>
        <v>29318</v>
      </c>
      <c r="G4" s="854">
        <f ca="1">结果表!G118</f>
        <v>4186</v>
      </c>
      <c r="H4" s="854">
        <f ca="1">结果表!H118</f>
        <v>110218</v>
      </c>
      <c r="I4" s="854">
        <f ca="1">结果表!I118</f>
        <v>15735</v>
      </c>
    </row>
    <row r="5" spans="1:9" ht="30" customHeight="1">
      <c r="A5" s="3483" t="s">
        <v>927</v>
      </c>
      <c r="B5" s="3483"/>
      <c r="C5" s="3483"/>
      <c r="D5" s="3483" t="str">
        <f ca="1">结果表!D119</f>
        <v>捌亿零玖佰万元整</v>
      </c>
      <c r="E5" s="3483"/>
      <c r="F5" s="3483" t="str">
        <f ca="1">结果表!F119</f>
        <v>贰亿玖仟叁佰壹拾捌万元整</v>
      </c>
      <c r="G5" s="3483"/>
      <c r="H5" s="3483" t="str">
        <f ca="1">结果表!H119</f>
        <v>壹拾壹亿零贰佰壹拾捌万元整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110218</v>
      </c>
      <c r="E8" s="3484"/>
      <c r="F8" s="3484"/>
      <c r="G8" s="3484"/>
      <c r="H8" s="3484"/>
      <c r="I8" s="3484"/>
    </row>
    <row r="9" spans="1:9" ht="15">
      <c r="A9" s="3483" t="s">
        <v>927</v>
      </c>
      <c r="B9" s="3483"/>
      <c r="C9" s="3483"/>
      <c r="D9" s="3483" t="str">
        <f ca="1">结果表!D123</f>
        <v>壹拾壹亿零贰佰壹拾捌万元整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0" t="s">
        <v>949</v>
      </c>
      <c r="B1" s="3490"/>
      <c r="C1" s="3490"/>
      <c r="D1" s="3490"/>
    </row>
    <row r="2" spans="1:4" ht="18">
      <c r="A2" s="3491" t="s">
        <v>933</v>
      </c>
      <c r="B2" s="3491"/>
      <c r="C2" s="3491"/>
      <c r="D2" s="349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1" t="s">
        <v>939</v>
      </c>
      <c r="B6" s="3491"/>
      <c r="C6" s="3491"/>
      <c r="D6" s="3491"/>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4" t="s">
        <v>956</v>
      </c>
      <c r="B15" s="3499" t="s">
        <v>109</v>
      </c>
      <c r="C15" s="3500"/>
    </row>
    <row r="16" spans="1:7" ht="13.5">
      <c r="A16" s="3505"/>
      <c r="B16" s="3499" t="s">
        <v>42</v>
      </c>
      <c r="C16" s="3500"/>
    </row>
    <row r="17" spans="1:3" ht="13.5">
      <c r="A17" s="3505"/>
      <c r="B17" s="3502" t="s">
        <v>957</v>
      </c>
      <c r="C17" s="1531" t="s">
        <v>956</v>
      </c>
    </row>
    <row r="18" spans="1:3" ht="13.5">
      <c r="A18" s="3505"/>
      <c r="B18" s="3502"/>
      <c r="C18" s="1531" t="s">
        <v>958</v>
      </c>
    </row>
    <row r="19" spans="1:3" ht="13.5">
      <c r="A19" s="3505"/>
      <c r="B19" s="3502"/>
      <c r="C19" s="1531" t="s">
        <v>959</v>
      </c>
    </row>
    <row r="20" spans="1:3" ht="13.5">
      <c r="A20" s="3506"/>
      <c r="B20" s="3501" t="s">
        <v>960</v>
      </c>
      <c r="C20" s="3500"/>
    </row>
    <row r="21" spans="1:3" ht="13.5">
      <c r="A21" s="1532" t="s">
        <v>961</v>
      </c>
      <c r="B21" s="1533"/>
      <c r="C21" s="1534"/>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1" t="s">
        <v>967</v>
      </c>
    </row>
    <row r="26" spans="1:3" ht="13.5">
      <c r="A26" s="3503"/>
      <c r="B26" s="3502"/>
      <c r="C26" s="1531" t="s">
        <v>968</v>
      </c>
    </row>
    <row r="27" spans="1:3" ht="13.5">
      <c r="A27" s="3503"/>
      <c r="B27" s="3502"/>
      <c r="C27" s="1531" t="s">
        <v>969</v>
      </c>
    </row>
    <row r="28" spans="1:3" ht="13.5">
      <c r="A28" s="3503"/>
      <c r="B28" s="3502"/>
      <c r="C28" s="1531" t="s">
        <v>970</v>
      </c>
    </row>
    <row r="29" spans="1:3" ht="13.5">
      <c r="A29" s="3503"/>
      <c r="B29" s="3502"/>
      <c r="C29" s="1531" t="s">
        <v>971</v>
      </c>
    </row>
    <row r="30" spans="1:3" ht="13.5">
      <c r="A30" s="3503"/>
      <c r="B30" s="3502"/>
      <c r="C30" s="1531" t="s">
        <v>972</v>
      </c>
    </row>
    <row r="31" spans="1:3" ht="13.5">
      <c r="A31" s="3503"/>
      <c r="B31" s="3502"/>
      <c r="C31" s="1531" t="s">
        <v>973</v>
      </c>
    </row>
    <row r="32" spans="1:3" ht="13.5">
      <c r="A32" s="3503"/>
      <c r="B32" s="3502"/>
      <c r="C32" s="1531" t="s">
        <v>974</v>
      </c>
    </row>
    <row r="33" spans="1:3" ht="13.5">
      <c r="A33" s="3503"/>
      <c r="B33" s="350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44929</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f ca="1">IF(C14&lt;B2,"已过期",1119980106)</f>
        <v>1119980106</v>
      </c>
      <c r="C14" s="2349">
        <v>44969</v>
      </c>
      <c r="D14" s="2345" t="str">
        <f t="shared" ca="1" si="0"/>
        <v>刘俊财（注册号：1119980106）</v>
      </c>
      <c r="E14" s="2346" t="s">
        <v>2156</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2"/>
      <c r="E18" s="3509" t="s">
        <v>2160</v>
      </c>
      <c r="F18" s="3508"/>
      <c r="G18" s="3508"/>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49</vt:i4>
      </vt:variant>
      <vt:variant>
        <vt:lpstr>图表</vt:lpstr>
      </vt:variant>
      <vt:variant>
        <vt:i4>1</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收益法-办公</vt:lpstr>
      <vt:lpstr>收益法-酒店</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面积指标</vt:lpstr>
      <vt:lpstr>酒店</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2023-01-03T07:34:19Z</dcterms:modified>
</cp:coreProperties>
</file>