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C:\Users\xing&amp;han\Desktop\通州运河核心区V-01、02\"/>
    </mc:Choice>
  </mc:AlternateContent>
  <xr:revisionPtr revIDLastSave="0" documentId="13_ncr:1_{73AD6F58-7BAD-449D-9E85-9C61BAB3A16A}" xr6:coauthVersionLast="45" xr6:coauthVersionMax="45" xr10:uidLastSave="{00000000-0000-0000-0000-000000000000}"/>
  <bookViews>
    <workbookView xWindow="-110" yWindow="-110" windowWidth="19420" windowHeight="1042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Sheet1" sheetId="68"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土地案例" sheetId="69" r:id="rId21"/>
    <sheet name="比较法-工业" sheetId="40" state="hidden" r:id="rId22"/>
    <sheet name="剩余法-待开发" sheetId="12" r:id="rId23"/>
    <sheet name="基准地价" sheetId="46"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r:id="rId37"/>
    <sheet name="不动产收益法 (车库)" sheetId="71" r:id="rId38"/>
    <sheet name="不动产比较法-工业" sheetId="37" state="hidden" r:id="rId39"/>
    <sheet name="不动产比较法-车位" sheetId="35" state="hidden" r:id="rId40"/>
    <sheet name="不动产比较法-仓储" sheetId="36" state="hidden" r:id="rId41"/>
    <sheet name="Sheet3" sheetId="70" r:id="rId42"/>
    <sheet name="典型户型修正" sheetId="31" state="hidden" r:id="rId43"/>
    <sheet name="存贷款利率" sheetId="65" state="hidden" r:id="rId44"/>
  </sheets>
  <definedNames>
    <definedName name="_xlnm._FilterDatabase" localSheetId="21"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9" i="46" l="1"/>
  <c r="D38" i="46"/>
  <c r="D37" i="46"/>
  <c r="D33" i="46"/>
  <c r="D29" i="46"/>
  <c r="G59" i="46"/>
  <c r="G60" i="46"/>
  <c r="G61" i="46"/>
  <c r="G62" i="46"/>
  <c r="G63" i="46"/>
  <c r="G64" i="46"/>
  <c r="G65" i="46"/>
  <c r="G66" i="46"/>
  <c r="G58" i="46"/>
  <c r="G41" i="46"/>
  <c r="B3" i="3"/>
  <c r="AY6" i="3"/>
  <c r="D3" i="6"/>
  <c r="F1" i="46"/>
  <c r="D70" i="34"/>
  <c r="E70" i="34"/>
  <c r="F70" i="34"/>
  <c r="G70" i="34"/>
  <c r="H70" i="34"/>
  <c r="I70" i="34"/>
  <c r="J70" i="34"/>
  <c r="K70" i="34"/>
  <c r="L70" i="34"/>
  <c r="D19" i="6"/>
  <c r="E20" i="6"/>
  <c r="D20" i="6"/>
  <c r="D21" i="6"/>
  <c r="D22" i="6"/>
  <c r="D23" i="6"/>
  <c r="D24" i="6"/>
  <c r="D25" i="6"/>
  <c r="D26" i="6"/>
  <c r="D27" i="6"/>
  <c r="D28" i="6"/>
  <c r="D29" i="6"/>
  <c r="D30" i="6"/>
  <c r="D31" i="6"/>
  <c r="I6" i="6"/>
  <c r="C11" i="34"/>
  <c r="F11" i="34"/>
  <c r="AA11" i="34"/>
  <c r="D102" i="34"/>
  <c r="F33" i="34"/>
  <c r="AA33" i="34"/>
  <c r="R49" i="34"/>
  <c r="H11" i="34"/>
  <c r="AB11" i="34"/>
  <c r="H33" i="34"/>
  <c r="AB33" i="34"/>
  <c r="T49" i="34"/>
  <c r="J11" i="34"/>
  <c r="AC11" i="34"/>
  <c r="J33" i="34"/>
  <c r="AC33" i="34"/>
  <c r="V49" i="34"/>
  <c r="R50" i="34"/>
  <c r="C50" i="34"/>
  <c r="B3" i="34"/>
  <c r="D8" i="12"/>
  <c r="A6" i="1"/>
  <c r="A7" i="1"/>
  <c r="A8" i="1"/>
  <c r="G1" i="71"/>
  <c r="Q13" i="3"/>
  <c r="Q5" i="3"/>
  <c r="G21" i="6"/>
  <c r="E21" i="6"/>
  <c r="K8" i="1"/>
  <c r="L8" i="1"/>
  <c r="M8" i="1"/>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L7" i="1"/>
  <c r="L10" i="1"/>
  <c r="L14" i="1"/>
  <c r="M14" i="1"/>
  <c r="I5" i="3"/>
  <c r="F19" i="6"/>
  <c r="O5" i="3"/>
  <c r="G19" i="6"/>
  <c r="E19" i="6"/>
  <c r="K5" i="3"/>
  <c r="F20" i="6"/>
  <c r="S5" i="3"/>
  <c r="G22" i="6"/>
  <c r="E22" i="6"/>
  <c r="M5" i="3"/>
  <c r="G23"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21" i="6"/>
  <c r="S8" i="1"/>
  <c r="K19" i="6"/>
  <c r="S6" i="1"/>
  <c r="K20" i="6"/>
  <c r="S7" i="1"/>
  <c r="A9" i="1"/>
  <c r="K22" i="6"/>
  <c r="S9" i="1"/>
  <c r="A10" i="1"/>
  <c r="K23" i="6"/>
  <c r="S10" i="1"/>
  <c r="A11" i="1"/>
  <c r="S11" i="1"/>
  <c r="A12" i="1"/>
  <c r="S12" i="1"/>
  <c r="A13" i="1"/>
  <c r="S13" i="1"/>
  <c r="S16" i="1"/>
  <c r="T8" i="1"/>
  <c r="C14" i="71"/>
  <c r="F15" i="71"/>
  <c r="C15" i="71"/>
  <c r="F16" i="71"/>
  <c r="C16" i="71"/>
  <c r="F43" i="71"/>
  <c r="F17" i="71"/>
  <c r="C17" i="71"/>
  <c r="F18" i="71"/>
  <c r="C18" i="71"/>
  <c r="C19" i="71"/>
  <c r="F20" i="71"/>
  <c r="C20" i="71"/>
  <c r="C1" i="65"/>
  <c r="H1" i="65"/>
  <c r="I6" i="65"/>
  <c r="B22" i="1"/>
  <c r="C2" i="65"/>
  <c r="I1" i="65"/>
  <c r="I5" i="65"/>
  <c r="E2" i="65"/>
  <c r="B40" i="1"/>
  <c r="F24" i="71"/>
  <c r="F23" i="71"/>
  <c r="C23" i="71"/>
  <c r="F26" i="71"/>
  <c r="C26" i="71"/>
  <c r="F21" i="71"/>
  <c r="C24" i="71"/>
  <c r="C27" i="71"/>
  <c r="B43" i="1"/>
  <c r="B41" i="1"/>
  <c r="F28" i="71"/>
  <c r="B2" i="1"/>
  <c r="C42" i="1"/>
  <c r="C28" i="71"/>
  <c r="C29" i="71"/>
  <c r="F36" i="71"/>
  <c r="C36" i="71"/>
  <c r="F13" i="71"/>
  <c r="C13" i="71"/>
  <c r="AL8" i="1"/>
  <c r="F37" i="71"/>
  <c r="C37" i="71"/>
  <c r="F6" i="71"/>
  <c r="F8" i="71"/>
  <c r="AH8" i="1"/>
  <c r="F7" i="71"/>
  <c r="F9" i="71"/>
  <c r="C6" i="71"/>
  <c r="N1" i="65"/>
  <c r="N4" i="65"/>
  <c r="C4" i="65"/>
  <c r="B39" i="1"/>
  <c r="F11" i="71"/>
  <c r="C10" i="71"/>
  <c r="C5" i="71"/>
  <c r="F38" i="71"/>
  <c r="C38" i="71"/>
  <c r="H36" i="71"/>
  <c r="G1" i="15"/>
  <c r="F6" i="15"/>
  <c r="F8" i="15"/>
  <c r="K6" i="1"/>
  <c r="F7" i="15"/>
  <c r="F9" i="15"/>
  <c r="C6" i="15"/>
  <c r="F11" i="15"/>
  <c r="C10" i="15"/>
  <c r="C5" i="15"/>
  <c r="F32" i="15"/>
  <c r="C32" i="15"/>
  <c r="F33" i="15"/>
  <c r="C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AT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E3" i="6"/>
  <c r="L19" i="6"/>
  <c r="M19" i="6"/>
  <c r="I19" i="6"/>
  <c r="H19" i="6"/>
  <c r="R19" i="6"/>
  <c r="R6" i="1"/>
  <c r="F35" i="15"/>
  <c r="B59" i="1"/>
  <c r="B52" i="1"/>
  <c r="F34" i="15"/>
  <c r="C34" i="15"/>
  <c r="C31" i="15"/>
  <c r="M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E19" i="4"/>
  <c r="F6" i="1"/>
  <c r="L48" i="15"/>
  <c r="M47" i="15"/>
  <c r="J50" i="15"/>
  <c r="J51" i="15"/>
  <c r="J53" i="15"/>
  <c r="F1" i="15"/>
  <c r="AE6" i="1"/>
  <c r="F41" i="15"/>
  <c r="C40" i="15"/>
  <c r="M6" i="15"/>
  <c r="M8" i="15"/>
  <c r="M7" i="15"/>
  <c r="M9" i="15"/>
  <c r="J6" i="15"/>
  <c r="M11" i="15"/>
  <c r="J10" i="15"/>
  <c r="J5" i="15"/>
  <c r="J26" i="15"/>
  <c r="J29" i="15"/>
  <c r="J60" i="15"/>
  <c r="L46" i="15"/>
  <c r="B2" i="15"/>
  <c r="C10" i="12"/>
  <c r="C43" i="15"/>
  <c r="C8" i="12"/>
  <c r="Y22" i="1"/>
  <c r="V19" i="1"/>
  <c r="V20" i="1"/>
  <c r="V21" i="1"/>
  <c r="V22" i="1"/>
  <c r="Y19" i="1"/>
  <c r="Y21" i="1"/>
  <c r="Y20" i="1"/>
  <c r="W21" i="1"/>
  <c r="W20" i="1"/>
  <c r="Q7" i="1"/>
  <c r="F8" i="12"/>
  <c r="D9" i="12"/>
  <c r="D10" i="12"/>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E73" i="39"/>
  <c r="F73" i="39"/>
  <c r="G73" i="39"/>
  <c r="H73" i="39"/>
  <c r="I73" i="39"/>
  <c r="J73" i="39"/>
  <c r="K73" i="39"/>
  <c r="L73" i="39"/>
  <c r="M73" i="39"/>
  <c r="N73" i="39"/>
  <c r="F9" i="39"/>
  <c r="AA9" i="39"/>
  <c r="F10" i="39"/>
  <c r="AA10" i="39"/>
  <c r="F11" i="39"/>
  <c r="AA11" i="39"/>
  <c r="E13" i="39"/>
  <c r="D83" i="39"/>
  <c r="E83" i="39"/>
  <c r="F83" i="39"/>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BN5" i="3"/>
  <c r="BP5" i="3"/>
  <c r="G29" i="6"/>
  <c r="E29" i="6"/>
  <c r="C13" i="39"/>
  <c r="F13" i="39"/>
  <c r="AA13" i="39"/>
  <c r="B84" i="39"/>
  <c r="F14" i="39"/>
  <c r="AA14" i="39"/>
  <c r="B86" i="39"/>
  <c r="F15" i="39"/>
  <c r="AA15" i="39"/>
  <c r="B88" i="39"/>
  <c r="F16" i="39"/>
  <c r="AA16" i="39"/>
  <c r="F17" i="39"/>
  <c r="AA17" i="39"/>
  <c r="D93" i="39"/>
  <c r="E93" i="39"/>
  <c r="F19" i="39"/>
  <c r="AA19" i="39"/>
  <c r="D95" i="39"/>
  <c r="E95" i="39"/>
  <c r="F21" i="39"/>
  <c r="AA21" i="39"/>
  <c r="D97" i="39"/>
  <c r="E97" i="39"/>
  <c r="F23" i="39"/>
  <c r="AA23" i="39"/>
  <c r="D99"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D124" i="39"/>
  <c r="F42" i="39"/>
  <c r="AA42" i="39"/>
  <c r="D126" i="39"/>
  <c r="F43" i="39"/>
  <c r="AA43" i="39"/>
  <c r="D128" i="39"/>
  <c r="F44" i="39"/>
  <c r="AA44" i="39"/>
  <c r="B129" i="39"/>
  <c r="F45" i="39"/>
  <c r="AA45" i="39"/>
  <c r="B131" i="39"/>
  <c r="F46" i="39"/>
  <c r="AA46" i="39"/>
  <c r="B133" i="39"/>
  <c r="F47" i="39"/>
  <c r="AA47" i="39"/>
  <c r="F32" i="71"/>
  <c r="C32" i="71"/>
  <c r="F33" i="71"/>
  <c r="C33" i="71"/>
  <c r="L21" i="6"/>
  <c r="M21" i="6"/>
  <c r="I21" i="6"/>
  <c r="H21" i="6"/>
  <c r="R21" i="6"/>
  <c r="R8" i="1"/>
  <c r="F35" i="71"/>
  <c r="F34" i="71"/>
  <c r="C34" i="71"/>
  <c r="C31" i="71"/>
  <c r="C30" i="71"/>
  <c r="C39" i="71"/>
  <c r="F42" i="71"/>
  <c r="F40" i="71"/>
  <c r="G17" i="4"/>
  <c r="G19" i="4"/>
  <c r="F8" i="1"/>
  <c r="L48" i="71"/>
  <c r="M47" i="71"/>
  <c r="J50" i="71"/>
  <c r="J51" i="71"/>
  <c r="J53" i="71"/>
  <c r="F1" i="71"/>
  <c r="AE8" i="1"/>
  <c r="F41" i="71"/>
  <c r="C40" i="71"/>
  <c r="M6" i="71"/>
  <c r="M8" i="71"/>
  <c r="M7" i="71"/>
  <c r="M9" i="71"/>
  <c r="J6" i="71"/>
  <c r="M11" i="71"/>
  <c r="J10" i="71"/>
  <c r="J5" i="71"/>
  <c r="J26" i="71"/>
  <c r="J29" i="71"/>
  <c r="J60" i="71"/>
  <c r="L46" i="71"/>
  <c r="B2" i="71"/>
  <c r="E10" i="12"/>
  <c r="F9" i="12"/>
  <c r="F10" i="12"/>
  <c r="C6" i="12"/>
  <c r="O6" i="1"/>
  <c r="P6" i="1"/>
  <c r="K7" i="1"/>
  <c r="M7" i="1"/>
  <c r="O7" i="1"/>
  <c r="P7" i="1"/>
  <c r="N8" i="1"/>
  <c r="O8" i="1"/>
  <c r="P8" i="1"/>
  <c r="L9" i="1"/>
  <c r="K9" i="1"/>
  <c r="M9" i="1"/>
  <c r="N9" i="1"/>
  <c r="O9" i="1"/>
  <c r="P9" i="1"/>
  <c r="K10" i="1"/>
  <c r="M10" i="1"/>
  <c r="N10" i="1"/>
  <c r="O10" i="1"/>
  <c r="P10" i="1"/>
  <c r="N14" i="1"/>
  <c r="O14" i="1"/>
  <c r="P14" i="1"/>
  <c r="K11" i="1"/>
  <c r="M11" i="1"/>
  <c r="O11" i="1"/>
  <c r="P11" i="1"/>
  <c r="K12" i="1"/>
  <c r="M12" i="1"/>
  <c r="O12" i="1"/>
  <c r="P12" i="1"/>
  <c r="K13" i="1"/>
  <c r="M13" i="1"/>
  <c r="O13" i="1"/>
  <c r="P13"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J5" i="3"/>
  <c r="L5" i="3"/>
  <c r="N5" i="3"/>
  <c r="P5" i="3"/>
  <c r="R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21" i="12"/>
  <c r="E21" i="12"/>
  <c r="C21" i="12"/>
  <c r="E6" i="6"/>
  <c r="D22" i="12"/>
  <c r="E22" i="12"/>
  <c r="C22" i="12"/>
  <c r="C20" i="12"/>
  <c r="F23" i="12"/>
  <c r="C23" i="12"/>
  <c r="F24" i="12"/>
  <c r="C24" i="12"/>
  <c r="F26" i="12"/>
  <c r="B24" i="1"/>
  <c r="C28" i="12"/>
  <c r="C26" i="12"/>
  <c r="F29" i="12"/>
  <c r="C29" i="12"/>
  <c r="C31" i="12"/>
  <c r="C30" i="12"/>
  <c r="Q10" i="1"/>
  <c r="Q16" i="1"/>
  <c r="F33" i="12"/>
  <c r="C35" i="12"/>
  <c r="C33" i="12"/>
  <c r="F25" i="12"/>
  <c r="C25" i="12"/>
  <c r="C27" i="12"/>
  <c r="D26" i="12"/>
  <c r="C32" i="12"/>
  <c r="D30" i="12"/>
  <c r="C34" i="12"/>
  <c r="D33" i="12"/>
  <c r="C36" i="12"/>
  <c r="B2" i="12"/>
  <c r="D19" i="9"/>
  <c r="Q18" i="1"/>
  <c r="B39" i="9"/>
  <c r="D78" i="34"/>
  <c r="F15" i="34"/>
  <c r="AA15" i="34"/>
  <c r="D80" i="34"/>
  <c r="F17" i="34"/>
  <c r="AA17" i="34"/>
  <c r="D82" i="34"/>
  <c r="F19" i="34"/>
  <c r="AA19" i="34"/>
  <c r="D86" i="34"/>
  <c r="E86" i="34"/>
  <c r="F23" i="34"/>
  <c r="AA23" i="34"/>
  <c r="F35" i="34"/>
  <c r="AA35" i="34"/>
  <c r="F36" i="34"/>
  <c r="AA36" i="34"/>
  <c r="F39" i="34"/>
  <c r="AA39" i="34"/>
  <c r="R48" i="34"/>
  <c r="C7" i="34"/>
  <c r="E7" i="34"/>
  <c r="C59" i="34"/>
  <c r="D59" i="34"/>
  <c r="E59" i="34"/>
  <c r="F59" i="34"/>
  <c r="G59" i="34"/>
  <c r="H59" i="34"/>
  <c r="I59" i="34"/>
  <c r="J59" i="34"/>
  <c r="K59" i="34"/>
  <c r="L59" i="34"/>
  <c r="M59" i="34"/>
  <c r="N59" i="34"/>
  <c r="O59" i="34"/>
  <c r="F7" i="34"/>
  <c r="AA7" i="34"/>
  <c r="F8" i="34"/>
  <c r="AA8" i="34"/>
  <c r="C64" i="34"/>
  <c r="F9" i="34"/>
  <c r="AA9" i="34"/>
  <c r="F10" i="34"/>
  <c r="AA10" i="34"/>
  <c r="B71" i="34"/>
  <c r="F12" i="34"/>
  <c r="AA12" i="34"/>
  <c r="B73" i="34"/>
  <c r="F13" i="34"/>
  <c r="AA13" i="34"/>
  <c r="B75" i="34"/>
  <c r="F14" i="34"/>
  <c r="AA14" i="34"/>
  <c r="F21" i="34"/>
  <c r="AA21" i="34"/>
  <c r="D88" i="34"/>
  <c r="E88" i="34"/>
  <c r="F88" i="34"/>
  <c r="F25" i="34"/>
  <c r="AA25" i="34"/>
  <c r="B89" i="34"/>
  <c r="F27" i="34"/>
  <c r="AA27" i="34"/>
  <c r="B91" i="34"/>
  <c r="F28" i="34"/>
  <c r="AA28" i="34"/>
  <c r="B93" i="34"/>
  <c r="F29" i="34"/>
  <c r="AA29" i="34"/>
  <c r="B95" i="34"/>
  <c r="F30" i="34"/>
  <c r="AA30" i="34"/>
  <c r="B97" i="34"/>
  <c r="F31" i="34"/>
  <c r="AA31" i="34"/>
  <c r="B99" i="34"/>
  <c r="F32" i="34"/>
  <c r="AA32" i="34"/>
  <c r="C34" i="34"/>
  <c r="F34" i="34"/>
  <c r="AA34" i="34"/>
  <c r="E37" i="34"/>
  <c r="D112" i="34"/>
  <c r="E112" i="34"/>
  <c r="F112" i="34"/>
  <c r="G112" i="34"/>
  <c r="F37" i="34"/>
  <c r="AA37" i="34"/>
  <c r="F38" i="34"/>
  <c r="AA38" i="34"/>
  <c r="F40" i="34"/>
  <c r="AA40" i="34"/>
  <c r="F41" i="34"/>
  <c r="AA41" i="34"/>
  <c r="F42" i="34"/>
  <c r="AA42" i="34"/>
  <c r="D124" i="34"/>
  <c r="E124" i="34"/>
  <c r="F124" i="34"/>
  <c r="F43" i="34"/>
  <c r="AA43" i="34"/>
  <c r="F44" i="34"/>
  <c r="AA44" i="34"/>
  <c r="B127" i="34"/>
  <c r="F45" i="34"/>
  <c r="AA45" i="34"/>
  <c r="B129" i="34"/>
  <c r="F46" i="34"/>
  <c r="AA46" i="34"/>
  <c r="B131" i="34"/>
  <c r="F47" i="34"/>
  <c r="AA47" i="34"/>
  <c r="H15" i="34"/>
  <c r="AB15" i="34"/>
  <c r="H17" i="34"/>
  <c r="AB17" i="34"/>
  <c r="H19" i="34"/>
  <c r="AB19" i="34"/>
  <c r="H23" i="34"/>
  <c r="AB23" i="34"/>
  <c r="H35" i="34"/>
  <c r="AB35" i="34"/>
  <c r="H36" i="34"/>
  <c r="AB36" i="34"/>
  <c r="H39" i="34"/>
  <c r="AB39" i="34"/>
  <c r="T48" i="34"/>
  <c r="G7" i="34"/>
  <c r="H7" i="34"/>
  <c r="AB7" i="34"/>
  <c r="H8" i="34"/>
  <c r="AB8" i="34"/>
  <c r="H9" i="34"/>
  <c r="AB9" i="34"/>
  <c r="H10" i="34"/>
  <c r="AB10" i="34"/>
  <c r="H12" i="34"/>
  <c r="AB12" i="34"/>
  <c r="H13" i="34"/>
  <c r="AB13" i="34"/>
  <c r="H14" i="34"/>
  <c r="AB14" i="34"/>
  <c r="H21" i="34"/>
  <c r="AB21" i="34"/>
  <c r="H25" i="34"/>
  <c r="AB25" i="34"/>
  <c r="H27" i="34"/>
  <c r="AB27" i="34"/>
  <c r="H28" i="34"/>
  <c r="AB28" i="34"/>
  <c r="H29" i="34"/>
  <c r="AB29" i="34"/>
  <c r="H30" i="34"/>
  <c r="AB30" i="34"/>
  <c r="H31" i="34"/>
  <c r="AB31" i="34"/>
  <c r="H32" i="34"/>
  <c r="AB32" i="34"/>
  <c r="H34" i="34"/>
  <c r="AB34" i="34"/>
  <c r="G37" i="34"/>
  <c r="H37" i="34"/>
  <c r="AB37" i="34"/>
  <c r="H38" i="34"/>
  <c r="AB38" i="34"/>
  <c r="H40" i="34"/>
  <c r="AB40" i="34"/>
  <c r="H41" i="34"/>
  <c r="AB41" i="34"/>
  <c r="H42" i="34"/>
  <c r="AB42" i="34"/>
  <c r="H43" i="34"/>
  <c r="AB43" i="34"/>
  <c r="H44" i="34"/>
  <c r="AB44" i="34"/>
  <c r="H45" i="34"/>
  <c r="AB45" i="34"/>
  <c r="H46" i="34"/>
  <c r="AB46" i="34"/>
  <c r="H47" i="34"/>
  <c r="AB47" i="34"/>
  <c r="J15" i="34"/>
  <c r="AC15" i="34"/>
  <c r="J17" i="34"/>
  <c r="AC17" i="34"/>
  <c r="J19" i="34"/>
  <c r="AC19" i="34"/>
  <c r="J23" i="34"/>
  <c r="AC23" i="34"/>
  <c r="J35" i="34"/>
  <c r="AC35" i="34"/>
  <c r="J36" i="34"/>
  <c r="AC36" i="34"/>
  <c r="J39" i="34"/>
  <c r="AC39" i="34"/>
  <c r="V48" i="34"/>
  <c r="I7" i="34"/>
  <c r="J7" i="34"/>
  <c r="AC7" i="34"/>
  <c r="J8" i="34"/>
  <c r="AC8" i="34"/>
  <c r="J9" i="34"/>
  <c r="AC9" i="34"/>
  <c r="J10" i="34"/>
  <c r="AC10" i="34"/>
  <c r="J12" i="34"/>
  <c r="AC12" i="34"/>
  <c r="J13" i="34"/>
  <c r="AC13" i="34"/>
  <c r="J14" i="34"/>
  <c r="AC14" i="34"/>
  <c r="J21" i="34"/>
  <c r="AC21" i="34"/>
  <c r="J25" i="34"/>
  <c r="AC25" i="34"/>
  <c r="J27" i="34"/>
  <c r="AC27" i="34"/>
  <c r="J28" i="34"/>
  <c r="AC28" i="34"/>
  <c r="J29" i="34"/>
  <c r="AC29" i="34"/>
  <c r="J30" i="34"/>
  <c r="AC30" i="34"/>
  <c r="J31" i="34"/>
  <c r="AC31" i="34"/>
  <c r="J32" i="34"/>
  <c r="AC32" i="34"/>
  <c r="J34" i="34"/>
  <c r="AC34" i="34"/>
  <c r="I37" i="34"/>
  <c r="J37" i="34"/>
  <c r="AC37" i="34"/>
  <c r="J38" i="34"/>
  <c r="AC38" i="34"/>
  <c r="J40" i="34"/>
  <c r="AC40" i="34"/>
  <c r="J41" i="34"/>
  <c r="AC41" i="34"/>
  <c r="J42" i="34"/>
  <c r="AC42" i="34"/>
  <c r="J43" i="34"/>
  <c r="AC43" i="34"/>
  <c r="J44" i="34"/>
  <c r="AC44" i="34"/>
  <c r="J45" i="34"/>
  <c r="AC45" i="34"/>
  <c r="J46" i="34"/>
  <c r="AC46" i="34"/>
  <c r="J47" i="34"/>
  <c r="AC47" i="34"/>
  <c r="D3" i="34"/>
  <c r="B2" i="34"/>
  <c r="B3" i="15"/>
  <c r="J10" i="1"/>
  <c r="I10" i="1"/>
  <c r="H10" i="1"/>
  <c r="D39" i="9"/>
  <c r="E39" i="9"/>
  <c r="B37" i="9"/>
  <c r="D37" i="9"/>
  <c r="E37" i="9"/>
  <c r="B38" i="9"/>
  <c r="D38" i="9"/>
  <c r="E38" i="9"/>
  <c r="G35" i="9"/>
  <c r="B3" i="71"/>
  <c r="E8" i="12"/>
  <c r="Q66" i="71"/>
  <c r="L60" i="71"/>
  <c r="Q67" i="71"/>
  <c r="Q76" i="71"/>
  <c r="D8"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AG8"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X20" i="1"/>
  <c r="X21" i="1"/>
  <c r="X19" i="1"/>
  <c r="X22" i="1"/>
  <c r="W22" i="1"/>
  <c r="H17" i="4"/>
  <c r="E102" i="34"/>
  <c r="I48" i="39"/>
  <c r="G48" i="39"/>
  <c r="I40" i="39"/>
  <c r="G40" i="39"/>
  <c r="I13" i="39"/>
  <c r="G13" i="39"/>
  <c r="F19" i="4"/>
  <c r="C12" i="39"/>
  <c r="I9" i="39"/>
  <c r="G9" i="39"/>
  <c r="I7" i="39"/>
  <c r="G7" i="39"/>
  <c r="E7" i="39"/>
  <c r="B55" i="1"/>
  <c r="B56" i="1"/>
  <c r="B57" i="1"/>
  <c r="B58" i="1"/>
  <c r="B54" i="1"/>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Z6" i="59"/>
  <c r="D6" i="59"/>
  <c r="AB7" i="59"/>
  <c r="AA7" i="59"/>
  <c r="Y7" i="59"/>
  <c r="X7" i="59"/>
  <c r="M15" i="49"/>
  <c r="L15" i="49"/>
  <c r="K15" i="49"/>
  <c r="J15" i="49"/>
  <c r="I15" i="49"/>
  <c r="H15" i="49"/>
  <c r="G15" i="49"/>
  <c r="F15" i="49"/>
  <c r="E15" i="49"/>
  <c r="D15" i="49"/>
  <c r="C15" i="49"/>
  <c r="B15" i="49"/>
  <c r="AA10" i="59"/>
  <c r="X10" i="59"/>
  <c r="C27" i="59"/>
  <c r="C28" i="59"/>
  <c r="C29" i="59"/>
  <c r="D29"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D28" i="59"/>
  <c r="C21" i="59"/>
  <c r="D20" i="59"/>
  <c r="N16" i="4"/>
  <c r="L16" i="4"/>
  <c r="T49" i="59"/>
  <c r="D49" i="59"/>
  <c r="T21" i="59"/>
  <c r="D21" i="59"/>
  <c r="T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R12" i="1"/>
  <c r="B13" i="1"/>
  <c r="E13" i="1"/>
  <c r="M23" i="6"/>
  <c r="I23" i="6"/>
  <c r="H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9" i="1"/>
  <c r="AP9" i="1"/>
  <c r="AP8" i="1"/>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E124" i="39"/>
  <c r="F124" i="39"/>
  <c r="G124" i="39"/>
  <c r="H124" i="39"/>
  <c r="I124" i="39"/>
  <c r="J124" i="39"/>
  <c r="K124" i="39"/>
  <c r="L124" i="39"/>
  <c r="M124" i="39"/>
  <c r="E99" i="39"/>
  <c r="F99" i="39"/>
  <c r="G99" i="39"/>
  <c r="F95" i="39"/>
  <c r="G95"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D126" i="34"/>
  <c r="E126" i="34"/>
  <c r="F126" i="34"/>
  <c r="G126" i="34"/>
  <c r="G124" i="34"/>
  <c r="H124" i="34"/>
  <c r="I124" i="34"/>
  <c r="J124" i="34"/>
  <c r="K124" i="34"/>
  <c r="L124" i="34"/>
  <c r="M124" i="34"/>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F102" i="34"/>
  <c r="G102" i="34"/>
  <c r="H102" i="34"/>
  <c r="I102" i="34"/>
  <c r="J102" i="34"/>
  <c r="K102" i="34"/>
  <c r="L102" i="34"/>
  <c r="M102" i="34"/>
  <c r="U33" i="34"/>
  <c r="D92" i="34"/>
  <c r="E92" i="34"/>
  <c r="F92" i="34"/>
  <c r="G92" i="34"/>
  <c r="H92" i="34"/>
  <c r="I92" i="34"/>
  <c r="J92" i="34"/>
  <c r="K92" i="34"/>
  <c r="L92" i="34"/>
  <c r="M92" i="34"/>
  <c r="S28" i="34"/>
  <c r="G88" i="34"/>
  <c r="H88" i="34"/>
  <c r="I88" i="34"/>
  <c r="J88" i="34"/>
  <c r="K88" i="34"/>
  <c r="L88" i="34"/>
  <c r="M88" i="34"/>
  <c r="E82" i="34"/>
  <c r="F82" i="34"/>
  <c r="G82"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U9" i="34"/>
  <c r="W8" i="34"/>
  <c r="W28" i="34"/>
  <c r="S38" i="33"/>
  <c r="E113" i="33"/>
  <c r="F36" i="33"/>
  <c r="S36" i="33"/>
  <c r="F19" i="33"/>
  <c r="S19" i="33"/>
  <c r="J19" i="33"/>
  <c r="S10" i="21"/>
  <c r="W40" i="33"/>
  <c r="F125" i="21"/>
  <c r="G125" i="21"/>
  <c r="G86" i="40"/>
  <c r="AB30" i="36"/>
  <c r="AC34" i="36"/>
  <c r="S22" i="35"/>
  <c r="H29" i="35"/>
  <c r="U34" i="37"/>
  <c r="S34" i="37"/>
  <c r="AA34" i="37"/>
  <c r="W36" i="34"/>
  <c r="F113" i="33"/>
  <c r="G113" i="33"/>
  <c r="H113" i="33"/>
  <c r="I113" i="33"/>
  <c r="J113" i="33"/>
  <c r="K113" i="33"/>
  <c r="L113" i="33"/>
  <c r="M113" i="33"/>
  <c r="H37" i="33"/>
  <c r="AB37" i="33"/>
  <c r="S37" i="33"/>
  <c r="W43" i="34"/>
  <c r="W42" i="34"/>
  <c r="S42" i="34"/>
  <c r="W38" i="34"/>
  <c r="S38" i="34"/>
  <c r="J37" i="33"/>
  <c r="W37" i="33"/>
  <c r="J42" i="21"/>
  <c r="AC42" i="21"/>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U13" i="34"/>
  <c r="W13" i="34"/>
  <c r="S29" i="34"/>
  <c r="U29" i="34"/>
  <c r="S31" i="34"/>
  <c r="U45" i="34"/>
  <c r="W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C14" i="37"/>
  <c r="AB35" i="35"/>
  <c r="S25" i="35"/>
  <c r="W44" i="33"/>
  <c r="AC30" i="33"/>
  <c r="W30" i="33"/>
  <c r="AC29" i="37"/>
  <c r="W32" i="36"/>
  <c r="AC32" i="36"/>
  <c r="U28" i="33"/>
  <c r="AB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S11" i="34"/>
  <c r="E80" i="34"/>
  <c r="F80" i="34"/>
  <c r="W27" i="34"/>
  <c r="S12" i="35"/>
  <c r="AB28" i="35"/>
  <c r="U28" i="35"/>
  <c r="J13" i="33"/>
  <c r="W13" i="33"/>
  <c r="H13" i="33"/>
  <c r="U13" i="33"/>
  <c r="H29" i="33"/>
  <c r="AB29" i="33"/>
  <c r="F29" i="33"/>
  <c r="AA29" i="33"/>
  <c r="S12" i="34"/>
  <c r="W14" i="34"/>
  <c r="S14" i="34"/>
  <c r="S30" i="34"/>
  <c r="W30" i="34"/>
  <c r="W32" i="34"/>
  <c r="H11" i="35"/>
  <c r="J11" i="35"/>
  <c r="AC11" i="35"/>
  <c r="F96" i="37"/>
  <c r="H32" i="37"/>
  <c r="AB32" i="37"/>
  <c r="S19" i="39"/>
  <c r="H19" i="39"/>
  <c r="J19" i="39"/>
  <c r="W19" i="39"/>
  <c r="H43" i="39"/>
  <c r="U43" i="39"/>
  <c r="J43" i="39"/>
  <c r="F99" i="37"/>
  <c r="AC27" i="37"/>
  <c r="U25" i="35"/>
  <c r="S45" i="34"/>
  <c r="U31" i="34"/>
  <c r="AC40" i="37"/>
  <c r="W40" i="37"/>
  <c r="W27" i="33"/>
  <c r="AC45" i="21"/>
  <c r="S28" i="33"/>
  <c r="S14" i="21"/>
  <c r="AB29" i="35"/>
  <c r="U29" i="35"/>
  <c r="AC19" i="33"/>
  <c r="W19" i="33"/>
  <c r="U43" i="34"/>
  <c r="AC34" i="37"/>
  <c r="S35" i="37"/>
  <c r="AA35" i="37"/>
  <c r="AB10" i="35"/>
  <c r="AA32" i="21"/>
  <c r="S32" i="21"/>
  <c r="U38" i="21"/>
  <c r="AB34" i="21"/>
  <c r="F42" i="21"/>
  <c r="AA42" i="21"/>
  <c r="AB40" i="33"/>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U38" i="34"/>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W34" i="34"/>
  <c r="S39" i="34"/>
  <c r="S43" i="34"/>
  <c r="E78"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N6" i="46"/>
  <c r="F58" i="46"/>
  <c r="H61" i="46"/>
  <c r="N7" i="46"/>
  <c r="M7" i="46"/>
  <c r="M11" i="46"/>
  <c r="N3" i="46"/>
  <c r="N10" i="46"/>
  <c r="F69" i="46"/>
  <c r="H71" i="46"/>
  <c r="J13" i="40"/>
  <c r="W13" i="40"/>
  <c r="AB14" i="40"/>
  <c r="W40" i="40"/>
  <c r="F34" i="44"/>
  <c r="F27" i="43"/>
  <c r="F66" i="9"/>
  <c r="P72" i="9"/>
  <c r="F71" i="9"/>
  <c r="F72" i="9"/>
  <c r="AC14" i="40"/>
  <c r="W35" i="40"/>
  <c r="S33" i="40"/>
  <c r="AB32" i="40"/>
  <c r="AC47" i="39"/>
  <c r="S47" i="39"/>
  <c r="AB25" i="39"/>
  <c r="U37" i="34"/>
  <c r="AC41" i="40"/>
  <c r="W41" i="40"/>
  <c r="U41" i="40"/>
  <c r="J23" i="40"/>
  <c r="AC23" i="40"/>
  <c r="G92" i="40"/>
  <c r="F23" i="40"/>
  <c r="S23" i="40"/>
  <c r="AC15" i="40"/>
  <c r="W15" i="40"/>
  <c r="W27" i="39"/>
  <c r="S23" i="39"/>
  <c r="AB16" i="39"/>
  <c r="W14" i="39"/>
  <c r="U23" i="35"/>
  <c r="AB23" i="35"/>
  <c r="H20" i="35"/>
  <c r="F20" i="35"/>
  <c r="S20" i="35"/>
  <c r="F78" i="34"/>
  <c r="G78" i="34"/>
  <c r="H41" i="33"/>
  <c r="U41" i="33"/>
  <c r="F121" i="33"/>
  <c r="G121" i="33"/>
  <c r="H121" i="33"/>
  <c r="I121" i="33"/>
  <c r="J121" i="33"/>
  <c r="K121" i="33"/>
  <c r="L121" i="33"/>
  <c r="M121" i="33"/>
  <c r="F30" i="40"/>
  <c r="AA30" i="40"/>
  <c r="H100" i="40"/>
  <c r="I100" i="40"/>
  <c r="J100" i="40"/>
  <c r="K100" i="40"/>
  <c r="L100" i="40"/>
  <c r="M100" i="40"/>
  <c r="AB37" i="39"/>
  <c r="AA29" i="35"/>
  <c r="U39" i="39"/>
  <c r="J29" i="39"/>
  <c r="AC29" i="39"/>
  <c r="AB21" i="39"/>
  <c r="U21" i="39"/>
  <c r="AB17" i="39"/>
  <c r="AB33" i="36"/>
  <c r="AA11" i="36"/>
  <c r="AA14" i="35"/>
  <c r="S14" i="35"/>
  <c r="G99" i="37"/>
  <c r="F33" i="37"/>
  <c r="AB19" i="39"/>
  <c r="U19" i="39"/>
  <c r="U46" i="34"/>
  <c r="W12" i="34"/>
  <c r="U29" i="33"/>
  <c r="AC13" i="33"/>
  <c r="U17" i="34"/>
  <c r="W32" i="33"/>
  <c r="H15" i="33"/>
  <c r="U15" i="33"/>
  <c r="AA11" i="33"/>
  <c r="AA40" i="21"/>
  <c r="U17" i="21"/>
  <c r="S13" i="39"/>
  <c r="U16" i="40"/>
  <c r="W34" i="40"/>
  <c r="AB34" i="40"/>
  <c r="AB42" i="40"/>
  <c r="U42" i="40"/>
  <c r="AC16" i="40"/>
  <c r="W32" i="40"/>
  <c r="H25" i="40"/>
  <c r="AB25" i="40"/>
  <c r="F94" i="40"/>
  <c r="G94" i="40"/>
  <c r="U47" i="39"/>
  <c r="W15" i="39"/>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S27" i="34"/>
  <c r="AC43" i="39"/>
  <c r="W43" i="39"/>
  <c r="S43" i="39"/>
  <c r="G96" i="37"/>
  <c r="H96" i="37"/>
  <c r="I96" i="37"/>
  <c r="J96" i="37"/>
  <c r="K96" i="37"/>
  <c r="L96" i="37"/>
  <c r="M96" i="37"/>
  <c r="F32" i="37"/>
  <c r="S32" i="37"/>
  <c r="U11" i="35"/>
  <c r="AB11" i="35"/>
  <c r="S46" i="34"/>
  <c r="U32" i="34"/>
  <c r="U14" i="34"/>
  <c r="U12" i="34"/>
  <c r="AB13" i="33"/>
  <c r="G80" i="34"/>
  <c r="J35" i="33"/>
  <c r="W35" i="33"/>
  <c r="S32" i="33"/>
  <c r="AC15" i="33"/>
  <c r="H11" i="33"/>
  <c r="U11" i="33"/>
  <c r="H10" i="33"/>
  <c r="U10" i="33"/>
  <c r="I66" i="33"/>
  <c r="J10" i="33"/>
  <c r="AC10" i="33"/>
  <c r="U40" i="21"/>
  <c r="U11" i="37"/>
  <c r="U13" i="39"/>
  <c r="AC16" i="35"/>
  <c r="AC13" i="40"/>
  <c r="W11" i="34"/>
  <c r="S17" i="34"/>
  <c r="AC36" i="33"/>
  <c r="F25" i="40"/>
  <c r="AA25" i="40"/>
  <c r="J11" i="33"/>
  <c r="W11" i="33"/>
  <c r="H33" i="37"/>
  <c r="AB33" i="37"/>
  <c r="W15" i="34"/>
  <c r="U20" i="35"/>
  <c r="AB20" i="35"/>
  <c r="W23" i="40"/>
  <c r="D73" i="9"/>
  <c r="N73" i="9"/>
  <c r="AP11" i="1"/>
  <c r="B11" i="1"/>
  <c r="E11" i="1"/>
  <c r="B9" i="1"/>
  <c r="E9" i="1"/>
  <c r="B7" i="1"/>
  <c r="E7" i="1"/>
  <c r="C20" i="43"/>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U44" i="34"/>
  <c r="U34" i="34"/>
  <c r="U28" i="34"/>
  <c r="F86" i="34"/>
  <c r="G86" i="34"/>
  <c r="W17" i="34"/>
  <c r="U11" i="34"/>
  <c r="W10" i="34"/>
  <c r="U10" i="34"/>
  <c r="W37" i="34"/>
  <c r="W44" i="34"/>
  <c r="W19" i="34"/>
  <c r="W29" i="34"/>
  <c r="W21" i="34"/>
  <c r="U15" i="34"/>
  <c r="U21" i="34"/>
  <c r="U27" i="34"/>
  <c r="U19" i="34"/>
  <c r="S13"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7" i="1"/>
  <c r="I4" i="65"/>
  <c r="E20" i="46"/>
  <c r="W18" i="36"/>
  <c r="AC18" i="36"/>
  <c r="AG6" i="1"/>
  <c r="D12" i="11"/>
  <c r="C12" i="11"/>
  <c r="L20" i="6"/>
  <c r="D16" i="43"/>
  <c r="C16" i="43"/>
  <c r="L27" i="6"/>
  <c r="B21" i="55"/>
  <c r="B72" i="63"/>
  <c r="B20" i="55"/>
  <c r="B70" i="63"/>
  <c r="L38" i="9"/>
  <c r="B14" i="66"/>
  <c r="B1" i="66"/>
  <c r="C45" i="9"/>
  <c r="H14" i="66"/>
  <c r="B7" i="66"/>
  <c r="C7" i="66"/>
  <c r="M22" i="6"/>
  <c r="I22" i="6"/>
  <c r="H22" i="6"/>
  <c r="R22" i="6"/>
  <c r="R9" i="1"/>
  <c r="M20" i="6"/>
  <c r="I20" i="6"/>
  <c r="H20" i="6"/>
  <c r="R20" i="6"/>
  <c r="R7" i="1"/>
  <c r="G6" i="1"/>
  <c r="G13" i="1"/>
  <c r="H9" i="39"/>
  <c r="AB9" i="39"/>
  <c r="J9" i="39"/>
  <c r="AC9" i="39"/>
  <c r="E11" i="6"/>
  <c r="E63" i="39"/>
  <c r="E12" i="6"/>
  <c r="E64" i="39"/>
  <c r="E13" i="6"/>
  <c r="E65" i="39"/>
  <c r="E14" i="6"/>
  <c r="E66" i="39"/>
  <c r="E15" i="6"/>
  <c r="E67" i="39"/>
  <c r="E68" i="39"/>
  <c r="I3" i="65"/>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S23" i="6"/>
  <c r="K25" i="6"/>
  <c r="M25" i="6"/>
  <c r="I25" i="6"/>
  <c r="S25" i="6"/>
  <c r="S21" i="6"/>
  <c r="AB7" i="33"/>
  <c r="T48" i="33"/>
  <c r="G48" i="33"/>
  <c r="U7" i="33"/>
  <c r="F48" i="35"/>
  <c r="E46" i="36"/>
  <c r="AA7" i="33"/>
  <c r="R48" i="33"/>
  <c r="S7" i="33"/>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102" i="46"/>
  <c r="G102" i="46"/>
  <c r="J102" i="46"/>
  <c r="C103" i="46"/>
  <c r="G103" i="46"/>
  <c r="J103" i="46"/>
  <c r="L103" i="46"/>
  <c r="C104" i="46"/>
  <c r="G104" i="46"/>
  <c r="J104" i="46"/>
  <c r="C105" i="46"/>
  <c r="G105" i="46"/>
  <c r="J105" i="46"/>
  <c r="C106" i="46"/>
  <c r="G106" i="46"/>
  <c r="J106" i="46"/>
  <c r="C107" i="46"/>
  <c r="G107" i="46"/>
  <c r="J107" i="46"/>
  <c r="L107" i="46"/>
  <c r="C23" i="46"/>
  <c r="C21"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9" i="46"/>
  <c r="K109" i="46"/>
  <c r="E109" i="46"/>
  <c r="J109" i="46"/>
  <c r="C7" i="46"/>
  <c r="G52" i="21"/>
  <c r="H52" i="21"/>
  <c r="G53" i="21"/>
  <c r="H53" i="21"/>
  <c r="AA7" i="21"/>
  <c r="R48" i="21"/>
  <c r="S7" i="21"/>
  <c r="F65" i="40"/>
  <c r="E67" i="40"/>
  <c r="D8" i="59"/>
  <c r="D7" i="59"/>
  <c r="N28" i="46"/>
  <c r="M28" i="46"/>
  <c r="G20" i="46"/>
  <c r="E41" i="46"/>
  <c r="C41" i="46"/>
  <c r="S5" i="46"/>
  <c r="S2" i="46"/>
  <c r="S3" i="46"/>
  <c r="S7" i="46"/>
  <c r="S6" i="46"/>
  <c r="S4" i="46"/>
  <c r="K16" i="1"/>
  <c r="K27" i="6"/>
  <c r="E63" i="40"/>
  <c r="C22" i="4"/>
  <c r="D10" i="6"/>
  <c r="D13" i="6"/>
  <c r="H24" i="6"/>
  <c r="D6" i="6"/>
  <c r="D14" i="6"/>
  <c r="D8" i="6"/>
  <c r="E45" i="9"/>
  <c r="F45" i="9"/>
  <c r="K38" i="9"/>
  <c r="C14" i="66"/>
  <c r="B2" i="66"/>
  <c r="H26" i="6"/>
  <c r="R26" i="6"/>
  <c r="D11" i="6"/>
  <c r="D12" i="6"/>
  <c r="H25" i="6"/>
  <c r="D9" i="6"/>
  <c r="D5" i="6"/>
  <c r="D15" i="6"/>
  <c r="F46" i="9"/>
  <c r="E46" i="9"/>
  <c r="G52" i="37"/>
  <c r="R49" i="33"/>
  <c r="E48" i="33"/>
  <c r="G48" i="35"/>
  <c r="G52" i="33"/>
  <c r="H52" i="33"/>
  <c r="G53" i="33"/>
  <c r="H53" i="33"/>
  <c r="F46" i="36"/>
  <c r="G46" i="36"/>
  <c r="H46" i="36"/>
  <c r="I46" i="36"/>
  <c r="J46" i="36"/>
  <c r="K46" i="36"/>
  <c r="L46" i="36"/>
  <c r="M46" i="36"/>
  <c r="N46" i="36"/>
  <c r="O46" i="36"/>
  <c r="C115" i="46"/>
  <c r="D113" i="46"/>
  <c r="F67" i="40"/>
  <c r="G65" i="40"/>
  <c r="E48" i="21"/>
  <c r="R49" i="21"/>
  <c r="F7" i="36"/>
  <c r="S7" i="36"/>
  <c r="C20" i="46"/>
  <c r="M20" i="46"/>
  <c r="C19" i="46"/>
  <c r="R24" i="6"/>
  <c r="D16" i="6"/>
  <c r="R25" i="6"/>
  <c r="M27" i="6"/>
  <c r="D7" i="66"/>
  <c r="D8" i="66"/>
  <c r="A6" i="51"/>
  <c r="B7" i="63"/>
  <c r="A6" i="64"/>
  <c r="A20" i="64"/>
  <c r="A20" i="51"/>
  <c r="B15" i="63"/>
  <c r="N5" i="54"/>
  <c r="B43" i="63"/>
  <c r="T13" i="1"/>
  <c r="M16" i="1"/>
  <c r="T9" i="1"/>
  <c r="T11" i="1"/>
  <c r="T12" i="1"/>
  <c r="O16" i="1"/>
  <c r="T7" i="1"/>
  <c r="T10" i="1"/>
  <c r="T16" i="1"/>
  <c r="AA7" i="36"/>
  <c r="R36" i="36"/>
  <c r="H48" i="35"/>
  <c r="E52" i="33"/>
  <c r="F52" i="33"/>
  <c r="E53" i="33"/>
  <c r="F53" i="33"/>
  <c r="I53" i="33"/>
  <c r="J53" i="33"/>
  <c r="W7" i="34"/>
  <c r="I49" i="34"/>
  <c r="S7" i="34"/>
  <c r="H7" i="36"/>
  <c r="C49" i="33"/>
  <c r="B3" i="33"/>
  <c r="B2" i="33"/>
  <c r="C48" i="33"/>
  <c r="G49" i="34"/>
  <c r="U7" i="34"/>
  <c r="H52" i="37"/>
  <c r="J7" i="36"/>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I27" i="6"/>
  <c r="S19" i="6"/>
  <c r="S27" i="6"/>
  <c r="L16" i="1"/>
  <c r="C13" i="43"/>
  <c r="C17" i="43"/>
  <c r="N16" i="1"/>
  <c r="C29" i="43"/>
  <c r="W7" i="36"/>
  <c r="AC7" i="36"/>
  <c r="V36" i="36"/>
  <c r="I36" i="36"/>
  <c r="I52" i="37"/>
  <c r="G54" i="34"/>
  <c r="H54" i="34"/>
  <c r="G53" i="34"/>
  <c r="H53" i="34"/>
  <c r="E49" i="34"/>
  <c r="I53" i="34"/>
  <c r="J53" i="34"/>
  <c r="I54" i="34"/>
  <c r="J54" i="34"/>
  <c r="AB7" i="36"/>
  <c r="T36" i="36"/>
  <c r="G36" i="36"/>
  <c r="U7" i="36"/>
  <c r="I48" i="35"/>
  <c r="E36" i="36"/>
  <c r="R37" i="36"/>
  <c r="H67" i="40"/>
  <c r="I65" i="40"/>
  <c r="G39" i="46"/>
  <c r="I39" i="46"/>
  <c r="E39" i="46"/>
  <c r="E38" i="46"/>
  <c r="G38" i="46"/>
  <c r="I38" i="46"/>
  <c r="E33" i="46"/>
  <c r="E36" i="46"/>
  <c r="E37" i="46"/>
  <c r="C26" i="46"/>
  <c r="G33" i="46"/>
  <c r="I33" i="46"/>
  <c r="G37" i="46"/>
  <c r="I37" i="46"/>
  <c r="G36" i="46"/>
  <c r="I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J5" i="65"/>
  <c r="F31" i="15"/>
  <c r="J3" i="65"/>
  <c r="J4" i="65"/>
  <c r="C16" i="44"/>
  <c r="B7" i="67"/>
  <c r="E7" i="67"/>
  <c r="C14" i="43"/>
  <c r="C18" i="43"/>
  <c r="E3" i="67"/>
  <c r="B2" i="67"/>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C8" i="44"/>
  <c r="F70" i="15"/>
  <c r="Q72" i="15"/>
  <c r="M9" i="44"/>
  <c r="F68" i="15"/>
  <c r="J22" i="44"/>
  <c r="C36" i="44"/>
  <c r="L59" i="15"/>
  <c r="L58" i="15"/>
  <c r="F64" i="15"/>
  <c r="F63" i="15"/>
  <c r="L60" i="44"/>
  <c r="L59" i="44"/>
  <c r="E3" i="65"/>
  <c r="F58" i="15"/>
  <c r="M17" i="15"/>
  <c r="F7" i="67"/>
  <c r="C18" i="44"/>
  <c r="M19" i="44"/>
  <c r="L47" i="44"/>
  <c r="C19" i="43"/>
  <c r="C25" i="43"/>
  <c r="C24" i="43"/>
  <c r="C21" i="44"/>
  <c r="E4" i="67"/>
  <c r="F17" i="11"/>
  <c r="C17" i="11"/>
  <c r="C19" i="11"/>
  <c r="Q75" i="44"/>
  <c r="Q62" i="44"/>
  <c r="Q75" i="15"/>
  <c r="Q62" i="15"/>
  <c r="C34" i="44"/>
  <c r="Q63" i="44"/>
  <c r="Q76" i="44"/>
  <c r="Q74" i="15"/>
  <c r="Q61" i="15"/>
  <c r="J18" i="15"/>
  <c r="P28" i="46"/>
  <c r="O28" i="46"/>
  <c r="C48" i="15"/>
  <c r="Q54" i="44"/>
  <c r="F1" i="44"/>
  <c r="J8" i="44"/>
  <c r="F13" i="44"/>
  <c r="C12" i="44"/>
  <c r="C7" i="44"/>
  <c r="M13" i="44"/>
  <c r="J12" i="44"/>
  <c r="Q53" i="15"/>
  <c r="B4" i="67"/>
  <c r="B3" i="67"/>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Q66" i="15"/>
  <c r="J42" i="15"/>
  <c r="J43" i="15"/>
  <c r="C46" i="15"/>
  <c r="B5" i="44"/>
  <c r="B3" i="44"/>
  <c r="B4" i="44"/>
  <c r="Q67" i="15"/>
  <c r="Q58" i="15"/>
  <c r="Q63" i="15"/>
  <c r="Q76"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0" i="9"/>
  <c r="O81" i="9"/>
  <c r="O78" i="9"/>
  <c r="Q77" i="9"/>
  <c r="E114" i="9"/>
  <c r="E115" i="9"/>
  <c r="C90" i="9"/>
  <c r="C96" i="9"/>
  <c r="C91" i="9"/>
  <c r="C97" i="9"/>
  <c r="C98" i="9"/>
  <c r="E98" i="9"/>
  <c r="E99" i="9"/>
  <c r="C99" i="9"/>
  <c r="D14" i="66"/>
  <c r="B5" i="66"/>
  <c r="D5" i="66"/>
  <c r="C5" i="66"/>
  <c r="D70" i="9"/>
  <c r="C82" i="9"/>
  <c r="C81" i="9"/>
  <c r="C85" i="9"/>
  <c r="C86" i="9"/>
  <c r="D72" i="9"/>
  <c r="F14" i="66"/>
  <c r="E14" i="66"/>
  <c r="C33" i="9"/>
  <c r="D42" i="9"/>
  <c r="Q5" i="54"/>
  <c r="B47" i="63"/>
  <c r="N38" i="9"/>
  <c r="K28" i="9"/>
  <c r="O38" i="9"/>
  <c r="K25" i="9"/>
  <c r="K26" i="9"/>
  <c r="R5" i="54"/>
  <c r="B48" i="63"/>
  <c r="N68" i="9"/>
  <c r="C34" i="9"/>
  <c r="E42" i="9"/>
  <c r="P5" i="54"/>
  <c r="B46" i="63"/>
  <c r="M38" i="9"/>
  <c r="K27" i="9"/>
  <c r="O43" i="9"/>
  <c r="C35" i="9"/>
  <c r="F42" i="9"/>
  <c r="N43" i="9"/>
  <c r="L43" i="9"/>
  <c r="D22" i="9"/>
  <c r="B4" i="39"/>
  <c r="C21" i="9"/>
  <c r="G21" i="9"/>
  <c r="B3" i="39"/>
  <c r="C20" i="9"/>
  <c r="G20" i="9"/>
  <c r="B5" i="39"/>
  <c r="C49" i="39"/>
  <c r="E49" i="39"/>
  <c r="G49" i="39"/>
  <c r="E54" i="39"/>
  <c r="F54" i="39"/>
  <c r="E53" i="39"/>
  <c r="F53" i="39"/>
  <c r="I49" i="39"/>
  <c r="I54" i="39"/>
  <c r="J54" i="39"/>
  <c r="I53" i="39"/>
  <c r="J53" i="39"/>
  <c r="G53" i="39"/>
  <c r="H53" i="39"/>
  <c r="G54" i="39"/>
  <c r="H54" i="39"/>
  <c r="G14" i="66"/>
  <c r="B6" i="66"/>
  <c r="D6" i="66"/>
  <c r="U12" i="39"/>
  <c r="H12" i="40"/>
  <c r="U12" i="40"/>
  <c r="AB12" i="40"/>
  <c r="W12" i="39"/>
  <c r="J12" i="40"/>
  <c r="AC12" i="40"/>
  <c r="W12" i="40"/>
  <c r="S12" i="39"/>
  <c r="F12" i="40"/>
  <c r="S12" i="40"/>
  <c r="AA12" i="40"/>
  <c r="E44" i="9"/>
  <c r="F44" i="9"/>
  <c r="C6" i="66"/>
  <c r="M83" i="9"/>
  <c r="N83" i="9"/>
  <c r="M84" i="9"/>
  <c r="N84" i="9"/>
  <c r="M85" i="9"/>
  <c r="N85" i="9"/>
  <c r="M86" i="9"/>
  <c r="N86" i="9"/>
  <c r="M87" i="9"/>
  <c r="N87" i="9"/>
  <c r="M88" i="9"/>
  <c r="N88" i="9"/>
  <c r="N89" i="9"/>
  <c r="O89" i="9"/>
  <c r="O39" i="9"/>
  <c r="R6" i="54"/>
  <c r="B50" i="63"/>
  <c r="K29" i="9"/>
  <c r="K30" i="9"/>
  <c r="D44" i="9"/>
  <c r="D27" i="9"/>
  <c r="M8" i="12"/>
  <c r="M9" i="12"/>
  <c r="G22" i="9"/>
  <c r="K2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E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E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5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5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<sst xmlns="http://schemas.openxmlformats.org/spreadsheetml/2006/main" count="7534" uniqueCount="3149">
  <si>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</si>
  <si>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</si>
  <si>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</si>
  <si>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</si>
  <si>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</si>
  <si>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</si>
  <si>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</si>
  <si>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</si>
  <si>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</si>
  <si>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</si>
  <si>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</si>
  <si>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</si>
  <si>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</si>
  <si>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</si>
  <si>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</si>
  <si>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</si>
  <si>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</si>
  <si>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</si>
  <si>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</si>
  <si>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</si>
  <si>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</si>
  <si>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</si>
  <si>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</si>
  <si>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</si>
  <si>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</si>
  <si>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</si>
  <si>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</si>
  <si>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</si>
  <si>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</si>
  <si>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</si>
  <si>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</si>
  <si>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</si>
  <si>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</si>
  <si>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</si>
  <si>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</si>
  <si>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</si>
  <si>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</si>
  <si>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</si>
  <si>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</si>
  <si>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</si>
  <si>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</si>
  <si>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</si>
  <si>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</si>
  <si>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</si>
  <si>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</si>
  <si>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</si>
  <si>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</si>
  <si>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</si>
  <si>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</si>
  <si>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</si>
  <si>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</si>
  <si>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</si>
  <si>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</si>
  <si>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</si>
  <si>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</si>
  <si>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</si>
  <si>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</si>
  <si>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</si>
  <si>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</si>
  <si>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</si>
  <si>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</si>
  <si>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</si>
  <si>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</si>
  <si>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</si>
  <si>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</si>
  <si>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</si>
  <si>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</si>
  <si>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</si>
  <si>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</si>
  <si>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</si>
  <si>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</si>
  <si>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</si>
  <si>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</si>
  <si>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</si>
  <si>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</si>
  <si>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</si>
  <si>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</si>
  <si>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</si>
  <si>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</si>
  <si>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</si>
  <si>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</si>
  <si>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</si>
  <si>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</si>
  <si>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</si>
  <si>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</si>
  <si>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</si>
  <si>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</si>
  <si>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</si>
  <si>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</si>
  <si>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</si>
  <si>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</si>
  <si>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</si>
  <si>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</si>
  <si>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</si>
  <si>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</si>
  <si>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</si>
  <si>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</si>
  <si>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</si>
  <si>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</si>
  <si>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</si>
  <si>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</si>
  <si>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</si>
  <si>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</si>
  <si>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</si>
  <si>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</si>
  <si>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</si>
  <si>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</si>
  <si>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</si>
  <si>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</si>
  <si>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</si>
  <si>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</si>
  <si>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</si>
  <si>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</si>
  <si>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</si>
  <si>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</si>
  <si>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</si>
  <si>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</si>
  <si>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</si>
  <si>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</si>
  <si>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</si>
  <si>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</si>
  <si>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</si>
  <si>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</si>
  <si>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</si>
  <si>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</si>
  <si>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</si>
  <si>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</si>
  <si>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</si>
  <si>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</si>
  <si>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</si>
  <si>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</si>
  <si>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</si>
  <si>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</si>
  <si>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</si>
  <si>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</si>
  <si>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</si>
  <si>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</si>
  <si>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</si>
  <si>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</si>
  <si>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</si>
  <si>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</si>
  <si>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</si>
  <si>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</si>
  <si>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</si>
  <si>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</si>
  <si>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</si>
  <si>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</si>
  <si>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</si>
  <si>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</si>
  <si>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</si>
  <si>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</si>
  <si>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</si>
  <si>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</si>
  <si>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</si>
  <si>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</si>
  <si>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</si>
  <si>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</si>
  <si>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</si>
  <si>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</si>
  <si>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</si>
  <si>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</si>
  <si>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</si>
  <si>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</si>
  <si>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</si>
  <si>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</si>
  <si>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</si>
  <si>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</si>
  <si>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</si>
  <si>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</si>
  <si>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</si>
  <si>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</si>
  <si>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</si>
  <si>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</si>
  <si>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</si>
  <si>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</si>
  <si>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</si>
  <si>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</si>
  <si>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</si>
  <si>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</si>
  <si>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</si>
  <si>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</si>
  <si>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</si>
  <si>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</si>
  <si>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</si>
  <si>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</si>
  <si>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</si>
  <si>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</si>
  <si>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</si>
  <si>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</si>
  <si>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</si>
  <si>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</si>
  <si>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</si>
  <si>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</si>
  <si>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</si>
  <si>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</si>
  <si>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</si>
  <si>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</si>
  <si>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</si>
  <si>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</si>
  <si>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</si>
  <si>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</si>
  <si>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</si>
  <si>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</si>
  <si>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</si>
  <si>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</si>
  <si>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</si>
  <si>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</si>
  <si>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</si>
  <si>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</si>
  <si>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</si>
  <si>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</si>
  <si>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</si>
  <si>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</si>
  <si>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</si>
  <si>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</si>
  <si>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</si>
  <si>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</si>
  <si>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</si>
  <si>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</si>
  <si>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</si>
  <si>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</si>
  <si>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</si>
  <si>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</si>
  <si>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</si>
  <si>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</si>
  <si>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</si>
  <si>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</si>
  <si>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</si>
  <si>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</si>
  <si>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</si>
  <si>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</si>
  <si>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</si>
  <si>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</si>
  <si>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</si>
  <si>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</si>
  <si>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</si>
  <si>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</si>
  <si>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</si>
  <si>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</si>
  <si>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</si>
  <si>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</si>
  <si>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</si>
  <si>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</si>
  <si>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</si>
  <si>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</si>
  <si>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</si>
  <si>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</si>
  <si>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</si>
  <si>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</si>
  <si>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</si>
  <si>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</si>
  <si>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</si>
  <si>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</si>
  <si>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</si>
  <si>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</si>
  <si>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</si>
  <si>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</si>
  <si>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</si>
  <si>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</si>
  <si>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</si>
  <si>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</si>
  <si>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</si>
  <si>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</si>
  <si>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</si>
  <si>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</si>
  <si>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</si>
  <si>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</si>
  <si>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</si>
  <si>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</si>
  <si>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</si>
  <si>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</si>
  <si>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</si>
  <si>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</si>
  <si>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</si>
  <si>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</si>
  <si>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</si>
  <si>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</si>
  <si>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</si>
  <si>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</si>
  <si>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</si>
  <si>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</si>
  <si>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</si>
  <si>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</si>
  <si>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</si>
  <si>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</si>
  <si>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</si>
  <si>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</si>
  <si>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</si>
  <si>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</si>
  <si>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</si>
  <si>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</si>
  <si>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</si>
  <si>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</si>
  <si>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</si>
  <si>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</si>
  <si>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</si>
  <si>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</si>
  <si>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</si>
  <si>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</si>
  <si>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</si>
  <si>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</si>
  <si>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</si>
  <si>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</si>
  <si>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</si>
  <si>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</si>
  <si>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</si>
  <si>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</si>
  <si>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</si>
  <si>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</si>
  <si>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</si>
  <si>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</si>
  <si>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</si>
  <si>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</si>
  <si>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</si>
  <si>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</si>
  <si>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</si>
  <si>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</si>
  <si>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</si>
  <si>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</si>
  <si>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</si>
  <si>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</si>
  <si>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</si>
  <si>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</si>
  <si>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</si>
  <si>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</si>
  <si>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</si>
  <si>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</si>
  <si>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</si>
  <si>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</si>
  <si>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</si>
  <si>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</si>
  <si>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</si>
  <si>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</si>
  <si>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</si>
  <si>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</si>
  <si>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</si>
  <si>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</si>
  <si>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</si>
  <si>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</si>
  <si>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</si>
  <si>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</si>
  <si>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</si>
  <si>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</si>
  <si>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</si>
  <si>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</si>
  <si>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</si>
  <si>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</si>
  <si>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</si>
  <si>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</si>
  <si>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</si>
  <si>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</si>
  <si>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</si>
  <si>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</si>
  <si>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</si>
  <si>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</si>
  <si>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</si>
  <si>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</si>
  <si>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</si>
  <si>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</si>
  <si>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</si>
  <si>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</si>
  <si>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</si>
  <si>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</si>
  <si>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</si>
  <si>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</si>
  <si>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</si>
  <si>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</si>
  <si>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</si>
  <si>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</si>
  <si>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</si>
  <si>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</si>
  <si>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</si>
  <si>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</si>
  <si>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</si>
  <si>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</si>
  <si>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</si>
  <si>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</si>
  <si>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</si>
  <si>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</si>
  <si>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</si>
  <si>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</si>
  <si>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</si>
  <si>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</si>
  <si>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</si>
  <si>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</si>
  <si>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</si>
  <si>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</si>
  <si>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</si>
  <si>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</si>
  <si>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</si>
  <si>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</si>
  <si>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</si>
  <si>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</si>
  <si>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</si>
  <si>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</si>
  <si>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</si>
  <si>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</si>
  <si>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</si>
  <si>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</si>
  <si>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</si>
  <si>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</si>
  <si>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</si>
  <si>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</si>
  <si>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</si>
  <si>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</si>
  <si>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</si>
  <si>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</si>
  <si>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</si>
  <si>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</si>
  <si>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</si>
  <si>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</si>
  <si>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</si>
  <si>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</si>
  <si>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</si>
  <si>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</si>
  <si>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</si>
  <si>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</si>
  <si>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</si>
  <si>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</si>
  <si>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</si>
  <si>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</si>
  <si>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</si>
  <si>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</si>
  <si>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</si>
  <si>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</si>
  <si>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</si>
  <si>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</si>
  <si>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</si>
  <si>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</si>
  <si>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</si>
  <si>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</si>
  <si>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</si>
  <si>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</si>
  <si>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</si>
  <si>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</si>
  <si>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</si>
  <si>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</si>
  <si>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</si>
  <si>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</si>
  <si>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</si>
  <si>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</si>
  <si>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</si>
  <si>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</si>
  <si>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</si>
  <si>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</si>
  <si>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</si>
  <si>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</si>
  <si>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</si>
  <si>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</si>
  <si>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</si>
  <si>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</si>
  <si>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</si>
  <si>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</si>
  <si>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</si>
  <si>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</si>
  <si>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</si>
  <si>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</si>
  <si>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</si>
  <si>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</si>
  <si>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</si>
  <si>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</si>
  <si>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</si>
  <si>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</si>
  <si>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</si>
  <si>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</si>
  <si>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</si>
  <si>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</si>
  <si>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</si>
  <si>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</si>
  <si>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</si>
  <si>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</si>
  <si>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</si>
  <si>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</si>
  <si>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</si>
  <si>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</si>
  <si>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</si>
  <si>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</si>
  <si>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</si>
  <si>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</si>
  <si>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</si>
  <si>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</si>
  <si>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</si>
  <si>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</si>
  <si>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</si>
  <si>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</si>
  <si>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</si>
  <si>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</si>
  <si>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</si>
  <si>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</si>
  <si>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</si>
  <si>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</si>
  <si>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</si>
  <si>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</si>
  <si>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</si>
  <si>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</si>
  <si>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</si>
  <si>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</si>
  <si>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</si>
  <si>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</si>
  <si>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</si>
  <si>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</si>
  <si>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</si>
  <si>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</si>
  <si>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</si>
  <si>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</si>
  <si>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</si>
  <si>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</si>
  <si>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</si>
  <si>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</si>
  <si>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</si>
  <si>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</si>
  <si>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</si>
  <si>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</si>
  <si>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</si>
  <si>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</si>
  <si>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</si>
  <si>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</si>
  <si>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</si>
  <si>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</si>
  <si>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</si>
  <si>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</si>
  <si>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</si>
  <si>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</si>
  <si>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</si>
  <si>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</si>
  <si>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</si>
  <si>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</si>
  <si>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</si>
  <si>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</si>
  <si>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</si>
  <si>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</si>
  <si>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</si>
  <si>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</si>
  <si>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</si>
  <si>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</si>
  <si>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</si>
  <si>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</si>
  <si>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</si>
  <si>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</si>
  <si>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</si>
  <si>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</si>
  <si>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</si>
  <si>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</si>
  <si>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</si>
  <si>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</si>
  <si>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</si>
  <si>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</si>
  <si>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</si>
  <si>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</si>
  <si>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</si>
  <si>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</si>
  <si>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</si>
  <si>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</si>
  <si>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</si>
  <si>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</si>
  <si>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</si>
  <si>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</si>
  <si>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</si>
  <si>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</si>
  <si>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</si>
  <si>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</si>
  <si>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</si>
  <si>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</si>
  <si>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</si>
  <si>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</si>
  <si>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</si>
  <si>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</si>
  <si>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</si>
  <si>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</si>
  <si>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</si>
  <si>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</si>
  <si>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</si>
  <si>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</si>
  <si>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</si>
  <si>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</si>
  <si>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</si>
  <si>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</si>
  <si>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</si>
  <si>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</si>
  <si>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</si>
  <si>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</si>
  <si>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</si>
  <si>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</si>
  <si>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</si>
  <si>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</si>
  <si>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</si>
  <si>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</si>
  <si>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</si>
  <si>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</si>
  <si>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</si>
  <si>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</si>
  <si>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</si>
  <si>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</si>
  <si>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</si>
  <si>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</si>
  <si>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</si>
  <si>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</si>
  <si>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</si>
  <si>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</si>
  <si>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</si>
  <si>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</si>
  <si>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</si>
  <si>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</si>
  <si>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</si>
  <si>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</si>
  <si>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</si>
  <si>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</si>
  <si>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</si>
  <si>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</si>
  <si>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</si>
  <si>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</si>
  <si>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</si>
  <si>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</si>
  <si>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</si>
  <si>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</si>
  <si>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</si>
  <si>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</si>
  <si>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</si>
  <si>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</si>
  <si>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</si>
  <si>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</si>
  <si>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</si>
  <si>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</si>
  <si>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</si>
  <si>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</si>
  <si>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</si>
  <si>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</si>
  <si>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</si>
  <si>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</si>
  <si>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</si>
  <si>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</si>
  <si>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</si>
  <si>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</si>
  <si>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</si>
  <si>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</si>
  <si>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</si>
  <si>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</si>
  <si>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</si>
  <si>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</si>
  <si>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</si>
  <si>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</si>
  <si>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</si>
  <si>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</si>
  <si>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</si>
  <si>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</si>
  <si>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</si>
  <si>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</si>
  <si>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</si>
  <si>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</si>
  <si>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</si>
  <si>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</si>
  <si>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</si>
  <si>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</si>
  <si>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</si>
  <si>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</si>
  <si>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</si>
  <si>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</si>
  <si>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</si>
  <si>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</si>
  <si>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</si>
  <si>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</si>
  <si>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</si>
  <si>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</si>
  <si>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</si>
  <si>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</si>
  <si>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</si>
  <si>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</si>
  <si>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</si>
  <si>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</si>
  <si>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</si>
  <si>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</si>
  <si>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</si>
  <si>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</si>
  <si>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</si>
  <si>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</si>
  <si>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</si>
  <si>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</si>
  <si>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</si>
  <si>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</si>
  <si>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</si>
  <si>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</si>
  <si>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</si>
  <si>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</si>
  <si>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</si>
  <si>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</si>
  <si>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</si>
  <si>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</si>
  <si>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</si>
  <si>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</si>
  <si>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</si>
  <si>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</si>
  <si>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</si>
  <si>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</si>
  <si>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</si>
  <si>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</si>
  <si>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</si>
  <si>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</si>
  <si>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</si>
  <si>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</si>
  <si>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</si>
  <si>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</si>
  <si>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</si>
  <si>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</si>
  <si>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</si>
  <si>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</si>
  <si>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</si>
  <si>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</si>
  <si>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</si>
  <si>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</si>
  <si>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</si>
  <si>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</si>
  <si>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</si>
  <si>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</si>
  <si>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</si>
  <si>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</si>
  <si>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</si>
  <si>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</si>
  <si>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</si>
  <si>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</si>
  <si>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</si>
  <si>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</si>
  <si>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</si>
  <si>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</si>
  <si>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</si>
  <si>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</si>
  <si>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</si>
  <si>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</si>
  <si>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</si>
  <si>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</si>
  <si>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</si>
  <si>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</si>
  <si>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</si>
  <si>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</si>
  <si>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</si>
  <si>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</si>
  <si>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</si>
  <si>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</si>
  <si>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</si>
  <si>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</si>
  <si>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</si>
  <si>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</si>
  <si>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</si>
  <si>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</si>
  <si>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</si>
  <si>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</si>
  <si>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</si>
  <si>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</si>
  <si>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</si>
  <si>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</si>
  <si>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</si>
  <si>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</si>
  <si>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</si>
  <si>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</si>
  <si>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</si>
  <si>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</si>
  <si>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</si>
  <si>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</si>
  <si>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</si>
  <si>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</si>
  <si>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</si>
  <si>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</si>
  <si>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</si>
  <si>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</si>
  <si>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</si>
  <si>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</si>
  <si>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</si>
  <si>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</si>
  <si>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</si>
  <si>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</si>
  <si>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</si>
  <si>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</si>
  <si>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</si>
  <si>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</si>
  <si>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</si>
  <si>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</si>
  <si>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</si>
  <si>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</si>
  <si>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</si>
  <si>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</si>
  <si>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</si>
  <si>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</si>
  <si>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</si>
  <si>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</si>
  <si>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</si>
  <si>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</si>
  <si>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</si>
  <si>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</si>
  <si>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</si>
  <si>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</si>
  <si>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</si>
  <si>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</si>
  <si>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</si>
  <si>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</si>
  <si>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</si>
  <si>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</si>
  <si>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</si>
  <si>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</si>
  <si>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</si>
  <si>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</si>
  <si>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</si>
  <si>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</si>
  <si>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</si>
  <si>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</si>
  <si>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</si>
  <si>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</si>
  <si>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</si>
  <si>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</si>
  <si>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</si>
  <si>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</si>
  <si>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</si>
  <si>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</si>
  <si>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</si>
  <si>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</si>
  <si>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</si>
  <si>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</si>
  <si>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</si>
  <si>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</si>
  <si>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</si>
  <si>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</si>
  <si>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</si>
  <si>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</si>
  <si>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</si>
  <si>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</si>
  <si>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</si>
  <si>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</si>
  <si>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</si>
  <si>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</si>
  <si>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</si>
  <si>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</si>
  <si>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</si>
  <si>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</si>
  <si>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</si>
  <si>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</si>
  <si>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</si>
  <si>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</si>
  <si>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</si>
  <si>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</si>
  <si>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</si>
  <si>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</si>
  <si>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</si>
  <si>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</si>
  <si>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</si>
  <si>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</si>
  <si>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</si>
  <si>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</si>
  <si>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</si>
  <si>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</si>
  <si>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</si>
  <si>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</si>
  <si>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</si>
  <si>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</si>
  <si>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</si>
  <si>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</si>
  <si>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</si>
  <si>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</si>
  <si>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</si>
  <si>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</si>
  <si>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</si>
  <si>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</si>
  <si>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</si>
  <si>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</si>
  <si>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</si>
  <si>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</si>
  <si>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</si>
  <si>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</si>
  <si>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</si>
  <si>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</si>
  <si>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</si>
  <si>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</si>
  <si>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</si>
  <si>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</si>
  <si>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</si>
  <si>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</si>
  <si>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</si>
  <si>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</si>
  <si>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</si>
  <si>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</si>
  <si>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</si>
  <si>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</si>
  <si>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</si>
  <si>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</si>
  <si>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</si>
  <si>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</si>
  <si>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</si>
  <si>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</si>
  <si>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</si>
  <si>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</si>
  <si>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</si>
  <si>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</si>
  <si>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</si>
  <si>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</si>
  <si>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</si>
  <si>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</si>
  <si>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</si>
  <si>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</si>
  <si>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</si>
  <si>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</si>
  <si>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</si>
  <si>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</si>
  <si>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</si>
  <si>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</si>
  <si>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</si>
  <si>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</si>
  <si>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</si>
  <si>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</si>
  <si>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</si>
  <si>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</si>
  <si>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</si>
  <si>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</si>
  <si>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</si>
  <si>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</si>
  <si>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</si>
  <si>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</si>
  <si>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</si>
  <si>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</si>
  <si>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</si>
  <si>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</si>
  <si>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</si>
  <si>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</si>
  <si>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</si>
  <si>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</si>
  <si>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</si>
  <si>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</si>
  <si>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</si>
  <si>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</si>
  <si>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</si>
  <si>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</si>
  <si>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</si>
  <si>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</si>
  <si>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</si>
  <si>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</si>
  <si>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</si>
  <si>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</si>
  <si>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</si>
  <si>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</si>
  <si>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</si>
  <si>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</si>
  <si>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</si>
  <si>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</si>
  <si>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</si>
  <si>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</si>
  <si>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</si>
  <si>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</si>
  <si>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</si>
  <si>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</si>
  <si>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</si>
  <si>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</si>
  <si>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</si>
  <si>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</si>
  <si>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</si>
  <si>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</si>
  <si>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</si>
  <si>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</si>
  <si>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</si>
  <si>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</si>
  <si>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</si>
  <si>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</si>
  <si>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</si>
  <si>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</si>
  <si>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</si>
  <si>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</si>
  <si>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</si>
  <si>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</si>
  <si>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</si>
  <si>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</si>
  <si>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</si>
  <si>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</si>
  <si>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</si>
  <si>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</si>
  <si>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</si>
  <si>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</si>
  <si>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</si>
  <si>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</si>
  <si>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</si>
  <si>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</si>
  <si>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</si>
  <si>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</si>
  <si>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</si>
  <si>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</si>
  <si>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</si>
  <si>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</si>
  <si>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</si>
  <si>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</si>
  <si>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</si>
  <si>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</si>
  <si>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</si>
  <si>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</si>
  <si>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</si>
  <si>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</si>
  <si>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</si>
  <si>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</si>
  <si>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</si>
  <si>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</si>
  <si>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</si>
  <si>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</si>
  <si>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</si>
  <si>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</si>
  <si>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</si>
  <si>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</si>
  <si>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</si>
  <si>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</si>
  <si>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</si>
  <si>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</si>
  <si>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</si>
  <si>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</si>
  <si>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</si>
  <si>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</si>
  <si>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</si>
  <si>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</si>
  <si>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</si>
  <si>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</si>
  <si>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</si>
  <si>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</si>
  <si>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</si>
  <si>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</si>
  <si>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</si>
  <si>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</si>
  <si>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</si>
  <si>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</si>
  <si>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</si>
  <si>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</si>
  <si>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</si>
  <si>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</si>
  <si>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</si>
  <si>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</si>
  <si>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</si>
  <si>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</si>
  <si>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</si>
  <si>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</si>
  <si>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</si>
  <si>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</si>
  <si>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</si>
  <si>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</si>
  <si>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</si>
  <si>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</si>
  <si>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</si>
  <si>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</si>
  <si>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</si>
  <si>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</si>
  <si>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</si>
  <si>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</si>
  <si>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</si>
  <si>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</si>
  <si>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</si>
  <si>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</si>
  <si>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</si>
  <si>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</si>
  <si>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</si>
  <si>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</si>
  <si>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</si>
  <si>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</si>
  <si>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</si>
  <si>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</si>
  <si>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</si>
  <si>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</si>
  <si>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</si>
  <si>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</si>
  <si>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</si>
  <si>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</si>
  <si>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</si>
  <si>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</si>
  <si>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</si>
  <si>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</si>
  <si>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</si>
  <si>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</si>
  <si>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</si>
  <si>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</si>
  <si>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</si>
  <si>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</si>
  <si>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</si>
  <si>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</si>
  <si>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</si>
  <si>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</si>
  <si>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</si>
  <si>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</si>
  <si>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</si>
  <si>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</si>
  <si>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</si>
  <si>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</si>
  <si>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</si>
  <si>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</si>
  <si>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</si>
  <si>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</si>
  <si>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</si>
  <si>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</si>
  <si>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</si>
  <si>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</si>
  <si>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</si>
  <si>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</si>
  <si>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</si>
  <si>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</si>
  <si>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</si>
  <si>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</si>
  <si>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</si>
  <si>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</si>
  <si>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</si>
  <si>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</si>
  <si>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</si>
  <si>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</si>
  <si>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</si>
  <si>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</si>
  <si>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</si>
  <si>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</si>
  <si>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</si>
  <si>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</si>
  <si>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</si>
  <si>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</si>
  <si>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</si>
  <si>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</si>
  <si>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</si>
  <si>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</si>
  <si>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</si>
  <si>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</si>
  <si>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</si>
  <si>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</si>
  <si>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</si>
  <si>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</si>
  <si>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</si>
  <si>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</si>
  <si>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</si>
  <si>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</si>
  <si>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</si>
  <si>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</si>
  <si>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</si>
  <si>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</si>
  <si>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</si>
  <si>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</si>
  <si>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</si>
  <si>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</si>
  <si>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</si>
  <si>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</si>
  <si>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</si>
  <si>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</si>
  <si>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</si>
  <si>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</si>
  <si>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</si>
  <si>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</si>
  <si>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</si>
  <si>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</si>
  <si>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</si>
  <si>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</si>
  <si>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</si>
  <si>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</si>
  <si>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</si>
  <si>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</si>
  <si>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</si>
  <si>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</si>
  <si>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</si>
  <si>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</si>
  <si>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</si>
  <si>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</si>
  <si>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</si>
  <si>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</si>
  <si>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</si>
  <si>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</si>
  <si>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</si>
  <si>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</si>
  <si>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</si>
  <si>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</si>
  <si>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</si>
  <si>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</si>
  <si>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</si>
  <si>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</si>
  <si>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</si>
  <si>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</si>
  <si>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</si>
  <si>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</si>
  <si>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</si>
  <si>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</si>
  <si>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</si>
  <si>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</si>
  <si>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</si>
  <si>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</si>
  <si>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</si>
  <si>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</si>
  <si>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</si>
  <si>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</si>
  <si>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</si>
  <si>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</si>
  <si>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</si>
  <si>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</si>
  <si>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</si>
  <si>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</si>
  <si>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</si>
  <si>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</si>
  <si>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</si>
  <si>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</si>
  <si>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</si>
  <si>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</si>
  <si>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</si>
  <si>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</si>
  <si>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</si>
  <si>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</si>
  <si>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</si>
  <si>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</si>
  <si>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</si>
  <si>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</si>
  <si>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</si>
  <si>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</si>
  <si>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</si>
  <si>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</si>
  <si>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</si>
  <si>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</si>
  <si>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</si>
  <si>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</si>
  <si>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</si>
  <si>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</si>
  <si>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</si>
  <si>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</si>
  <si>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</si>
  <si>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</si>
  <si>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</si>
  <si>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</si>
  <si>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</si>
  <si>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</si>
  <si>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</si>
  <si>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</si>
  <si>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</si>
  <si>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</si>
  <si>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</si>
  <si>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</si>
  <si>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</si>
  <si>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</si>
  <si>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</si>
  <si>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</si>
  <si>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</si>
  <si>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</si>
  <si>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</si>
  <si>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</si>
  <si>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</si>
  <si>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</si>
  <si>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</si>
  <si>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</si>
  <si>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</si>
  <si>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</si>
  <si>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</si>
  <si>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</si>
  <si>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</si>
  <si>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</si>
  <si>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</si>
  <si>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</si>
  <si>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</si>
  <si>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</si>
  <si>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</si>
  <si>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</si>
  <si>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</si>
  <si>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</si>
  <si>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</si>
  <si>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</si>
  <si>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</si>
  <si>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</si>
  <si>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</si>
  <si>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</si>
  <si>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</si>
  <si>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</si>
  <si>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</si>
  <si>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</si>
  <si>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</si>
  <si>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</si>
  <si>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</si>
  <si>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</si>
  <si>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</si>
  <si>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</si>
  <si>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</si>
  <si>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</si>
  <si>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</si>
  <si>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</si>
  <si>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</si>
  <si>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</si>
  <si>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</si>
  <si>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</si>
  <si>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</si>
  <si>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</si>
  <si>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</si>
  <si>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</si>
  <si>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</si>
  <si>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</si>
  <si>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</si>
  <si>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</si>
  <si>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</si>
  <si>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</si>
  <si>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</si>
  <si>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</si>
  <si>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</si>
  <si>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</si>
  <si>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</si>
  <si>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</si>
  <si>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</si>
  <si>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</si>
  <si>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</si>
  <si>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</si>
  <si>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</si>
  <si>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</si>
  <si>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</si>
  <si>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</si>
  <si>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</si>
  <si>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</si>
  <si>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</si>
  <si>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</si>
  <si>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</si>
  <si>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</si>
  <si>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</si>
  <si>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</si>
  <si>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</si>
  <si>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</si>
  <si>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</si>
  <si>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</si>
  <si>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</si>
  <si>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</si>
  <si>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</si>
  <si>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</si>
  <si>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</si>
  <si>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</si>
  <si>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</si>
  <si>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</si>
  <si>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</si>
  <si>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</si>
  <si>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</si>
  <si>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</si>
  <si>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</si>
  <si>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</si>
  <si>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</si>
  <si>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</si>
  <si>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</si>
  <si>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</si>
  <si>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</si>
  <si>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</si>
  <si>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</si>
  <si>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</si>
  <si>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</si>
  <si>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</si>
  <si>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</si>
  <si>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</si>
  <si>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</si>
  <si>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</si>
  <si>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</si>
  <si>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</si>
  <si>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</si>
  <si>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</si>
  <si>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</si>
  <si>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</si>
  <si>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</si>
  <si>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</si>
  <si>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</si>
  <si>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</si>
  <si>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</si>
  <si>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</si>
  <si>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</si>
  <si>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</si>
  <si>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</si>
  <si>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</si>
  <si>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</si>
  <si>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</si>
  <si>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</si>
  <si>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</si>
  <si>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</si>
  <si>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</si>
  <si>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</si>
  <si>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</si>
  <si>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</si>
  <si>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</si>
  <si>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</si>
  <si>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</si>
  <si>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</si>
  <si>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</si>
  <si>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</si>
  <si>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</si>
  <si>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</si>
  <si>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</si>
  <si>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</si>
  <si>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</si>
  <si>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</si>
  <si>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</si>
  <si>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</si>
  <si>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</si>
  <si>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</si>
  <si>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</si>
  <si>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</si>
  <si>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</si>
  <si>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</si>
  <si>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</si>
  <si>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</si>
  <si>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</si>
  <si>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</si>
  <si>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</si>
  <si>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</si>
  <si>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</si>
  <si>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</si>
  <si>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</si>
  <si>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</si>
  <si>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</si>
  <si>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</si>
  <si>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</si>
  <si>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</si>
  <si>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</si>
  <si>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</si>
  <si>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</si>
  <si>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</si>
  <si>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</si>
  <si>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</si>
  <si>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</si>
  <si>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</si>
  <si>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</si>
  <si>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</si>
  <si>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</si>
  <si>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</si>
  <si>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</si>
  <si>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</si>
  <si>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</si>
  <si>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</si>
  <si>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</si>
  <si>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</si>
  <si>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</si>
  <si>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</si>
  <si>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</si>
  <si>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</si>
  <si>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</si>
  <si>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</si>
  <si>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</si>
  <si>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</si>
  <si>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</si>
  <si>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</si>
  <si>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</si>
  <si>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</si>
  <si>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</si>
  <si>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</si>
  <si>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</si>
  <si>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</si>
  <si>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</si>
  <si>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</si>
  <si>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</si>
  <si>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</si>
  <si>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</si>
  <si>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</si>
  <si>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</si>
  <si>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</si>
  <si>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</si>
  <si>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</si>
  <si>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</si>
  <si>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</si>
  <si>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</si>
  <si>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</si>
  <si>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</si>
  <si>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</si>
  <si>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</si>
  <si>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</si>
  <si>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</si>
  <si>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</si>
  <si>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</si>
  <si>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</si>
  <si>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</si>
  <si>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</si>
  <si>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</si>
  <si>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</si>
  <si>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</si>
  <si>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</si>
  <si>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</si>
  <si>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</si>
  <si>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</si>
  <si>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</si>
  <si>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</si>
  <si>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</si>
  <si>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</si>
  <si>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</si>
  <si>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</si>
  <si>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</si>
  <si>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</si>
  <si>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</si>
  <si>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</si>
  <si>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</si>
  <si>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</si>
  <si>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</si>
  <si>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</si>
  <si>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</si>
  <si>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</si>
  <si>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</si>
  <si>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</si>
  <si>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</si>
  <si>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</si>
  <si>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</si>
  <si>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</si>
  <si>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</si>
  <si>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</si>
  <si>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</si>
  <si>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</si>
  <si>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</si>
  <si>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</si>
  <si>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</si>
  <si>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</si>
  <si>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</si>
  <si>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</si>
  <si>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</si>
  <si>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</si>
  <si>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</si>
  <si>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</si>
  <si>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</si>
  <si>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</si>
  <si>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</si>
  <si>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</si>
  <si>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</si>
  <si>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</si>
  <si>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</si>
  <si>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</si>
  <si>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</si>
  <si>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</si>
  <si>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</si>
  <si>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</si>
  <si>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</si>
  <si>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</si>
  <si>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</si>
  <si>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</si>
  <si>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</si>
  <si>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</si>
  <si>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</si>
  <si>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</si>
  <si>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</si>
  <si>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</si>
  <si>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</si>
  <si>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</si>
  <si>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</si>
  <si>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</si>
  <si>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</si>
  <si>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</si>
  <si>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</si>
  <si>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</si>
  <si>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</si>
  <si>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</si>
  <si>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</si>
  <si>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</si>
  <si>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</si>
  <si>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</si>
  <si>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</si>
  <si>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</si>
  <si>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</si>
  <si>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</si>
  <si>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</si>
  <si>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</si>
  <si>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</si>
  <si>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</si>
  <si>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</si>
  <si>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</si>
  <si>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</si>
  <si>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</si>
  <si>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</si>
  <si>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</si>
  <si>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</si>
  <si>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</si>
  <si>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</si>
  <si>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</si>
  <si>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</si>
  <si>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</si>
  <si>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</si>
  <si>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</si>
  <si>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</si>
  <si>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</si>
  <si>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</si>
  <si>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</si>
  <si>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</si>
  <si>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</si>
  <si>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</si>
  <si>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</si>
  <si>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</si>
  <si>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</si>
  <si>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</si>
  <si>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</si>
  <si>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</si>
  <si>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</si>
  <si>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</si>
  <si>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</si>
  <si>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</si>
  <si>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</si>
  <si>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</si>
  <si>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</si>
  <si>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</si>
  <si>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</si>
  <si>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</si>
  <si>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</si>
  <si>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</si>
  <si>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</si>
  <si>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</si>
  <si>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</si>
  <si>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</si>
  <si>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</si>
  <si>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</si>
  <si>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</si>
  <si>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</si>
  <si>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</si>
  <si>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</si>
  <si>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</si>
  <si>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</si>
  <si>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</si>
  <si>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</si>
  <si>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</si>
  <si>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</si>
  <si>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</si>
  <si>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</si>
  <si>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</si>
  <si>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</si>
  <si>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</si>
  <si>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</si>
  <si>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</si>
  <si>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</si>
  <si>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</si>
  <si>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</si>
  <si>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</si>
  <si>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</si>
  <si>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</si>
  <si>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</si>
  <si>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</si>
  <si>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</si>
  <si>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</si>
  <si>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</si>
  <si>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</si>
  <si>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</si>
  <si>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</si>
  <si>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</si>
  <si>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</si>
  <si>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</si>
  <si>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</si>
  <si>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</si>
  <si>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</si>
  <si>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</si>
  <si>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</si>
  <si>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</si>
  <si>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</si>
  <si>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</si>
  <si>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</si>
  <si>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</si>
  <si>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</si>
  <si>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</si>
  <si>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</si>
  <si>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</si>
  <si>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</si>
  <si>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</si>
  <si>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</si>
  <si>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</si>
  <si>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</si>
  <si>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</si>
  <si>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</si>
  <si>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</si>
  <si>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</si>
  <si>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</si>
  <si>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</si>
  <si>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</si>
  <si>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</si>
  <si>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</si>
  <si>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</si>
  <si>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</si>
  <si>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</si>
  <si>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</si>
  <si>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</si>
  <si>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</si>
  <si>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</si>
  <si>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</si>
  <si>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</si>
  <si>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</si>
  <si>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</si>
  <si>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</si>
  <si>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</si>
  <si>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</si>
  <si>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</si>
  <si>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</si>
  <si>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</si>
  <si>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</si>
  <si>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</si>
  <si>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</si>
  <si>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</si>
  <si>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</si>
  <si>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</si>
  <si>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</si>
  <si>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</si>
  <si>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</si>
  <si>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</si>
  <si>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</si>
  <si>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</si>
  <si>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</si>
  <si>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</si>
  <si>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</si>
  <si>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</si>
  <si>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</si>
  <si>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</si>
  <si>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</si>
  <si>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</si>
  <si>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</si>
  <si>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</si>
  <si>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</si>
  <si>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</si>
  <si>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</si>
  <si>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</si>
  <si>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</si>
  <si>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</si>
  <si>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</si>
  <si>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</si>
  <si>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</si>
  <si>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</si>
  <si>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</si>
  <si>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</si>
  <si>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</si>
  <si>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</si>
  <si>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</si>
  <si>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</si>
  <si>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</si>
  <si>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</si>
  <si>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</si>
  <si>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</si>
  <si>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</si>
  <si>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</si>
  <si>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</si>
  <si>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</si>
  <si>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</si>
  <si>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</si>
  <si>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</si>
  <si>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</si>
  <si>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</si>
  <si>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</si>
  <si>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</si>
  <si>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</si>
  <si>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</si>
  <si>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</si>
  <si>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</si>
  <si>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</si>
  <si>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</si>
  <si>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</si>
  <si>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</si>
  <si>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</si>
  <si>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</si>
  <si>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</si>
  <si>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</si>
  <si>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</si>
  <si>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</si>
  <si>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</si>
  <si>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</si>
  <si>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</si>
  <si>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</si>
  <si>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</si>
  <si>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</si>
  <si>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</si>
  <si>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</si>
  <si>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</si>
  <si>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</si>
  <si>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</si>
  <si>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</si>
  <si>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</si>
  <si>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</si>
  <si>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</si>
  <si>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</si>
  <si>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</si>
  <si>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</si>
  <si>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</si>
  <si>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</si>
  <si>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</si>
  <si>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</si>
  <si>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</si>
  <si>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</si>
  <si>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</si>
  <si>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</si>
  <si>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</si>
  <si>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</si>
  <si>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</si>
  <si>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</si>
  <si>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</si>
  <si>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</si>
  <si>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</si>
  <si>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</si>
  <si>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</si>
  <si>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</si>
  <si>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</si>
  <si>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</si>
  <si>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</si>
  <si>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</si>
  <si>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</si>
  <si>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</si>
  <si>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</si>
  <si>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</si>
  <si>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</si>
  <si>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</si>
  <si>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</si>
  <si>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</si>
  <si>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</si>
  <si>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</si>
  <si>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</si>
  <si>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</si>
  <si>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</si>
  <si>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</si>
  <si>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</si>
  <si>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</si>
  <si>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</si>
  <si>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</si>
  <si>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</si>
  <si>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</si>
  <si>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</si>
  <si>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</si>
  <si>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</si>
  <si>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</si>
  <si>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</si>
  <si>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</si>
  <si>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</si>
  <si>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</si>
  <si>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</si>
  <si>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</si>
  <si>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</si>
  <si>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</si>
  <si>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</si>
  <si>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</si>
  <si>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</si>
  <si>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</si>
  <si>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</si>
  <si>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</si>
  <si>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</si>
  <si>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</si>
  <si>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</si>
  <si>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</si>
  <si>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</si>
  <si>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</si>
  <si>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</si>
  <si>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</si>
  <si>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</si>
  <si>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</si>
  <si>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</si>
  <si>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</si>
  <si>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</si>
  <si>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</si>
  <si>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</si>
  <si>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</si>
  <si>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</si>
  <si>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</si>
  <si>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</si>
  <si>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</si>
  <si>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</si>
  <si>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</si>
  <si>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</si>
  <si>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</si>
  <si>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</si>
  <si>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</si>
  <si>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</si>
  <si>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</si>
  <si>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</si>
  <si>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</si>
  <si>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</si>
  <si>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</si>
  <si>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</si>
  <si>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</si>
  <si>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</si>
  <si>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</si>
  <si>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</si>
  <si>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</si>
  <si>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</si>
  <si>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</si>
  <si>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</si>
  <si>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</si>
  <si>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</si>
  <si>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</si>
  <si>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</si>
  <si>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</si>
  <si>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</si>
  <si>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</si>
  <si>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</si>
  <si>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</si>
  <si>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</si>
  <si>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</si>
  <si>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</si>
  <si>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</si>
  <si>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</si>
  <si>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</si>
  <si>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</si>
  <si>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</si>
  <si>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</si>
  <si>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</si>
  <si>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</si>
  <si>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</si>
  <si>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</si>
  <si>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</si>
  <si>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</si>
  <si>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</si>
  <si>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</si>
  <si>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</si>
  <si>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</si>
  <si>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</si>
  <si>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</si>
  <si>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</si>
  <si>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</si>
  <si>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</si>
  <si>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</si>
  <si>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</si>
  <si>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</si>
  <si>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</si>
  <si>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</si>
  <si>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</si>
  <si>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</si>
  <si>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</si>
  <si>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</si>
  <si>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</si>
  <si>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</si>
  <si>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</si>
  <si>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</si>
  <si>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</si>
  <si>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</si>
  <si>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</si>
  <si>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</si>
  <si>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</si>
  <si>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</si>
  <si>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</si>
  <si>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</si>
  <si>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</si>
  <si>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</si>
  <si>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</si>
  <si>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</si>
  <si>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</si>
  <si>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</si>
  <si>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</si>
  <si>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</si>
  <si>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</si>
  <si>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</si>
  <si>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</si>
  <si>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</si>
  <si>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</si>
  <si>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</si>
  <si>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</si>
  <si>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</si>
  <si>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</si>
  <si>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</si>
  <si>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</si>
  <si>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</si>
  <si>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</si>
  <si>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</si>
  <si>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</si>
  <si>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</si>
  <si>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</si>
  <si>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</si>
  <si>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</si>
  <si>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</si>
  <si>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</si>
  <si>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</si>
  <si>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</si>
  <si>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</si>
  <si>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</si>
  <si>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</si>
  <si>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</si>
  <si>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</si>
  <si>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</si>
  <si>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</si>
  <si>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</si>
  <si>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</si>
  <si>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</si>
  <si>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</si>
  <si>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</si>
  <si>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</si>
  <si>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</si>
  <si>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</si>
  <si>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</si>
  <si>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</si>
  <si>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</si>
  <si>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</si>
  <si>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</si>
  <si>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</si>
  <si>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</si>
  <si>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</si>
  <si>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</si>
  <si>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</si>
  <si>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</si>
  <si>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</si>
  <si>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</si>
  <si>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</si>
  <si>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</si>
  <si>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</si>
  <si>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</si>
  <si>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</si>
  <si>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</si>
  <si>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</si>
  <si>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</si>
  <si>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</si>
  <si>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</si>
  <si>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</si>
  <si>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</si>
  <si>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</si>
  <si>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</si>
  <si>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</si>
  <si>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</si>
  <si>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</si>
  <si>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</si>
  <si>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</si>
  <si>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</si>
  <si>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</si>
  <si>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</si>
  <si>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</si>
  <si>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</si>
  <si>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</si>
  <si>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</si>
  <si>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</si>
  <si>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</si>
  <si>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</si>
  <si>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</si>
  <si>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</si>
  <si>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</si>
  <si>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</si>
  <si>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</si>
  <si>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</si>
  <si>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</si>
  <si>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</si>
  <si>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</si>
  <si>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</si>
  <si>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</si>
  <si>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</si>
  <si>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</si>
  <si>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</si>
  <si>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</si>
  <si>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</si>
  <si>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</si>
  <si>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</si>
  <si>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</si>
  <si>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</si>
  <si>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</si>
  <si>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</si>
  <si>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</si>
  <si>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</si>
  <si>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</si>
  <si>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</si>
  <si>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</si>
  <si>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</si>
  <si>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</si>
  <si>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</si>
  <si>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</si>
  <si>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</si>
  <si>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</si>
  <si>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</si>
  <si>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</si>
  <si>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</si>
  <si>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</si>
  <si>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</si>
  <si>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</si>
  <si>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</si>
  <si>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</si>
  <si>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</si>
  <si>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</si>
  <si>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</si>
  <si>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</si>
  <si>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</si>
  <si>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</si>
  <si>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</si>
  <si>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</si>
  <si>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</si>
  <si>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</si>
  <si>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</si>
  <si>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</si>
  <si>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</si>
  <si>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</si>
  <si>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</si>
  <si>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</si>
  <si>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</si>
  <si>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</si>
  <si>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</si>
  <si>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</si>
  <si>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</si>
  <si>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</si>
  <si>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</si>
  <si>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</si>
  <si>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</si>
  <si>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</si>
  <si>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</si>
  <si>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</si>
  <si>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</si>
  <si>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</si>
  <si>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</si>
  <si>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</si>
  <si>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</si>
  <si>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</si>
  <si>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</si>
  <si>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</si>
  <si>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</si>
  <si>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</si>
  <si>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</si>
  <si>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</si>
  <si>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</si>
  <si>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</si>
  <si>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</si>
  <si>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</si>
  <si>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</si>
  <si>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</si>
  <si>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</si>
  <si>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</si>
  <si>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</si>
  <si>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</si>
  <si>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</si>
  <si>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</si>
  <si>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</si>
  <si>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</si>
  <si>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</si>
  <si>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</si>
  <si>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</si>
  <si>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</si>
  <si>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</si>
  <si>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</si>
  <si>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</si>
  <si>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</si>
  <si>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</si>
  <si>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</si>
  <si>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</si>
  <si>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</si>
  <si>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</si>
  <si>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</si>
  <si>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</si>
  <si>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</si>
  <si>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</si>
  <si>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</si>
  <si>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</si>
  <si>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</si>
  <si>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</si>
  <si>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</si>
  <si>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</si>
  <si>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</si>
  <si>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</si>
  <si>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</si>
  <si>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</si>
  <si>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</si>
  <si>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</si>
  <si>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</si>
  <si>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</si>
  <si>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</si>
  <si>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</si>
  <si>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</si>
  <si>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</si>
  <si>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</si>
  <si>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</si>
  <si>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</si>
  <si>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</si>
  <si>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</si>
  <si>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</si>
  <si>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</si>
  <si>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</si>
  <si>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</si>
  <si>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</si>
  <si>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</si>
  <si>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</si>
  <si>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</si>
  <si>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</si>
  <si>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</si>
  <si>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</si>
  <si>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</si>
  <si>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</si>
  <si>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</si>
  <si>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</si>
  <si>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</si>
  <si>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</si>
  <si>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</si>
  <si>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</si>
  <si>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</si>
  <si>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</si>
  <si>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</si>
  <si>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</si>
  <si>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</si>
  <si>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</si>
  <si>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</si>
  <si>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</si>
  <si>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</si>
  <si>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</si>
  <si>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</si>
  <si>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</si>
  <si>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</si>
  <si>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</si>
  <si>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</si>
  <si>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</si>
  <si>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</si>
  <si>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</si>
  <si>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</si>
  <si>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</si>
  <si>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</si>
  <si>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</si>
  <si>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</si>
  <si>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</si>
  <si>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</si>
  <si>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</si>
  <si>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</si>
  <si>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</si>
  <si>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</si>
  <si>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</si>
  <si>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</si>
  <si>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</si>
  <si>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</si>
  <si>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</si>
  <si>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</si>
  <si>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</si>
  <si>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</si>
  <si>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</si>
  <si>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</si>
  <si>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</si>
  <si>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</si>
  <si>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</si>
  <si>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</si>
  <si>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</si>
  <si>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</si>
  <si>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</si>
  <si>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</si>
  <si>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</si>
  <si>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</si>
  <si>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</si>
  <si>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</si>
  <si>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</si>
  <si>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</si>
  <si>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</si>
  <si>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</si>
  <si>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</si>
  <si>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</si>
  <si>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</si>
  <si>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</si>
  <si>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</si>
  <si>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</si>
  <si>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</si>
  <si>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</si>
  <si>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</si>
  <si>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</si>
  <si>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</si>
  <si>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</si>
  <si>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</si>
  <si>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</si>
  <si>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</si>
  <si>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</si>
  <si>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</si>
  <si>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</si>
  <si>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</si>
  <si>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</si>
  <si>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</si>
  <si>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</si>
  <si>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</si>
  <si>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</si>
  <si>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</si>
  <si>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</si>
  <si>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</si>
  <si>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</si>
  <si>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</si>
  <si>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</si>
  <si>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</si>
  <si>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</si>
  <si>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</si>
  <si>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</si>
  <si>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</si>
  <si>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</si>
  <si>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</si>
  <si>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</si>
  <si>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</si>
  <si>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</si>
  <si>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</si>
  <si>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</si>
  <si>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</si>
  <si>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</si>
  <si>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</si>
  <si>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</si>
  <si>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</si>
  <si>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</si>
  <si>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</si>
  <si>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</si>
  <si>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</si>
  <si>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</si>
  <si>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</si>
  <si>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</si>
  <si>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</si>
  <si>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</si>
  <si>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</si>
  <si>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</si>
  <si>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</si>
  <si>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</si>
  <si>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</si>
  <si>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</si>
  <si>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</si>
  <si>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</si>
  <si>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</si>
  <si>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</si>
  <si>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</si>
  <si>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</si>
  <si>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</si>
  <si>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</si>
  <si>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</si>
  <si>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</si>
  <si>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</si>
  <si>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</si>
  <si>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</si>
  <si>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</si>
  <si>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</si>
  <si>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</si>
  <si>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</si>
  <si>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</si>
  <si>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</si>
  <si>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</si>
  <si>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</si>
  <si>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</si>
  <si>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</si>
  <si>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</si>
  <si>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</si>
  <si>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</si>
  <si>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</si>
  <si>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</si>
  <si>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</si>
  <si>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</si>
  <si>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</si>
  <si>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</si>
  <si>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</si>
  <si>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</si>
  <si>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</si>
  <si>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</si>
  <si>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</si>
  <si>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</si>
  <si>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</si>
  <si>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</si>
  <si>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</si>
  <si>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</si>
  <si>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</si>
  <si>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</si>
  <si>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</si>
  <si>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</si>
  <si>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</si>
  <si>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</si>
  <si>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</si>
  <si>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</si>
  <si>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</si>
  <si>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</si>
  <si>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</si>
  <si>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</si>
  <si>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</si>
  <si>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</si>
  <si>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</si>
  <si>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</si>
  <si>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</si>
  <si>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</si>
  <si>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</si>
  <si>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</si>
  <si>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</si>
  <si>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</si>
  <si>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</si>
  <si>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</si>
  <si>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</si>
  <si>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</si>
  <si>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</si>
  <si>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</si>
  <si>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</si>
  <si>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</si>
  <si>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</si>
  <si>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</si>
  <si>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</si>
  <si>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</si>
  <si>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</si>
  <si>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</si>
  <si>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</si>
  <si>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</si>
  <si>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</si>
  <si>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</si>
  <si>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</si>
  <si>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</si>
  <si>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</si>
  <si>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</si>
  <si>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</si>
  <si>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</si>
  <si>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</si>
  <si>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</si>
  <si>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</si>
  <si>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</si>
  <si>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</si>
  <si>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</si>
  <si>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</si>
  <si>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</si>
  <si>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</si>
  <si>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</si>
  <si>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</si>
  <si>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</si>
  <si>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</si>
  <si>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</si>
  <si>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</si>
  <si>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</si>
  <si>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</si>
  <si>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</si>
  <si>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</si>
  <si>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</si>
  <si>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</si>
  <si>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</si>
  <si>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</si>
  <si>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</si>
  <si>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</si>
  <si>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</si>
  <si>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</si>
  <si>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</si>
  <si>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</si>
  <si>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</si>
  <si>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</si>
  <si>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</si>
  <si>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</si>
  <si>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</si>
  <si>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</si>
  <si>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</si>
  <si>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</si>
  <si>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</si>
  <si>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</si>
  <si>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</si>
  <si>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</si>
  <si>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</si>
  <si>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</si>
  <si>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</si>
  <si>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</si>
  <si>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</si>
  <si>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</si>
  <si>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</si>
  <si>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</si>
  <si>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</si>
  <si>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</si>
  <si>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</si>
  <si>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</si>
  <si>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</si>
  <si>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</si>
  <si>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</si>
  <si>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</si>
  <si>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</si>
  <si>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</si>
  <si>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</si>
  <si>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</si>
  <si>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</si>
  <si>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</si>
  <si>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</si>
  <si>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</si>
  <si>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</si>
  <si>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</si>
  <si>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</si>
  <si>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</si>
  <si>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</si>
  <si>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</si>
  <si>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</si>
  <si>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</si>
  <si>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</si>
  <si>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</si>
  <si>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</si>
  <si>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</si>
  <si>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</si>
  <si>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</si>
  <si>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</si>
  <si>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</si>
  <si>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</si>
  <si>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</si>
  <si>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</si>
  <si>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</si>
  <si>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</si>
  <si>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</si>
  <si>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</si>
  <si>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</si>
  <si>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</si>
  <si>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</si>
  <si>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</si>
  <si>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</si>
  <si>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</si>
  <si>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</si>
  <si>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</si>
  <si>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</si>
  <si>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</si>
  <si>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</si>
  <si>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</si>
  <si>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</si>
  <si>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</si>
  <si>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</si>
  <si>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</si>
  <si>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</si>
  <si>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</si>
  <si>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</si>
  <si>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</si>
  <si>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</si>
  <si>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</si>
  <si>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</si>
  <si>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</si>
  <si>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</si>
  <si>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</si>
  <si>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</si>
  <si>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</si>
  <si>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</si>
  <si>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</si>
  <si>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</si>
  <si>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</si>
  <si>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</si>
  <si>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</si>
  <si>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</si>
  <si>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</si>
  <si>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</si>
  <si>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</si>
  <si>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</si>
  <si>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</si>
  <si>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</si>
  <si>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</si>
  <si>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</si>
  <si>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</si>
  <si>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</si>
  <si>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</si>
  <si>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</si>
  <si>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</si>
  <si>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</si>
  <si>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</si>
  <si>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</si>
  <si>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</si>
  <si>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</si>
  <si>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</si>
  <si>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</si>
  <si>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</si>
  <si>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</si>
  <si>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</si>
  <si>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</si>
  <si>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</si>
  <si>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</si>
  <si>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</si>
  <si>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</si>
  <si>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</si>
  <si>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</si>
  <si>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</si>
  <si>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</si>
  <si>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</si>
  <si>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</si>
  <si>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</si>
  <si>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</si>
  <si>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</si>
  <si>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</si>
  <si>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</si>
  <si>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</si>
  <si>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</si>
  <si>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</si>
  <si>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</si>
  <si>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</si>
  <si>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</si>
  <si>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</si>
  <si>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</si>
  <si>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</si>
  <si>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</si>
  <si>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</si>
  <si>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</si>
  <si>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</si>
  <si>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</si>
  <si>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</si>
  <si>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</si>
  <si>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</si>
  <si>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</si>
  <si>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</si>
  <si>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</si>
  <si>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</si>
  <si>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</si>
  <si>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</si>
  <si>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</si>
  <si>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</si>
  <si>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</si>
  <si>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</si>
  <si>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</si>
  <si>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</si>
  <si>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</si>
  <si>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</si>
  <si>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</si>
  <si>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</si>
  <si>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</si>
  <si>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</si>
  <si>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</si>
  <si>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</si>
  <si>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</si>
  <si>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</si>
  <si>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</si>
  <si>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</si>
  <si>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</si>
  <si>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</si>
  <si>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</si>
  <si>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</si>
  <si>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</si>
  <si>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</si>
  <si>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</si>
  <si>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</si>
  <si>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</si>
  <si>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</si>
  <si>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</si>
  <si>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</si>
  <si>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</si>
  <si>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</si>
  <si>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</si>
  <si>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</si>
  <si>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</si>
  <si>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</si>
  <si>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</si>
  <si>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</si>
  <si>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</si>
  <si>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</si>
  <si>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</si>
  <si>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</si>
  <si>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</si>
  <si>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</si>
  <si>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</si>
  <si>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</si>
  <si>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</si>
  <si>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</si>
  <si>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</si>
  <si>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</si>
  <si>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</si>
  <si>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</si>
  <si>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</si>
  <si>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</si>
  <si>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</si>
  <si>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</si>
  <si>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</si>
  <si>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</si>
  <si>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</si>
  <si>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</si>
  <si>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</si>
  <si>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</si>
  <si>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</si>
  <si>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</si>
  <si>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</si>
  <si>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</si>
  <si>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</si>
  <si>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</si>
  <si>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</si>
  <si>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</si>
  <si>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</si>
  <si>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</si>
  <si>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</si>
  <si>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</si>
  <si>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</si>
  <si>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</si>
  <si>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</si>
  <si>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</si>
  <si>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</si>
  <si>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</si>
  <si>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</si>
  <si>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</si>
  <si>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</si>
  <si>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</si>
  <si>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</si>
  <si>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</si>
  <si>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</si>
  <si>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</si>
  <si>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</si>
  <si>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</si>
  <si>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</si>
  <si>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</si>
  <si>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</si>
  <si>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</si>
  <si>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</si>
  <si>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</si>
  <si>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</si>
  <si>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</si>
  <si>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</si>
  <si>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</si>
  <si>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</si>
  <si>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</si>
  <si>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</si>
  <si>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</si>
  <si>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</si>
  <si>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</si>
  <si>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</si>
  <si>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</si>
  <si>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</si>
  <si>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</si>
  <si>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</si>
  <si>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</si>
  <si>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</si>
  <si>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</si>
  <si>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</si>
  <si>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</si>
  <si>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</si>
  <si>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</si>
  <si>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</si>
  <si>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</si>
  <si>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</si>
  <si>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</si>
  <si>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</si>
  <si>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</si>
  <si>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</si>
  <si>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</si>
  <si>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</si>
  <si>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</si>
  <si>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</si>
  <si>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</si>
  <si>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</si>
  <si>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</si>
  <si>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</si>
  <si>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</si>
  <si>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</si>
  <si>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</si>
  <si>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</si>
  <si>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</si>
  <si>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</si>
  <si>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</si>
  <si>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</si>
  <si>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</si>
  <si>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</si>
  <si>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</si>
  <si>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</si>
  <si>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</si>
  <si>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</si>
  <si>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</si>
  <si>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</si>
  <si>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</si>
  <si>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</si>
  <si>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</si>
  <si>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</si>
  <si>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</si>
  <si>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</si>
  <si>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</si>
  <si>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</si>
  <si>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</si>
  <si>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</si>
  <si>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</si>
  <si>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</si>
  <si>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</si>
  <si>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</si>
  <si>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</si>
  <si>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</si>
  <si>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</si>
  <si>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</si>
  <si>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</si>
  <si>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</si>
  <si>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</si>
  <si>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</si>
  <si>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</si>
  <si>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</si>
  <si>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</si>
  <si>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</si>
  <si>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</si>
  <si>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</si>
  <si>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</si>
  <si>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</si>
  <si>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</si>
  <si>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</si>
  <si>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</si>
  <si>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</si>
  <si>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</si>
  <si>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</si>
  <si>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</si>
  <si>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</si>
  <si>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</si>
  <si>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</si>
  <si>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</si>
  <si>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</si>
  <si>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</si>
  <si>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</si>
  <si>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</si>
  <si>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</si>
  <si>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</si>
  <si>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</si>
  <si>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</si>
  <si>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</si>
  <si>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</si>
  <si>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</si>
  <si>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</si>
  <si>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</si>
  <si>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</si>
  <si>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</si>
  <si>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</si>
  <si>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</si>
  <si>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</si>
  <si>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</si>
  <si>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</si>
  <si>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</si>
  <si>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</si>
  <si>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</si>
  <si>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</si>
  <si>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</si>
  <si>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</si>
  <si>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</si>
  <si>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</si>
  <si>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</si>
  <si>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</si>
  <si>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</si>
  <si>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</si>
  <si>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</si>
  <si>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</si>
  <si>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</si>
  <si>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</si>
  <si>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</si>
  <si>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</si>
  <si>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</si>
  <si>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</si>
  <si>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</si>
  <si>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</si>
  <si>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</si>
  <si>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</si>
  <si>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</si>
  <si>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</si>
  <si>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</si>
  <si>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</si>
  <si>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</si>
  <si>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</si>
  <si>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</si>
  <si>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</si>
  <si>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</si>
  <si>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</si>
  <si>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</si>
  <si>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</si>
  <si>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</si>
  <si>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</si>
  <si>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</si>
  <si>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</si>
  <si>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</si>
  <si>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</si>
  <si>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</si>
  <si>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</si>
  <si>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</si>
  <si>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</si>
  <si>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</si>
  <si>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</si>
  <si>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</si>
  <si>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</si>
  <si>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</si>
  <si>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</si>
  <si>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</si>
  <si>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</si>
  <si>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</si>
  <si>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</si>
  <si>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</si>
  <si>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</si>
  <si>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</si>
  <si>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</si>
  <si>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</si>
  <si>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</si>
  <si>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</si>
  <si>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</si>
  <si>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</si>
  <si>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</si>
  <si>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</si>
  <si>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</si>
  <si>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</si>
  <si>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</si>
  <si>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</si>
  <si>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</si>
  <si>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</si>
  <si>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</si>
  <si>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</si>
  <si>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</si>
  <si>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</si>
  <si>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</si>
  <si>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</si>
  <si>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</si>
  <si>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</si>
  <si>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</si>
  <si>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</si>
  <si>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</si>
  <si>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</si>
  <si>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</si>
  <si>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</si>
  <si>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</si>
  <si>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</si>
  <si>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</si>
  <si>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</si>
  <si>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</si>
  <si>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</si>
  <si>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</si>
  <si>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</si>
  <si>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</si>
  <si>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</si>
  <si>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</si>
  <si>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</si>
  <si>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</si>
  <si>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</si>
  <si>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</si>
  <si>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</si>
  <si>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</si>
  <si>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</si>
  <si>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</si>
  <si>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</si>
  <si>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</si>
  <si>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</si>
  <si>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</si>
  <si>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</si>
  <si>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</si>
  <si>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</si>
  <si>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</si>
  <si>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</si>
  <si>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</si>
  <si>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</si>
  <si>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</si>
  <si>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</si>
  <si>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</si>
  <si>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</si>
  <si>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</si>
  <si>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</si>
  <si>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</si>
  <si>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</si>
  <si>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</si>
  <si>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</si>
  <si>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</si>
  <si>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</si>
  <si>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</si>
  <si>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</si>
  <si>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</si>
  <si>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</si>
  <si>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</si>
  <si>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</si>
  <si>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</si>
  <si>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</si>
  <si>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</si>
  <si>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</si>
  <si>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</si>
  <si>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</si>
  <si>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</si>
  <si>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</si>
  <si>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</si>
  <si>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</si>
  <si>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</si>
  <si>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</si>
  <si>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</si>
  <si>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</si>
  <si>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</si>
  <si>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</si>
  <si>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</si>
  <si>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</si>
  <si>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</si>
  <si>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</si>
  <si>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</si>
  <si>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</si>
  <si>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</si>
  <si>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</si>
  <si>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</si>
  <si>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</si>
  <si>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</si>
  <si>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</si>
  <si>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</si>
  <si>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</si>
  <si>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</si>
  <si>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</si>
  <si>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</si>
  <si>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</si>
  <si>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</si>
  <si>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</si>
  <si>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</si>
  <si>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</si>
  <si>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</si>
  <si>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</si>
  <si>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</si>
  <si>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</si>
  <si>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</si>
  <si>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</si>
  <si>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</si>
  <si>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</si>
  <si>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</si>
  <si>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</si>
  <si>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</si>
  <si>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</si>
  <si>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</si>
  <si>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</si>
  <si>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</si>
  <si>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</si>
  <si>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</si>
  <si>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</si>
  <si>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</si>
  <si>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</si>
  <si>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</si>
  <si>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</si>
  <si>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</si>
  <si>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</si>
  <si>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</si>
  <si>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</si>
  <si>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</si>
  <si>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</si>
  <si>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</si>
  <si>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</si>
  <si>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</si>
  <si>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</si>
  <si>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</si>
  <si>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</si>
  <si>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</si>
  <si>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</si>
  <si>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</si>
  <si>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</si>
  <si>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</si>
  <si>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</si>
  <si>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</si>
  <si>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</si>
  <si>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</si>
  <si>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</si>
  <si>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</si>
  <si>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</si>
  <si>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</si>
  <si>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</si>
  <si>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</si>
  <si>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</si>
  <si>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</si>
  <si>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</si>
  <si>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</si>
  <si>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</si>
  <si>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</si>
  <si>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</si>
  <si>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</si>
  <si>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</si>
  <si>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</si>
  <si>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</si>
  <si>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</si>
  <si>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</si>
  <si>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</si>
  <si>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</si>
  <si>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</si>
  <si>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</si>
  <si>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</si>
  <si>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</si>
  <si>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</si>
  <si>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</si>
  <si>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</si>
  <si>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</si>
  <si>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</si>
  <si>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</si>
  <si>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</si>
  <si>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</si>
  <si>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</si>
  <si>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</si>
  <si>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</si>
  <si>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商业</t>
  </si>
  <si>
    <t>比较法-住宅、综合</t>
  </si>
  <si>
    <t>剩余法-待开发</t>
  </si>
  <si>
    <t>项目全部</t>
  </si>
  <si>
    <t>土地</t>
  </si>
  <si>
    <t>地上</t>
  </si>
  <si>
    <t>商业</t>
    <phoneticPr fontId="7" type="noConversion"/>
  </si>
  <si>
    <t>V-01、02</t>
    <phoneticPr fontId="3" type="noConversion"/>
  </si>
  <si>
    <t>办公</t>
    <phoneticPr fontId="7" type="noConversion"/>
  </si>
  <si>
    <t>办公项目</t>
  </si>
  <si>
    <t>无</t>
  </si>
  <si>
    <t>场地平整</t>
  </si>
  <si>
    <t>平整</t>
  </si>
  <si>
    <t>通路</t>
  </si>
  <si>
    <t>通电</t>
  </si>
  <si>
    <t>通讯</t>
  </si>
  <si>
    <t>通上水</t>
  </si>
  <si>
    <t>通下水</t>
  </si>
  <si>
    <t>通热</t>
  </si>
  <si>
    <t>燃气</t>
  </si>
  <si>
    <t>楼面地价</t>
  </si>
  <si>
    <t>地块名称</t>
  </si>
  <si>
    <t>用地性质</t>
  </si>
  <si>
    <t>建设用地面积(㎡)</t>
  </si>
  <si>
    <t>规划建筑面积(㎡)</t>
  </si>
  <si>
    <t>出让方式</t>
  </si>
  <si>
    <t>截止日期</t>
  </si>
  <si>
    <t>起始价(万元)</t>
  </si>
  <si>
    <t>成交价(万元)</t>
  </si>
  <si>
    <t>成交楼面价(元/㎡)</t>
  </si>
  <si>
    <t>溢价率</t>
  </si>
  <si>
    <t>受让单位</t>
  </si>
  <si>
    <t>北京市通州区潞城镇FZX-0901-0162地块F3其他类多功能用地</t>
  </si>
  <si>
    <t>商业/办公用地</t>
  </si>
  <si>
    <t>≤2.5</t>
  </si>
  <si>
    <t>挂牌</t>
  </si>
  <si>
    <t>2019-10-17</t>
  </si>
  <si>
    <t>北京润置商业运营管理有限公司和北京首都开发股份有限公司联合体</t>
  </si>
  <si>
    <t>北京市朝阳区奥林匹克公园中心区B23等地块B4综合性商业金融服务业用地、F3其他类多功能用地</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</si>
  <si>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</si>
  <si>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</si>
  <si>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</si>
  <si>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</si>
  <si>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</si>
  <si>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</si>
  <si>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</si>
  <si>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</si>
  <si>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</si>
  <si>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</si>
  <si>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</si>
  <si>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</si>
  <si>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</si>
  <si>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</si>
  <si>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</si>
  <si>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</si>
  <si>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</si>
  <si>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</si>
  <si>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</si>
  <si>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</si>
  <si>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</si>
  <si>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</si>
  <si>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</si>
  <si>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</si>
  <si>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</si>
  <si>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</si>
  <si>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</si>
  <si>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</si>
  <si>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</si>
  <si>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</si>
  <si>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</si>
  <si>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</si>
  <si>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</si>
  <si>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</si>
  <si>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</si>
  <si>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</si>
  <si>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</si>
  <si>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</si>
  <si>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</si>
  <si>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</si>
  <si>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2017-1</t>
    <phoneticPr fontId="26" type="noConversion"/>
  </si>
  <si>
    <t>商业、办公</t>
  </si>
  <si>
    <t>商业、办公</t>
    <phoneticPr fontId="26" type="noConversion"/>
  </si>
  <si>
    <r>
      <t>40</t>
    </r>
    <r>
      <rPr>
        <sz val="11"/>
        <color indexed="8"/>
        <rFont val="宋体"/>
        <family val="3"/>
        <charset val="134"/>
      </rPr>
      <t>、</t>
    </r>
    <r>
      <rPr>
        <sz val="11"/>
        <color indexed="8"/>
        <rFont val="Arial"/>
        <family val="2"/>
      </rPr>
      <t>50</t>
    </r>
    <phoneticPr fontId="26" type="noConversion"/>
  </si>
  <si>
    <t>较好</t>
  </si>
  <si>
    <t>一般</t>
  </si>
  <si>
    <t>七通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</si>
  <si>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</si>
  <si>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</si>
  <si>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</si>
  <si>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</si>
  <si>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</si>
  <si>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</si>
  <si>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</si>
  <si>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</si>
  <si>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</si>
  <si>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</si>
  <si>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</si>
  <si>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</si>
  <si>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</si>
  <si>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</si>
  <si>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较适宜</t>
  </si>
  <si>
    <t>六通</t>
  </si>
  <si>
    <t>不动产收益法</t>
  </si>
  <si>
    <t>押一</t>
  </si>
  <si>
    <t>按租金收入计税</t>
  </si>
  <si>
    <t>钢混</t>
  </si>
  <si>
    <t>新光大中心</t>
    <phoneticPr fontId="3" type="noConversion"/>
  </si>
  <si>
    <t>办公</t>
    <phoneticPr fontId="27" type="noConversion"/>
  </si>
  <si>
    <t>40-50（含）</t>
  </si>
  <si>
    <t>万科大都会</t>
    <phoneticPr fontId="3" type="noConversion"/>
  </si>
  <si>
    <t>复地中心</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</si>
  <si>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</si>
  <si>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</si>
  <si>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</si>
  <si>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</si>
  <si>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</si>
  <si>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</si>
  <si>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单体办公楼</t>
  </si>
  <si>
    <t>单体办公楼</t>
    <phoneticPr fontId="27" type="noConversion"/>
  </si>
  <si>
    <t>商务公寓</t>
  </si>
  <si>
    <t>商务公寓</t>
    <phoneticPr fontId="27" type="noConversion"/>
  </si>
  <si>
    <t>钢混</t>
    <phoneticPr fontId="27" type="noConversion"/>
  </si>
  <si>
    <t>精装</t>
  </si>
  <si>
    <t>精装</t>
    <phoneticPr fontId="27" type="noConversion"/>
  </si>
  <si>
    <t>专业</t>
  </si>
  <si>
    <t>专业</t>
    <phoneticPr fontId="27" type="noConversion"/>
  </si>
  <si>
    <t>普装</t>
    <phoneticPr fontId="27" type="noConversion"/>
  </si>
  <si>
    <t>七通</t>
    <phoneticPr fontId="27" type="noConversion"/>
  </si>
  <si>
    <t>简装</t>
    <phoneticPr fontId="27" type="noConversion"/>
  </si>
  <si>
    <t>毛坯</t>
    <phoneticPr fontId="27" type="noConversion"/>
  </si>
  <si>
    <t>售价</t>
  </si>
  <si>
    <t>毛坯</t>
  </si>
  <si>
    <t>地下</t>
  </si>
  <si>
    <t>车库</t>
  </si>
  <si>
    <t>仓储</t>
  </si>
  <si>
    <t>地下车库</t>
    <phoneticPr fontId="7" type="noConversion"/>
  </si>
  <si>
    <t>仓储</t>
    <phoneticPr fontId="7" type="noConversion"/>
  </si>
  <si>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</si>
  <si>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</si>
  <si>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</si>
  <si>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
    </r>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</si>
  <si>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</si>
  <si>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</si>
  <si>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自定义</t>
  </si>
  <si>
    <t>地下办公</t>
  </si>
  <si>
    <t>地下办公</t>
    <phoneticPr fontId="7" type="noConversion"/>
  </si>
  <si>
    <t>容积率修正</t>
  </si>
  <si>
    <t>商务金融用地（办公类）</t>
  </si>
  <si>
    <t>宗地容积率</t>
  </si>
  <si>
    <t>不临58条商业街</t>
  </si>
  <si>
    <t>与级别开发程度一致</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</si>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</sst>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indexed="8"/>
      <name val="Arial"/>
      <family val="3"/>
      <charset val="134"/>
    </font>
    <font>
      <sz val="10"/>
      <color indexed="8"/>
      <name val="Arial"/>
      <family val="3"/>
      <charset val="134"/>
    </font>
    <font>
      <sz val="11"/>
      <color theme="1"/>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81" fillId="0" borderId="74" xfId="0" applyFont="1" applyBorder="1" applyAlignment="1" applyProtection="1">
      <alignment horizontal="center" vertical="center" wrapText="1"/>
      <protection locked="0"/>
    </xf>
    <xf numFmtId="183" fontId="274" fillId="0" borderId="2" xfId="0" applyNumberFormat="1"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2" fillId="5" borderId="0" xfId="0" applyFont="1" applyFill="1" applyAlignment="1" applyProtection="1">
      <alignment vertical="center"/>
      <protection locked="0"/>
    </xf>
    <xf numFmtId="0" fontId="275" fillId="5" borderId="0" xfId="0" applyFont="1" applyFill="1" applyAlignment="1" applyProtection="1">
      <alignment vertical="center"/>
      <protection locked="0"/>
    </xf>
    <xf numFmtId="0" fontId="276" fillId="0" borderId="2" xfId="0" applyFont="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178" fontId="76" fillId="17" borderId="2" xfId="2" applyNumberFormat="1" applyFont="1" applyFill="1" applyBorder="1" applyAlignment="1" applyProtection="1">
      <alignment horizontal="center" vertical="center"/>
      <protection locked="0"/>
    </xf>
    <xf numFmtId="9" fontId="71" fillId="17" borderId="45" xfId="0" applyNumberFormat="1" applyFont="1" applyFill="1" applyBorder="1" applyAlignment="1" applyProtection="1">
      <alignment horizontal="center" vertical="center"/>
    </xf>
    <xf numFmtId="0" fontId="71" fillId="17" borderId="11" xfId="0" applyFont="1" applyFill="1" applyBorder="1" applyAlignment="1" applyProtection="1">
      <alignment vertical="center"/>
      <protection locked="0"/>
    </xf>
    <xf numFmtId="182" fontId="71" fillId="17" borderId="2" xfId="0" applyNumberFormat="1" applyFont="1" applyFill="1" applyBorder="1" applyAlignment="1" applyProtection="1">
      <alignment vertical="center"/>
      <protection locked="0"/>
    </xf>
    <xf numFmtId="10" fontId="71" fillId="17" borderId="2" xfId="0" applyNumberFormat="1" applyFont="1" applyFill="1" applyBorder="1" applyAlignment="1" applyProtection="1">
      <alignment horizontal="center" vertical="center"/>
      <protection locked="0"/>
    </xf>
    <xf numFmtId="182" fontId="71" fillId="17"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124324</xdr:colOff>
      <xdr:row>30</xdr:row>
      <xdr:rowOff>133350</xdr:rowOff>
    </xdr:from>
    <xdr:to>
      <xdr:col>14</xdr:col>
      <xdr:colOff>46297</xdr:colOff>
      <xdr:row>58</xdr:row>
      <xdr:rowOff>95250</xdr:rowOff>
    </xdr:to>
    <xdr:pic>
      <xdr:nvPicPr>
        <xdr:cNvPr id="2" name="图片 1">
          <a:extLst>
            <a:ext uri="{FF2B5EF4-FFF2-40B4-BE49-F238E27FC236}">
              <a16:creationId xmlns:a16="http://schemas.microsoft.com/office/drawing/2014/main" id="{BB7386A9-EEF6-4D6D-936C-8DAAB47919F6}"/>
            </a:ext>
          </a:extLst>
        </xdr:cNvPr>
        <xdr:cNvPicPr>
          <a:picLocks noChangeAspect="1"/>
        </xdr:cNvPicPr>
      </xdr:nvPicPr>
      <xdr:blipFill>
        <a:blip xmlns:r="http://schemas.openxmlformats.org/officeDocument/2006/relationships" r:embed="rId1"/>
        <a:stretch>
          <a:fillRect/>
        </a:stretch>
      </xdr:blipFill>
      <xdr:spPr>
        <a:xfrm>
          <a:off x="733924" y="5467350"/>
          <a:ext cx="7846773" cy="4940300"/>
        </a:xfrm>
        <a:prstGeom prst="rect">
          <a:avLst/>
        </a:prstGeom>
      </xdr:spPr>
    </xdr:pic>
    <xdr:clientData/>
  </xdr:twoCellAnchor>
  <xdr:twoCellAnchor editAs="oneCell">
    <xdr:from>
      <xdr:col>0</xdr:col>
      <xdr:colOff>387350</xdr:colOff>
      <xdr:row>0</xdr:row>
      <xdr:rowOff>0</xdr:rowOff>
    </xdr:from>
    <xdr:to>
      <xdr:col>12</xdr:col>
      <xdr:colOff>435571</xdr:colOff>
      <xdr:row>34</xdr:row>
      <xdr:rowOff>63500</xdr:rowOff>
    </xdr:to>
    <xdr:pic>
      <xdr:nvPicPr>
        <xdr:cNvPr id="3" name="图片 2">
          <a:extLst>
            <a:ext uri="{FF2B5EF4-FFF2-40B4-BE49-F238E27FC236}">
              <a16:creationId xmlns:a16="http://schemas.microsoft.com/office/drawing/2014/main" id="{22B82FBD-70BB-4D75-95FF-5F27DF90B67A}"/>
            </a:ext>
          </a:extLst>
        </xdr:cNvPr>
        <xdr:cNvPicPr>
          <a:picLocks noChangeAspect="1"/>
        </xdr:cNvPicPr>
      </xdr:nvPicPr>
      <xdr:blipFill>
        <a:blip xmlns:r="http://schemas.openxmlformats.org/officeDocument/2006/relationships" r:embed="rId2"/>
        <a:stretch>
          <a:fillRect/>
        </a:stretch>
      </xdr:blipFill>
      <xdr:spPr>
        <a:xfrm>
          <a:off x="387350" y="0"/>
          <a:ext cx="7363421" cy="6108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356146</xdr:colOff>
      <xdr:row>16</xdr:row>
      <xdr:rowOff>63501</xdr:rowOff>
    </xdr:from>
    <xdr:to>
      <xdr:col>7</xdr:col>
      <xdr:colOff>335150</xdr:colOff>
      <xdr:row>43</xdr:row>
      <xdr:rowOff>165100</xdr:rowOff>
    </xdr:to>
    <xdr:pic>
      <xdr:nvPicPr>
        <xdr:cNvPr id="2" name="图片 1">
          <a:extLst>
            <a:ext uri="{FF2B5EF4-FFF2-40B4-BE49-F238E27FC236}">
              <a16:creationId xmlns:a16="http://schemas.microsoft.com/office/drawing/2014/main" id="{6B2BC561-F85A-44D3-981E-EAF0C48D07F0}"/>
            </a:ext>
          </a:extLst>
        </xdr:cNvPr>
        <xdr:cNvPicPr>
          <a:picLocks noChangeAspect="1"/>
        </xdr:cNvPicPr>
      </xdr:nvPicPr>
      <xdr:blipFill>
        <a:blip xmlns:r="http://schemas.openxmlformats.org/officeDocument/2006/relationships" r:embed="rId1"/>
        <a:stretch>
          <a:fillRect/>
        </a:stretch>
      </xdr:blipFill>
      <xdr:spPr>
        <a:xfrm>
          <a:off x="356146" y="2908301"/>
          <a:ext cx="7091004" cy="49021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88900</xdr:colOff>
      <xdr:row>0</xdr:row>
      <xdr:rowOff>44451</xdr:rowOff>
    </xdr:from>
    <xdr:to>
      <xdr:col>11</xdr:col>
      <xdr:colOff>533847</xdr:colOff>
      <xdr:row>7</xdr:row>
      <xdr:rowOff>76201</xdr:rowOff>
    </xdr:to>
    <xdr:pic>
      <xdr:nvPicPr>
        <xdr:cNvPr id="2" name="图片 1">
          <a:extLst>
            <a:ext uri="{FF2B5EF4-FFF2-40B4-BE49-F238E27FC236}">
              <a16:creationId xmlns:a16="http://schemas.microsoft.com/office/drawing/2014/main" id="{3AD586D2-D3D7-4B85-B5A0-03A9B49C5C3F}"/>
            </a:ext>
          </a:extLst>
        </xdr:cNvPr>
        <xdr:cNvPicPr>
          <a:picLocks noChangeAspect="1"/>
        </xdr:cNvPicPr>
      </xdr:nvPicPr>
      <xdr:blipFill>
        <a:blip xmlns:r="http://schemas.openxmlformats.org/officeDocument/2006/relationships" r:embed="rId1"/>
        <a:stretch>
          <a:fillRect/>
        </a:stretch>
      </xdr:blipFill>
      <xdr:spPr>
        <a:xfrm>
          <a:off x="88900" y="44451"/>
          <a:ext cx="7150547" cy="1276350"/>
        </a:xfrm>
        <a:prstGeom prst="rect">
          <a:avLst/>
        </a:prstGeom>
      </xdr:spPr>
    </xdr:pic>
    <xdr:clientData/>
  </xdr:twoCellAnchor>
  <xdr:twoCellAnchor editAs="oneCell">
    <xdr:from>
      <xdr:col>0</xdr:col>
      <xdr:colOff>184150</xdr:colOff>
      <xdr:row>7</xdr:row>
      <xdr:rowOff>95250</xdr:rowOff>
    </xdr:from>
    <xdr:to>
      <xdr:col>17</xdr:col>
      <xdr:colOff>582226</xdr:colOff>
      <xdr:row>14</xdr:row>
      <xdr:rowOff>77358</xdr:rowOff>
    </xdr:to>
    <xdr:pic>
      <xdr:nvPicPr>
        <xdr:cNvPr id="3" name="图片 2">
          <a:extLst>
            <a:ext uri="{FF2B5EF4-FFF2-40B4-BE49-F238E27FC236}">
              <a16:creationId xmlns:a16="http://schemas.microsoft.com/office/drawing/2014/main" id="{24CB4072-F56B-43FA-9671-F36F2A26F8EC}"/>
            </a:ext>
          </a:extLst>
        </xdr:cNvPr>
        <xdr:cNvPicPr>
          <a:picLocks noChangeAspect="1"/>
        </xdr:cNvPicPr>
      </xdr:nvPicPr>
      <xdr:blipFill>
        <a:blip xmlns:r="http://schemas.openxmlformats.org/officeDocument/2006/relationships" r:embed="rId2"/>
        <a:stretch>
          <a:fillRect/>
        </a:stretch>
      </xdr:blipFill>
      <xdr:spPr>
        <a:xfrm>
          <a:off x="184150" y="1339850"/>
          <a:ext cx="10761276" cy="1226708"/>
        </a:xfrm>
        <a:prstGeom prst="rect">
          <a:avLst/>
        </a:prstGeom>
      </xdr:spPr>
    </xdr:pic>
    <xdr:clientData/>
  </xdr:twoCellAnchor>
  <xdr:twoCellAnchor editAs="oneCell">
    <xdr:from>
      <xdr:col>0</xdr:col>
      <xdr:colOff>190500</xdr:colOff>
      <xdr:row>14</xdr:row>
      <xdr:rowOff>82550</xdr:rowOff>
    </xdr:from>
    <xdr:to>
      <xdr:col>16</xdr:col>
      <xdr:colOff>318707</xdr:colOff>
      <xdr:row>19</xdr:row>
      <xdr:rowOff>66353</xdr:rowOff>
    </xdr:to>
    <xdr:pic>
      <xdr:nvPicPr>
        <xdr:cNvPr id="4" name="图片 3">
          <a:extLst>
            <a:ext uri="{FF2B5EF4-FFF2-40B4-BE49-F238E27FC236}">
              <a16:creationId xmlns:a16="http://schemas.microsoft.com/office/drawing/2014/main" id="{33034C44-6D3C-48DF-ADEF-1E1E13CCBCA0}"/>
            </a:ext>
          </a:extLst>
        </xdr:cNvPr>
        <xdr:cNvPicPr>
          <a:picLocks noChangeAspect="1"/>
        </xdr:cNvPicPr>
      </xdr:nvPicPr>
      <xdr:blipFill>
        <a:blip xmlns:r="http://schemas.openxmlformats.org/officeDocument/2006/relationships" r:embed="rId3"/>
        <a:stretch>
          <a:fillRect/>
        </a:stretch>
      </xdr:blipFill>
      <xdr:spPr>
        <a:xfrm>
          <a:off x="190500" y="2571750"/>
          <a:ext cx="9881807" cy="872803"/>
        </a:xfrm>
        <a:prstGeom prst="rect">
          <a:avLst/>
        </a:prstGeom>
      </xdr:spPr>
    </xdr:pic>
    <xdr:clientData/>
  </xdr:twoCellAnchor>
  <xdr:twoCellAnchor editAs="oneCell">
    <xdr:from>
      <xdr:col>0</xdr:col>
      <xdr:colOff>203200</xdr:colOff>
      <xdr:row>19</xdr:row>
      <xdr:rowOff>171450</xdr:rowOff>
    </xdr:from>
    <xdr:to>
      <xdr:col>12</xdr:col>
      <xdr:colOff>135333</xdr:colOff>
      <xdr:row>27</xdr:row>
      <xdr:rowOff>45027</xdr:rowOff>
    </xdr:to>
    <xdr:pic>
      <xdr:nvPicPr>
        <xdr:cNvPr id="5" name="图片 4">
          <a:extLst>
            <a:ext uri="{FF2B5EF4-FFF2-40B4-BE49-F238E27FC236}">
              <a16:creationId xmlns:a16="http://schemas.microsoft.com/office/drawing/2014/main" id="{50A22979-A798-4D50-BA6B-FE6FBC0422BB}"/>
            </a:ext>
          </a:extLst>
        </xdr:cNvPr>
        <xdr:cNvPicPr>
          <a:picLocks noChangeAspect="1"/>
        </xdr:cNvPicPr>
      </xdr:nvPicPr>
      <xdr:blipFill>
        <a:blip xmlns:r="http://schemas.openxmlformats.org/officeDocument/2006/relationships" r:embed="rId4"/>
        <a:stretch>
          <a:fillRect/>
        </a:stretch>
      </xdr:blipFill>
      <xdr:spPr>
        <a:xfrm>
          <a:off x="203200" y="3549650"/>
          <a:ext cx="7247333" cy="1295977"/>
        </a:xfrm>
        <a:prstGeom prst="rect">
          <a:avLst/>
        </a:prstGeom>
      </xdr:spPr>
    </xdr:pic>
    <xdr:clientData/>
  </xdr:twoCellAnchor>
  <xdr:twoCellAnchor editAs="oneCell">
    <xdr:from>
      <xdr:col>0</xdr:col>
      <xdr:colOff>336550</xdr:colOff>
      <xdr:row>27</xdr:row>
      <xdr:rowOff>6350</xdr:rowOff>
    </xdr:from>
    <xdr:to>
      <xdr:col>17</xdr:col>
      <xdr:colOff>239338</xdr:colOff>
      <xdr:row>40</xdr:row>
      <xdr:rowOff>87025</xdr:rowOff>
    </xdr:to>
    <xdr:pic>
      <xdr:nvPicPr>
        <xdr:cNvPr id="6" name="图片 5">
          <a:extLst>
            <a:ext uri="{FF2B5EF4-FFF2-40B4-BE49-F238E27FC236}">
              <a16:creationId xmlns:a16="http://schemas.microsoft.com/office/drawing/2014/main" id="{B2B0A7F9-8F43-410D-8B48-E9CC07646ED9}"/>
            </a:ext>
          </a:extLst>
        </xdr:cNvPr>
        <xdr:cNvPicPr>
          <a:picLocks noChangeAspect="1"/>
        </xdr:cNvPicPr>
      </xdr:nvPicPr>
      <xdr:blipFill>
        <a:blip xmlns:r="http://schemas.openxmlformats.org/officeDocument/2006/relationships" r:embed="rId5"/>
        <a:stretch>
          <a:fillRect/>
        </a:stretch>
      </xdr:blipFill>
      <xdr:spPr>
        <a:xfrm>
          <a:off x="336550" y="4806950"/>
          <a:ext cx="10265988" cy="2392075"/>
        </a:xfrm>
        <a:prstGeom prst="rect">
          <a:avLst/>
        </a:prstGeom>
      </xdr:spPr>
    </xdr:pic>
    <xdr:clientData/>
  </xdr:twoCellAnchor>
  <xdr:twoCellAnchor editAs="oneCell">
    <xdr:from>
      <xdr:col>0</xdr:col>
      <xdr:colOff>317500</xdr:colOff>
      <xdr:row>41</xdr:row>
      <xdr:rowOff>12700</xdr:rowOff>
    </xdr:from>
    <xdr:to>
      <xdr:col>12</xdr:col>
      <xdr:colOff>217971</xdr:colOff>
      <xdr:row>48</xdr:row>
      <xdr:rowOff>60226</xdr:rowOff>
    </xdr:to>
    <xdr:pic>
      <xdr:nvPicPr>
        <xdr:cNvPr id="7" name="图片 6">
          <a:extLst>
            <a:ext uri="{FF2B5EF4-FFF2-40B4-BE49-F238E27FC236}">
              <a16:creationId xmlns:a16="http://schemas.microsoft.com/office/drawing/2014/main" id="{4938EDB8-4812-4B3D-8549-A3D728946F3D}"/>
            </a:ext>
          </a:extLst>
        </xdr:cNvPr>
        <xdr:cNvPicPr>
          <a:picLocks noChangeAspect="1"/>
        </xdr:cNvPicPr>
      </xdr:nvPicPr>
      <xdr:blipFill>
        <a:blip xmlns:r="http://schemas.openxmlformats.org/officeDocument/2006/relationships" r:embed="rId6"/>
        <a:stretch>
          <a:fillRect/>
        </a:stretch>
      </xdr:blipFill>
      <xdr:spPr>
        <a:xfrm>
          <a:off x="317500" y="7302500"/>
          <a:ext cx="7215671" cy="1292126"/>
        </a:xfrm>
        <a:prstGeom prst="rect">
          <a:avLst/>
        </a:prstGeom>
      </xdr:spPr>
    </xdr:pic>
    <xdr:clientData/>
  </xdr:twoCellAnchor>
  <xdr:twoCellAnchor editAs="oneCell">
    <xdr:from>
      <xdr:col>0</xdr:col>
      <xdr:colOff>501650</xdr:colOff>
      <xdr:row>48</xdr:row>
      <xdr:rowOff>82550</xdr:rowOff>
    </xdr:from>
    <xdr:to>
      <xdr:col>17</xdr:col>
      <xdr:colOff>394914</xdr:colOff>
      <xdr:row>55</xdr:row>
      <xdr:rowOff>151923</xdr:rowOff>
    </xdr:to>
    <xdr:pic>
      <xdr:nvPicPr>
        <xdr:cNvPr id="8" name="图片 7">
          <a:extLst>
            <a:ext uri="{FF2B5EF4-FFF2-40B4-BE49-F238E27FC236}">
              <a16:creationId xmlns:a16="http://schemas.microsoft.com/office/drawing/2014/main" id="{8CDC70D5-2ADB-45FC-9E48-8E4FB4733D4D}"/>
            </a:ext>
          </a:extLst>
        </xdr:cNvPr>
        <xdr:cNvPicPr>
          <a:picLocks noChangeAspect="1"/>
        </xdr:cNvPicPr>
      </xdr:nvPicPr>
      <xdr:blipFill>
        <a:blip xmlns:r="http://schemas.openxmlformats.org/officeDocument/2006/relationships" r:embed="rId7"/>
        <a:stretch>
          <a:fillRect/>
        </a:stretch>
      </xdr:blipFill>
      <xdr:spPr>
        <a:xfrm>
          <a:off x="501650" y="8616950"/>
          <a:ext cx="10256464" cy="1313973"/>
        </a:xfrm>
        <a:prstGeom prst="rect">
          <a:avLst/>
        </a:prstGeom>
      </xdr:spPr>
    </xdr:pic>
    <xdr:clientData/>
  </xdr:twoCellAnchor>
  <xdr:twoCellAnchor editAs="oneCell">
    <xdr:from>
      <xdr:col>0</xdr:col>
      <xdr:colOff>527050</xdr:colOff>
      <xdr:row>56</xdr:row>
      <xdr:rowOff>6350</xdr:rowOff>
    </xdr:from>
    <xdr:to>
      <xdr:col>15</xdr:col>
      <xdr:colOff>426657</xdr:colOff>
      <xdr:row>73</xdr:row>
      <xdr:rowOff>36583</xdr:rowOff>
    </xdr:to>
    <xdr:pic>
      <xdr:nvPicPr>
        <xdr:cNvPr id="9" name="图片 8">
          <a:extLst>
            <a:ext uri="{FF2B5EF4-FFF2-40B4-BE49-F238E27FC236}">
              <a16:creationId xmlns:a16="http://schemas.microsoft.com/office/drawing/2014/main" id="{41611F8D-0E94-4030-9215-B7E3BD0031A6}"/>
            </a:ext>
          </a:extLst>
        </xdr:cNvPr>
        <xdr:cNvPicPr>
          <a:picLocks noChangeAspect="1"/>
        </xdr:cNvPicPr>
      </xdr:nvPicPr>
      <xdr:blipFill>
        <a:blip xmlns:r="http://schemas.openxmlformats.org/officeDocument/2006/relationships" r:embed="rId8"/>
        <a:stretch>
          <a:fillRect/>
        </a:stretch>
      </xdr:blipFill>
      <xdr:spPr>
        <a:xfrm>
          <a:off x="527050" y="9963150"/>
          <a:ext cx="9043607" cy="3052833"/>
        </a:xfrm>
        <a:prstGeom prst="rect">
          <a:avLst/>
        </a:prstGeom>
      </xdr:spPr>
    </xdr:pic>
    <xdr:clientData/>
  </xdr:twoCellAnchor>
  <xdr:twoCellAnchor editAs="oneCell">
    <xdr:from>
      <xdr:col>0</xdr:col>
      <xdr:colOff>488950</xdr:colOff>
      <xdr:row>73</xdr:row>
      <xdr:rowOff>69850</xdr:rowOff>
    </xdr:from>
    <xdr:to>
      <xdr:col>11</xdr:col>
      <xdr:colOff>129050</xdr:colOff>
      <xdr:row>80</xdr:row>
      <xdr:rowOff>20525</xdr:rowOff>
    </xdr:to>
    <xdr:pic>
      <xdr:nvPicPr>
        <xdr:cNvPr id="10" name="图片 9">
          <a:extLst>
            <a:ext uri="{FF2B5EF4-FFF2-40B4-BE49-F238E27FC236}">
              <a16:creationId xmlns:a16="http://schemas.microsoft.com/office/drawing/2014/main" id="{A46B6DED-AF0E-40E6-9178-CEAF19E8940F}"/>
            </a:ext>
          </a:extLst>
        </xdr:cNvPr>
        <xdr:cNvPicPr>
          <a:picLocks noChangeAspect="1"/>
        </xdr:cNvPicPr>
      </xdr:nvPicPr>
      <xdr:blipFill>
        <a:blip xmlns:r="http://schemas.openxmlformats.org/officeDocument/2006/relationships" r:embed="rId9"/>
        <a:stretch>
          <a:fillRect/>
        </a:stretch>
      </xdr:blipFill>
      <xdr:spPr>
        <a:xfrm>
          <a:off x="488950" y="13049250"/>
          <a:ext cx="6345700" cy="1195275"/>
        </a:xfrm>
        <a:prstGeom prst="rect">
          <a:avLst/>
        </a:prstGeom>
      </xdr:spPr>
    </xdr:pic>
    <xdr:clientData/>
  </xdr:twoCellAnchor>
  <xdr:twoCellAnchor editAs="oneCell">
    <xdr:from>
      <xdr:col>0</xdr:col>
      <xdr:colOff>577850</xdr:colOff>
      <xdr:row>80</xdr:row>
      <xdr:rowOff>44451</xdr:rowOff>
    </xdr:from>
    <xdr:to>
      <xdr:col>20</xdr:col>
      <xdr:colOff>112324</xdr:colOff>
      <xdr:row>87</xdr:row>
      <xdr:rowOff>85525</xdr:rowOff>
    </xdr:to>
    <xdr:pic>
      <xdr:nvPicPr>
        <xdr:cNvPr id="11" name="图片 10">
          <a:extLst>
            <a:ext uri="{FF2B5EF4-FFF2-40B4-BE49-F238E27FC236}">
              <a16:creationId xmlns:a16="http://schemas.microsoft.com/office/drawing/2014/main" id="{2A8FE665-0662-4667-9B91-A031A56A6C62}"/>
            </a:ext>
          </a:extLst>
        </xdr:cNvPr>
        <xdr:cNvPicPr>
          <a:picLocks noChangeAspect="1"/>
        </xdr:cNvPicPr>
      </xdr:nvPicPr>
      <xdr:blipFill>
        <a:blip xmlns:r="http://schemas.openxmlformats.org/officeDocument/2006/relationships" r:embed="rId10"/>
        <a:stretch>
          <a:fillRect/>
        </a:stretch>
      </xdr:blipFill>
      <xdr:spPr>
        <a:xfrm>
          <a:off x="577850" y="14268451"/>
          <a:ext cx="11726474" cy="12856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
    </sheetView>
  </sheetViews>
  <sheetFormatPr defaultColWidth="9" defaultRowHeight="15"/>
  <cols>
    <col min="1" max="1" width="36.453125" style="2840" customWidth="1"/>
    <col min="2" max="2" width="78.1796875" style="2841" customWidth="1"/>
    <col min="3" max="18" width="9" style="2835"/>
    <col min="19" max="19" width="17.90625" style="2835" customWidth="1"/>
    <col min="20" max="51" width="9" style="2835"/>
    <col min="52" max="52" width="13.1796875" style="2835" customWidth="1"/>
    <col min="53" max="53" width="13.453125" style="2835" bestFit="1" customWidth="1"/>
    <col min="54" max="54" width="11.6328125" style="2835" bestFit="1" customWidth="1"/>
    <col min="55" max="55" width="13.453125" style="2835" bestFit="1" customWidth="1"/>
    <col min="56" max="16384" width="9" style="2835"/>
  </cols>
  <sheetData>
    <row r="1" spans="1:55" s="2846" customFormat="1" ht="16" thickBot="1">
      <c r="A1" s="2844" t="s">
        <v>2653</v>
      </c>
      <c r="B1" s="2845" t="s">
        <v>2750</v>
      </c>
    </row>
    <row r="2" spans="1:55" s="2849" customFormat="1" ht="15.5" thickTop="1">
      <c r="A2" s="2847" t="s">
        <v>2657</v>
      </c>
      <c r="B2" s="2848" t="str">
        <f>'预评函-封皮'!B37</f>
        <v>出让国有建设用地使用权抵押价格预评估</v>
      </c>
      <c r="AX2" s="2850"/>
      <c r="AZ2" s="2850"/>
      <c r="BA2" s="2851"/>
      <c r="BC2" s="2851"/>
    </row>
    <row r="3" spans="1:55" s="2852" customFormat="1">
      <c r="A3" s="2831" t="s">
        <v>2658</v>
      </c>
      <c r="B3" s="2834">
        <f>'预评函-封皮'!B40</f>
        <v>0</v>
      </c>
    </row>
    <row r="4" spans="1:55" s="2833" customFormat="1">
      <c r="A4" s="2831" t="s">
        <v>2659</v>
      </c>
      <c r="B4" s="2832" t="str">
        <f>'预评函-封皮'!B46</f>
        <v>土地估价师、土地估价师</v>
      </c>
      <c r="N4" s="2833" t="str">
        <f>'预评函-1'!A28</f>
        <v/>
      </c>
    </row>
    <row r="5" spans="1:55" s="2846" customFormat="1" ht="15.5" thickBot="1">
      <c r="A5" s="2853" t="s">
        <v>2660</v>
      </c>
      <c r="B5" s="2854" t="str">
        <f>'预评函-封皮'!B49</f>
        <v>康正预评字号</v>
      </c>
    </row>
    <row r="6" spans="1:55" s="2855" customFormat="1" ht="15.5" thickTop="1">
      <c r="A6" s="2847" t="s">
        <v>2702</v>
      </c>
      <c r="B6" s="2848" t="str">
        <f>'预评函-1'!A4</f>
        <v>受贵公司委托，我公司对出让国有建设用地使用权抵押价格进行了预评估。</v>
      </c>
      <c r="AM6" s="2856"/>
    </row>
    <row r="7" spans="1:55" s="2830" customFormat="1">
      <c r="A7" s="2831" t="s">
        <v>2654</v>
      </c>
      <c r="B7" s="2832" t="str">
        <f>'预评函-1'!A6</f>
        <v>估价对象为使用的、位于出让国有建设用地使用权。根据《国有土地使用证》[]，估价对象（分摊）出让国有建设用地使用权面积为97560.5平方米。根据《建设工程规划许可证》[]、《出让合同》[]，估价对象规划建筑面积为189603.42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2656</v>
      </c>
      <c r="B10" s="2832" t="str">
        <f>'预评函-1'!A11</f>
        <v>2020年2月12日</v>
      </c>
    </row>
    <row r="11" spans="1:55" s="2830" customFormat="1">
      <c r="A11" s="2831" t="s">
        <v>2662</v>
      </c>
      <c r="B11" s="2832" t="str">
        <f>'预评函-1'!A14</f>
        <v>根据《国有土地使用证》[]，本次评估估价对象证载（地类）用途为。</v>
      </c>
    </row>
    <row r="12" spans="1:55" s="2830" customFormat="1">
      <c r="A12" s="2831" t="s">
        <v>2663</v>
      </c>
      <c r="B12" s="2832" t="str">
        <f>'预评函-1'!A15</f>
        <v>本次评估设定用途即为证载用途。</v>
      </c>
    </row>
    <row r="13" spans="1:55" s="2830" customFormat="1">
      <c r="A13" s="2831" t="s">
        <v>2664</v>
      </c>
      <c r="B13" s="2832" t="str">
        <f>'预评函-1'!A17</f>
        <v>根据委托估价方介绍及评估专业人员现场勘查，本次评估估价对象实际土地开发程度为红线外市政基础设施达“七通”（即通路、通电、通讯、通上水、通下水、通热、燃气）、宗地红线内场地平整。</v>
      </c>
    </row>
    <row r="14" spans="1:55" s="2830" customFormat="1">
      <c r="A14" s="2831" t="s">
        <v>2665</v>
      </c>
      <c r="B14" s="2832" t="str">
        <f>'预评函-1'!A18</f>
        <v>本次评估设定土地开发程度为红线外市政基础设施达“七通”、宗地红线内场地平整。</v>
      </c>
    </row>
    <row r="15" spans="1:55" s="2830" customFormat="1">
      <c r="A15" s="2831" t="s">
        <v>2661</v>
      </c>
      <c r="B15" s="2832" t="str">
        <f>'预评函-1'!A20</f>
        <v>根据《国有土地使用证》[]，估价对象（分摊）出让国有建设用地使用权面积为97560.5平方米。根据《建设工程规划许可证》[]、《出让合同》[]，估价对象规划建筑面积为189603.42平方米。</v>
      </c>
    </row>
    <row r="16" spans="1:55" s="2830" customFormat="1">
      <c r="A16" s="2831" t="s">
        <v>2666</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3月13日、办公2061年3月13日、地下车库2061年3月13日、仓储2061年3月13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2020年2月12日，在规划利用条件下、设定土地开发程度为红线外“七通”、宗地内场地平整，设定用途为，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5" thickBot="1">
      <c r="A21" s="2853" t="s">
        <v>2671</v>
      </c>
      <c r="B21" s="2854" t="str">
        <f>'预评函-1'!A28</f>
        <v/>
      </c>
    </row>
    <row r="22" spans="1:48" ht="15.5" thickTop="1">
      <c r="A22" s="2842" t="s">
        <v>2672</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估价期日：2020年2月12日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f>'预评函-2'!E5</f>
        <v>0</v>
      </c>
      <c r="AV32" s="2836"/>
    </row>
    <row r="33" spans="1:2">
      <c r="A33" s="2831" t="s">
        <v>2710</v>
      </c>
      <c r="B33" s="2832">
        <f>'预评函-2'!F5</f>
        <v>258</v>
      </c>
    </row>
    <row r="34" spans="1:2">
      <c r="A34" s="2831" t="s">
        <v>2711</v>
      </c>
      <c r="B34" s="2832">
        <f>'预评函-2'!G5</f>
        <v>0</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红线外七通、宗地红线内场地平整</v>
      </c>
    </row>
    <row r="39" spans="1:2">
      <c r="A39" s="2831" t="s">
        <v>2716</v>
      </c>
      <c r="B39" s="2832" t="str">
        <f>'预评函-2'!L5</f>
        <v>红线外七通、宗地红线内场地平整</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97560.5</v>
      </c>
    </row>
    <row r="44" spans="1:2">
      <c r="A44" s="2831" t="s">
        <v>2737</v>
      </c>
      <c r="B44" s="2832" t="str">
        <f>'预评函-2'!O3</f>
        <v>规划建筑面积/㎡</v>
      </c>
    </row>
    <row r="45" spans="1:2">
      <c r="A45" s="2831" t="s">
        <v>2719</v>
      </c>
      <c r="B45" s="2832">
        <f>'预评函-2'!O5</f>
        <v>189603.41999999995</v>
      </c>
    </row>
    <row r="46" spans="1:2">
      <c r="A46" s="2831" t="s">
        <v>2720</v>
      </c>
      <c r="B46" s="2832">
        <f ca="1">'预评函-2'!P5</f>
        <v>30475</v>
      </c>
    </row>
    <row r="47" spans="1:2">
      <c r="A47" s="2831" t="s">
        <v>2721</v>
      </c>
      <c r="B47" s="2832">
        <f ca="1">'预评函-2'!Q5</f>
        <v>15681</v>
      </c>
    </row>
    <row r="48" spans="1:2">
      <c r="A48" s="2831" t="s">
        <v>2722</v>
      </c>
      <c r="B48" s="2832">
        <f ca="1">'预评函-2'!R5</f>
        <v>297311</v>
      </c>
    </row>
    <row r="49" spans="1:2">
      <c r="A49" s="2831" t="s">
        <v>2738</v>
      </c>
      <c r="B49" s="2832" t="str">
        <f>'预评函-2'!A6</f>
        <v>抵押价格</v>
      </c>
    </row>
    <row r="50" spans="1:2">
      <c r="A50" s="2831" t="s">
        <v>2723</v>
      </c>
      <c r="B50" s="2832">
        <f ca="1">'预评函-2'!R6</f>
        <v>263425</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5.5" thickBot="1">
      <c r="A54" s="2853" t="s">
        <v>2725</v>
      </c>
      <c r="B54" s="2854" t="str">
        <f>'预评函-2'!R8</f>
        <v>——</v>
      </c>
    </row>
    <row r="55" spans="1:2" ht="15.5" thickTop="1">
      <c r="A55" s="2842" t="s">
        <v>2675</v>
      </c>
      <c r="B55" s="2843" t="str">
        <f>'预评函-3'!A2</f>
        <v>1.权利限制：根据估价对象《不动产权证书》原件、《国有土地使用权》复印件，截至估价期日，估价对象抵押权未见登记。未设定租赁等其他他项权利。</v>
      </c>
    </row>
    <row r="56" spans="1:2">
      <c r="A56" s="2831" t="s">
        <v>2676</v>
      </c>
      <c r="B56" s="2832" t="str">
        <f>'预评函-3'!A3</f>
        <v>2.基础设施条件：估价对象实际开发程度为红线外七通、宗地红线内场地平整；本次评估设定开发程度为红线外七通、宗地红线内场地平整。</v>
      </c>
    </row>
    <row r="57" spans="1:2">
      <c r="A57" s="2831" t="s">
        <v>2677</v>
      </c>
      <c r="B57" s="2832" t="str">
        <f>'预评函-3'!A4</f>
        <v>3.估价规划限制条件：详见《建设工程规划许可证》[]、《出让合同》[]。</v>
      </c>
    </row>
    <row r="58" spans="1:2" s="2846" customFormat="1" ht="15.5" thickBot="1">
      <c r="A58" s="2853" t="s">
        <v>2726</v>
      </c>
      <c r="B58" s="2854" t="str">
        <f>'预评函-3'!A5</f>
        <v>4.影响价格的其他限定条件：无。</v>
      </c>
    </row>
    <row r="59" spans="1:2" ht="15.5"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综上，本次评估估价师知悉的法定优先受偿款为人民币33886万元整。</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5" thickBot="1">
      <c r="A68" s="2853" t="s">
        <v>2689</v>
      </c>
      <c r="B68" s="2857">
        <f>'预评函-3'!D30</f>
        <v>42558</v>
      </c>
    </row>
    <row r="69" spans="1:2" ht="15.5" thickTop="1">
      <c r="A69" s="2842" t="s">
        <v>2687</v>
      </c>
      <c r="B69" s="2843" t="str">
        <f>'预评函-3'!A20</f>
        <v>土地估价师</v>
      </c>
    </row>
    <row r="70" spans="1:2">
      <c r="A70" s="2831" t="s">
        <v>2687</v>
      </c>
      <c r="B70" s="2838">
        <f>'预评函-3'!B20</f>
        <v>0</v>
      </c>
    </row>
    <row r="71" spans="1:2">
      <c r="A71" s="2831" t="s">
        <v>2688</v>
      </c>
      <c r="B71" s="2832" t="str">
        <f>'预评函-3'!A21</f>
        <v>土地估价师</v>
      </c>
    </row>
    <row r="72" spans="1:2" s="2846" customFormat="1" ht="15.5" thickBot="1">
      <c r="A72" s="2853" t="s">
        <v>2688</v>
      </c>
      <c r="B72" s="2859">
        <f>'预评函-3'!B21</f>
        <v>0</v>
      </c>
    </row>
    <row r="73" spans="1:2" ht="15.5"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5"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0" zoomScale="90" zoomScaleNormal="100" zoomScaleSheetLayoutView="90" workbookViewId="0">
      <selection activeCell="H23" sqref="H23"/>
    </sheetView>
  </sheetViews>
  <sheetFormatPr defaultColWidth="10" defaultRowHeight="15"/>
  <cols>
    <col min="1" max="1" width="15.36328125" style="1673" customWidth="1"/>
    <col min="2" max="2" width="11.36328125" style="1673" customWidth="1"/>
    <col min="3" max="3" width="12.6328125" style="1673" customWidth="1"/>
    <col min="4" max="4" width="12.36328125" style="1673" customWidth="1"/>
    <col min="5" max="5" width="12.453125" style="1673" customWidth="1"/>
    <col min="6" max="6" width="11.36328125" style="1673" customWidth="1"/>
    <col min="7" max="7" width="12.36328125" style="1673" customWidth="1"/>
    <col min="8" max="8" width="10" style="1673" customWidth="1"/>
    <col min="9" max="9" width="12.453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5" thickBot="1">
      <c r="A1" s="1641" t="s">
        <v>1935</v>
      </c>
      <c r="B1" s="3249" t="str">
        <f>IF(B10="北京市","北京市",C10)&amp;F10&amp;B16&amp;"国有建设用地使用权"&amp;B9&amp;"预评估"</f>
        <v>出让国有建设用地使用权抵押价格预评估</v>
      </c>
      <c r="C1" s="3250"/>
      <c r="D1" s="3250"/>
      <c r="E1" s="3250"/>
      <c r="F1" s="3250"/>
      <c r="G1" s="3250"/>
      <c r="H1" s="3250"/>
      <c r="I1" s="3251"/>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1937</v>
      </c>
      <c r="B3" s="1644"/>
      <c r="C3" s="1645" t="s">
        <v>1993</v>
      </c>
      <c r="D3" s="1644">
        <v>43873</v>
      </c>
      <c r="E3" s="1676"/>
      <c r="F3" s="1676"/>
      <c r="G3" s="1676"/>
      <c r="H3" s="1642"/>
      <c r="I3" s="1677"/>
      <c r="J3" s="1676"/>
      <c r="K3" s="1756"/>
      <c r="L3" s="1705"/>
      <c r="M3" s="1705"/>
      <c r="N3" s="1676"/>
      <c r="O3" s="1677"/>
      <c r="P3" s="1676"/>
      <c r="Q3" s="1676"/>
      <c r="R3" s="1676"/>
      <c r="S3" s="1676"/>
      <c r="T3" s="1676"/>
      <c r="U3" s="1676"/>
    </row>
    <row r="4" spans="1:21" ht="30.5" thickBot="1">
      <c r="A4" s="1646" t="s">
        <v>1938</v>
      </c>
      <c r="B4" s="1825" t="s">
        <v>2885</v>
      </c>
      <c r="C4" s="1828">
        <f>SUMIF(土地估价师,B4,估价师及机构信息!E3:E24)</f>
        <v>0</v>
      </c>
      <c r="D4" s="1825" t="s">
        <v>2885</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5"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8">
      <c r="A6" s="1645" t="s">
        <v>2703</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2704</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2989</v>
      </c>
      <c r="C8" s="1653"/>
      <c r="D8" s="3255" t="s">
        <v>1942</v>
      </c>
      <c r="E8" s="1826" t="s">
        <v>2996</v>
      </c>
      <c r="F8" s="1654"/>
      <c r="G8" s="1642"/>
      <c r="H8" s="1642"/>
      <c r="I8" s="1689"/>
      <c r="J8" s="1676"/>
      <c r="K8" s="1756"/>
      <c r="L8" s="1705"/>
      <c r="M8" s="1705"/>
      <c r="N8" s="1676"/>
      <c r="O8" s="1677"/>
      <c r="P8" s="1676"/>
      <c r="Q8" s="1676"/>
      <c r="R8" s="1676"/>
      <c r="S8" s="1676"/>
      <c r="T8" s="1676"/>
      <c r="U8" s="1676"/>
    </row>
    <row r="9" spans="1:21" ht="15.5" thickBot="1">
      <c r="A9" s="1655" t="s">
        <v>1941</v>
      </c>
      <c r="B9" s="1656" t="s">
        <v>2996</v>
      </c>
      <c r="C9" s="1657"/>
      <c r="D9" s="3256"/>
      <c r="E9" s="1656" t="s">
        <v>952</v>
      </c>
      <c r="F9" s="1729"/>
      <c r="G9" s="1724"/>
      <c r="H9" s="1724"/>
      <c r="I9" s="1725"/>
      <c r="J9" s="1676"/>
      <c r="K9" s="1756"/>
      <c r="L9" s="1705"/>
      <c r="M9" s="1705"/>
      <c r="N9" s="1676"/>
      <c r="O9" s="1677"/>
      <c r="P9" s="1676"/>
      <c r="Q9" s="1676"/>
      <c r="R9" s="1676"/>
      <c r="S9" s="1676"/>
      <c r="T9" s="1676"/>
      <c r="U9" s="1676"/>
    </row>
    <row r="10" spans="1:21" ht="15.5" thickTop="1">
      <c r="A10" s="1726" t="s">
        <v>1997</v>
      </c>
      <c r="B10" s="1701"/>
      <c r="C10" s="1658"/>
      <c r="D10" s="1649"/>
      <c r="E10" s="1659" t="s">
        <v>1944</v>
      </c>
      <c r="F10" s="1660"/>
      <c r="G10" s="1727"/>
      <c r="H10" s="1728"/>
      <c r="I10" s="1649"/>
      <c r="J10" s="1676"/>
      <c r="K10" s="1756"/>
      <c r="L10" s="1705"/>
      <c r="M10" s="1705"/>
      <c r="N10" s="1676"/>
      <c r="O10" s="1677"/>
      <c r="P10" s="1676"/>
      <c r="Q10" s="1676"/>
      <c r="R10" s="1676"/>
      <c r="S10" s="1676"/>
      <c r="T10" s="1676"/>
      <c r="U10" s="1676"/>
    </row>
    <row r="11" spans="1:21">
      <c r="A11" s="1679" t="s">
        <v>1998</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52"/>
      <c r="C12" s="3253"/>
      <c r="D12" s="3254"/>
      <c r="E12" s="1681" t="s">
        <v>2059</v>
      </c>
      <c r="F12" s="3270" t="s">
        <v>2886</v>
      </c>
      <c r="G12" s="3271"/>
      <c r="H12" s="3271"/>
      <c r="I12" s="3272"/>
      <c r="J12" s="1676"/>
      <c r="K12" s="1756"/>
      <c r="L12" s="1705"/>
      <c r="M12" s="1705"/>
      <c r="N12" s="1676"/>
      <c r="O12" s="1677"/>
      <c r="P12" s="1676"/>
      <c r="Q12" s="1676"/>
      <c r="R12" s="1676"/>
      <c r="S12" s="1676"/>
      <c r="T12" s="1676"/>
      <c r="U12" s="1676"/>
    </row>
    <row r="13" spans="1:21">
      <c r="A13" s="1669" t="s">
        <v>2057</v>
      </c>
      <c r="B13" s="3252"/>
      <c r="C13" s="3253"/>
      <c r="D13" s="3254"/>
      <c r="E13" s="1681" t="s">
        <v>2059</v>
      </c>
      <c r="F13" s="3270" t="s">
        <v>2887</v>
      </c>
      <c r="G13" s="3271"/>
      <c r="H13" s="3271"/>
      <c r="I13" s="3272"/>
      <c r="J13" s="1676"/>
      <c r="K13" s="1756"/>
      <c r="L13" s="1705"/>
      <c r="M13" s="1705"/>
      <c r="N13" s="1676"/>
      <c r="O13" s="1677"/>
      <c r="P13" s="1676"/>
      <c r="Q13" s="1676"/>
      <c r="R13" s="1676"/>
      <c r="S13" s="1676"/>
      <c r="T13" s="1676"/>
      <c r="U13" s="1676"/>
    </row>
    <row r="14" spans="1:21">
      <c r="A14" s="1643" t="s">
        <v>2060</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45">
      <c r="A16" s="1662" t="s">
        <v>1945</v>
      </c>
      <c r="B16" s="1663" t="s">
        <v>2984</v>
      </c>
      <c r="C16" s="1681" t="s">
        <v>1946</v>
      </c>
      <c r="D16" s="2608" t="s">
        <v>1947</v>
      </c>
      <c r="E16" s="1704" t="s">
        <v>2997</v>
      </c>
      <c r="F16" s="1704" t="s">
        <v>1677</v>
      </c>
      <c r="G16" s="1704" t="s">
        <v>35</v>
      </c>
      <c r="H16" s="1704" t="s">
        <v>3131</v>
      </c>
      <c r="I16" s="1668" t="s">
        <v>1952</v>
      </c>
      <c r="J16" s="1676"/>
      <c r="K16" s="2418" t="str">
        <f>IF(D17="","",D16&amp;TEXT(D17,"yyyy年m月d日;;"))</f>
        <v/>
      </c>
      <c r="L16" s="1681" t="str">
        <f>IF(OR(K16="",M16=""),"","、")</f>
        <v/>
      </c>
      <c r="M16" s="2418" t="str">
        <f>IF(E17="","",E16&amp;TEXT(E17,"yyyy年m月d日;;"))</f>
        <v>商业2051年3月13日</v>
      </c>
      <c r="N16" s="1681" t="str">
        <f>IF(OR(M16="",O16=""),"","、")</f>
        <v>、</v>
      </c>
      <c r="O16" s="2418" t="str">
        <f>IF(F17="","",F16&amp;TEXT(F17,"yyyy年m月d日;;"))</f>
        <v>办公2061年3月13日</v>
      </c>
      <c r="P16" s="1681" t="str">
        <f>IF(OR(O16="",Q16=""),"","、")</f>
        <v>、</v>
      </c>
      <c r="Q16" s="2418" t="str">
        <f>IF(G17="","",G16&amp;TEXT(G17,"yyyy年m月d日;;"))</f>
        <v>地下车库2061年3月13日</v>
      </c>
      <c r="R16" s="1681" t="str">
        <f>IF(OR(Q16="",S16=""),"","、")</f>
        <v>、</v>
      </c>
      <c r="S16" s="2418" t="str">
        <f>IF(H17="","",H16&amp;TEXT(H17,"yyyy年m月d日;;"))</f>
        <v>仓储2061年3月13日</v>
      </c>
      <c r="T16" s="1681" t="str">
        <f>IF(OR(S16="",U16=""),"","、")</f>
        <v/>
      </c>
      <c r="U16" s="2418" t="str">
        <f>IF(I17="","",I16&amp;TEXT(I17,"yyyy年m月d日;;"))</f>
        <v/>
      </c>
    </row>
    <row r="17" spans="1:21">
      <c r="A17" s="1745"/>
      <c r="B17" s="1664"/>
      <c r="C17" s="1665" t="s">
        <v>1953</v>
      </c>
      <c r="D17" s="1682"/>
      <c r="E17" s="1682">
        <v>55225</v>
      </c>
      <c r="F17" s="1682">
        <v>58878</v>
      </c>
      <c r="G17" s="1682">
        <f>F17</f>
        <v>58878</v>
      </c>
      <c r="H17" s="1682">
        <f>F17</f>
        <v>58878</v>
      </c>
      <c r="I17" s="1682"/>
      <c r="J17" s="1676"/>
      <c r="K17" s="2417" t="str">
        <f>CONCATENATE(K16,L16,M16,N16,O16,P16,Q16,R16,S16,T16,,U16)</f>
        <v>商业2051年3月13日、办公2061年3月13日、地下车库2061年3月13日、仓储2061年3月13日</v>
      </c>
      <c r="L17" s="1705"/>
      <c r="M17" s="1705"/>
      <c r="N17" s="1676"/>
      <c r="O17" s="1677"/>
      <c r="P17" s="1676"/>
      <c r="Q17" s="1676"/>
      <c r="R17" s="1676"/>
      <c r="S17" s="1676"/>
      <c r="T17" s="1676"/>
      <c r="U17" s="1676"/>
    </row>
    <row r="18" spans="1:21">
      <c r="A18" s="1745"/>
      <c r="B18" s="1664"/>
      <c r="C18" s="1665" t="s">
        <v>1954</v>
      </c>
      <c r="D18" s="1666"/>
      <c r="E18" s="1666">
        <v>40</v>
      </c>
      <c r="F18" s="1666">
        <v>50</v>
      </c>
      <c r="G18" s="1666">
        <v>50</v>
      </c>
      <c r="H18" s="1666">
        <v>50</v>
      </c>
      <c r="I18" s="1666"/>
      <c r="J18" s="1676"/>
      <c r="K18" s="1756"/>
      <c r="L18" s="1705"/>
      <c r="M18" s="1705"/>
      <c r="N18" s="1676"/>
      <c r="O18" s="1677"/>
      <c r="P18" s="1676"/>
      <c r="Q18" s="1676"/>
      <c r="R18" s="1676"/>
      <c r="S18" s="1676"/>
      <c r="T18" s="1676"/>
      <c r="U18" s="1676"/>
    </row>
    <row r="19" spans="1:21">
      <c r="A19" s="1745"/>
      <c r="B19" s="1664"/>
      <c r="C19" s="1642" t="s">
        <v>1955</v>
      </c>
      <c r="D19" s="1740" t="str">
        <f>IF(B16="出让",IF(D17="","",ROUNDDOWN(MIN((D17-$D$3)/365,D18),2)),D18)</f>
        <v/>
      </c>
      <c r="E19" s="1667">
        <f>IF(B16="出让",IF(E17="","",ROUNDDOWN(MIN((E17-$D$3)/365,E18),2)),E18)</f>
        <v>31.1</v>
      </c>
      <c r="F19" s="1667">
        <f>IF(B16="出让",IF(F17="","",ROUNDDOWN(MIN((F17-$D$3)/365,F18),2)),F18)</f>
        <v>41.1</v>
      </c>
      <c r="G19" s="1667">
        <f>IF(B16="出让",IF(G17="","",ROUNDDOWN(MIN((G17-$D$3)/365,G18),2)),G18)</f>
        <v>41.1</v>
      </c>
      <c r="H19" s="1667">
        <f>IF(B16="出让",IF(H17="","",ROUNDDOWN(MIN((H17-$D$3)/365,H18),2)),H18)</f>
        <v>41.1</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67"/>
      <c r="E20" s="3268"/>
      <c r="F20" s="3268"/>
      <c r="G20" s="3268"/>
      <c r="H20" s="3268"/>
      <c r="I20" s="3269"/>
      <c r="J20" s="1676"/>
      <c r="K20" s="1756"/>
      <c r="L20" s="1705"/>
      <c r="M20" s="1705"/>
      <c r="N20" s="1676"/>
      <c r="O20" s="1677"/>
      <c r="P20" s="1676"/>
      <c r="Q20" s="1676"/>
      <c r="R20" s="1676"/>
      <c r="S20" s="1676"/>
      <c r="T20" s="1676"/>
      <c r="U20" s="1676"/>
    </row>
    <row r="21" spans="1:21">
      <c r="A21" s="1745" t="s">
        <v>1956</v>
      </c>
      <c r="B21" s="1746" t="s">
        <v>1957</v>
      </c>
      <c r="C21" s="1741">
        <f>'数据-汇总表'!E3</f>
        <v>189603.41999999995</v>
      </c>
      <c r="D21" s="1742" t="s">
        <v>1958</v>
      </c>
      <c r="E21" s="3257" t="s">
        <v>1996</v>
      </c>
      <c r="F21" s="3258"/>
      <c r="G21" s="3258"/>
      <c r="H21" s="3258"/>
      <c r="I21" s="3259"/>
      <c r="J21" s="1676"/>
      <c r="K21" s="1756"/>
      <c r="L21" s="1705"/>
      <c r="M21" s="1705"/>
      <c r="N21" s="1676"/>
      <c r="O21" s="1677"/>
      <c r="P21" s="1676"/>
      <c r="Q21" s="1676"/>
      <c r="R21" s="1676"/>
      <c r="S21" s="1676"/>
      <c r="T21" s="1676"/>
      <c r="U21" s="1676"/>
    </row>
    <row r="22" spans="1:21">
      <c r="A22" s="3095" t="s">
        <v>952</v>
      </c>
      <c r="B22" s="1643" t="s">
        <v>1959</v>
      </c>
      <c r="C22" s="1668">
        <f>'数据-汇总表'!D3</f>
        <v>97560.5</v>
      </c>
      <c r="D22" s="1669" t="s">
        <v>1958</v>
      </c>
      <c r="E22" s="3257" t="s">
        <v>2888</v>
      </c>
      <c r="F22" s="3258"/>
      <c r="G22" s="3258"/>
      <c r="H22" s="3258"/>
      <c r="I22" s="3259"/>
      <c r="J22" s="1676"/>
      <c r="K22" s="1756"/>
      <c r="L22" s="1705"/>
      <c r="M22" s="1705"/>
      <c r="N22" s="1676"/>
      <c r="O22" s="1677"/>
      <c r="P22" s="1676"/>
      <c r="Q22" s="1676"/>
      <c r="R22" s="1676"/>
      <c r="S22" s="1676"/>
      <c r="T22" s="1676"/>
      <c r="U22" s="1676"/>
    </row>
    <row r="23" spans="1:21" ht="45.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60" t="s">
        <v>1964</v>
      </c>
      <c r="C24" s="3261"/>
      <c r="D24" s="3262" t="s">
        <v>1965</v>
      </c>
      <c r="E24" s="3263"/>
      <c r="F24" s="1690" t="s">
        <v>1966</v>
      </c>
      <c r="G24" s="1676"/>
      <c r="H24" s="1676"/>
      <c r="I24" s="1689"/>
      <c r="J24" s="1676"/>
      <c r="K24" s="3248" t="s">
        <v>1967</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0">
      <c r="A25" s="1733"/>
      <c r="B25" s="1730" t="s">
        <v>2323</v>
      </c>
      <c r="C25" s="1691" t="s">
        <v>1968</v>
      </c>
      <c r="D25" s="1692"/>
      <c r="E25" s="1693" t="s">
        <v>952</v>
      </c>
      <c r="F25" s="1694"/>
      <c r="G25" s="1676"/>
      <c r="H25" s="1676"/>
      <c r="I25" s="1689"/>
      <c r="J25" s="1676"/>
      <c r="K25" s="324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5.5" thickBot="1">
      <c r="A26" s="1734"/>
      <c r="B26" s="1731" t="s">
        <v>1969</v>
      </c>
      <c r="C26" s="1691" t="s">
        <v>2324</v>
      </c>
      <c r="D26" s="1642"/>
      <c r="E26" s="1642"/>
      <c r="F26" s="1670"/>
      <c r="G26" s="1676"/>
      <c r="H26" s="1676"/>
      <c r="I26" s="1689"/>
      <c r="J26" s="1676"/>
      <c r="K26" s="324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5" thickTop="1">
      <c r="A31" s="3234" t="s">
        <v>1999</v>
      </c>
      <c r="B31" s="1746" t="s">
        <v>2000</v>
      </c>
      <c r="C31" s="3273" t="s">
        <v>3006</v>
      </c>
      <c r="D31" s="3274"/>
      <c r="E31" s="1676"/>
      <c r="F31" s="1676"/>
      <c r="G31" s="1676"/>
      <c r="H31" s="1676"/>
      <c r="I31" s="1689"/>
      <c r="J31" s="1676"/>
      <c r="K31" s="2420"/>
      <c r="L31" s="1676"/>
      <c r="M31" s="1676"/>
      <c r="N31" s="1676"/>
      <c r="O31" s="1676"/>
      <c r="P31" s="1676"/>
      <c r="Q31" s="1676"/>
      <c r="R31" s="1676"/>
      <c r="S31" s="1676"/>
      <c r="T31" s="1676"/>
      <c r="U31" s="1676"/>
    </row>
    <row r="32" spans="1:21">
      <c r="A32" s="3234"/>
      <c r="B32" s="1643" t="s">
        <v>2001</v>
      </c>
      <c r="C32" s="1701" t="s">
        <v>3007</v>
      </c>
      <c r="D32" s="1702"/>
      <c r="E32" s="1676"/>
      <c r="F32" s="1676"/>
      <c r="G32" s="1676"/>
      <c r="H32" s="1676"/>
      <c r="I32" s="1689"/>
      <c r="J32" s="1676"/>
      <c r="K32" s="2420"/>
      <c r="L32" s="1676"/>
      <c r="M32" s="1676"/>
      <c r="N32" s="1676"/>
      <c r="O32" s="1676"/>
      <c r="P32" s="1676"/>
      <c r="Q32" s="1676"/>
      <c r="R32" s="1676"/>
      <c r="S32" s="1676"/>
      <c r="T32" s="1676"/>
      <c r="U32" s="1676"/>
    </row>
    <row r="33" spans="1:21">
      <c r="A33" s="3234"/>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5"/>
      <c r="B34" s="1643" t="s">
        <v>2003</v>
      </c>
      <c r="C34" s="3236"/>
      <c r="D34" s="3237"/>
      <c r="E34" s="1676"/>
      <c r="F34" s="1676"/>
      <c r="G34" s="1676"/>
      <c r="H34" s="1676"/>
      <c r="I34" s="1689"/>
      <c r="J34" s="1676"/>
      <c r="K34" s="2420"/>
      <c r="L34" s="1676"/>
      <c r="M34" s="1676"/>
      <c r="N34" s="1676"/>
      <c r="O34" s="1676"/>
      <c r="P34" s="1676"/>
      <c r="Q34" s="1676"/>
      <c r="R34" s="1676"/>
      <c r="S34" s="1676"/>
      <c r="T34" s="1676"/>
      <c r="U34" s="1676"/>
    </row>
    <row r="35" spans="1:21">
      <c r="A35" s="3238" t="s">
        <v>847</v>
      </c>
      <c r="B35" s="1704" t="s">
        <v>3008</v>
      </c>
      <c r="C35" s="1758" t="str">
        <f>IF(B35="场地平整","——","具体情况：")</f>
        <v>——</v>
      </c>
      <c r="D35" s="3240"/>
      <c r="E35" s="3241"/>
      <c r="F35" s="3241"/>
      <c r="G35" s="3241"/>
      <c r="H35" s="3241"/>
      <c r="I35" s="3242"/>
      <c r="J35" s="1676"/>
      <c r="K35" s="1757"/>
      <c r="L35" s="1705"/>
      <c r="M35" s="1705"/>
      <c r="N35" s="1676"/>
      <c r="O35" s="1677"/>
      <c r="P35" s="1676"/>
      <c r="Q35" s="1676"/>
      <c r="R35" s="1676"/>
      <c r="S35" s="1676"/>
      <c r="T35" s="1676"/>
      <c r="U35" s="1676"/>
    </row>
    <row r="36" spans="1:21">
      <c r="A36" s="3234"/>
      <c r="B36" s="3243" t="s">
        <v>2052</v>
      </c>
      <c r="C36" s="3244"/>
      <c r="D36" s="1774" t="s">
        <v>3009</v>
      </c>
      <c r="E36" s="3245"/>
      <c r="F36" s="3245"/>
      <c r="G36" s="1669" t="str">
        <f>IF(B35="场地未平整","估价结果处理","")</f>
        <v/>
      </c>
      <c r="H36" s="3246"/>
      <c r="I36" s="3246"/>
      <c r="J36" s="1676"/>
      <c r="K36" s="1757"/>
      <c r="L36" s="1705"/>
      <c r="M36" s="1705"/>
      <c r="N36" s="1676"/>
      <c r="O36" s="1677"/>
      <c r="P36" s="1676"/>
      <c r="Q36" s="1676"/>
      <c r="R36" s="1676"/>
      <c r="S36" s="1676"/>
      <c r="T36" s="1676"/>
      <c r="U36" s="1676"/>
    </row>
    <row r="37" spans="1:21" ht="30">
      <c r="A37" s="3234"/>
      <c r="B37" s="3264"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34"/>
      <c r="B38" s="3265"/>
      <c r="C38" s="1651" t="s">
        <v>850</v>
      </c>
      <c r="D38" s="1773">
        <f>ROUNDDOWN(MIN(('数据-取费表'!$B$2-D37)/365,D34),1)</f>
        <v>120.2</v>
      </c>
      <c r="E38" s="1709" t="s">
        <v>851</v>
      </c>
      <c r="F38" s="1676"/>
      <c r="G38" s="1676"/>
      <c r="H38" s="1676"/>
      <c r="I38" s="1689"/>
      <c r="J38" s="1676"/>
      <c r="K38" s="1757"/>
      <c r="L38" s="1676"/>
      <c r="M38" s="1676"/>
      <c r="N38" s="1676"/>
      <c r="O38" s="1676"/>
      <c r="P38" s="1676"/>
      <c r="Q38" s="1676"/>
      <c r="R38" s="1676"/>
      <c r="S38" s="1676"/>
      <c r="T38" s="1676"/>
      <c r="U38" s="1676"/>
    </row>
    <row r="39" spans="1:21">
      <c r="A39" s="3235"/>
      <c r="B39" s="326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t="s">
        <v>3010</v>
      </c>
      <c r="C40" s="1672" t="s">
        <v>3011</v>
      </c>
      <c r="D40" s="1672" t="s">
        <v>3012</v>
      </c>
      <c r="E40" s="1672" t="s">
        <v>3013</v>
      </c>
      <c r="F40" s="1672" t="s">
        <v>3014</v>
      </c>
      <c r="G40" s="1672" t="s">
        <v>3015</v>
      </c>
      <c r="H40" s="1672" t="s">
        <v>3016</v>
      </c>
      <c r="I40" s="1689"/>
      <c r="J40" s="1676"/>
      <c r="K40" s="1712">
        <f>COUNTIF(B40:H40,"——")</f>
        <v>0</v>
      </c>
      <c r="L40" s="1681" t="s">
        <v>1976</v>
      </c>
      <c r="M40" s="1678" t="s">
        <v>1977</v>
      </c>
      <c r="N40" s="1678" t="s">
        <v>1978</v>
      </c>
      <c r="O40" s="1678" t="s">
        <v>1979</v>
      </c>
      <c r="P40" s="1678" t="s">
        <v>1980</v>
      </c>
      <c r="Q40" s="1678" t="s">
        <v>1981</v>
      </c>
      <c r="R40" s="1678" t="s">
        <v>1982</v>
      </c>
      <c r="S40" s="3247" t="s">
        <v>1983</v>
      </c>
      <c r="T40" s="1713" t="str">
        <f>NUMBERSTRING(7-K40,1)&amp;"通"</f>
        <v>七通</v>
      </c>
      <c r="U40" s="1676"/>
    </row>
    <row r="41" spans="1:21">
      <c r="A41" s="1645"/>
      <c r="B41" s="3239" t="s">
        <v>1721</v>
      </c>
      <c r="C41" s="3239"/>
      <c r="D41" s="3239"/>
      <c r="E41" s="3239"/>
      <c r="F41" s="1714">
        <f>C10</f>
        <v>0</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通路、通电、通讯、通上水、通下水、通热</v>
      </c>
      <c r="R41" s="1716" t="str">
        <f>B40&amp;"、"&amp;C40&amp;"、"&amp;D40&amp;"、"&amp;E40&amp;"、"&amp;F40&amp;"、"&amp;G40&amp;"、"&amp;H40</f>
        <v>通路、通电、通讯、通上水、通下水、通热、燃气</v>
      </c>
      <c r="S41" s="3247"/>
      <c r="T41" s="1715" t="str">
        <f>IF(T40="一通",L41,IF(T40="二通",M41,IF(T40="三通",N41,IF(T40="四通",O41,IF(T40="五通",P41,IF(T40="六通",Q41,R41))))))</f>
        <v>通路、通电、通讯、通上水、通下水、通热、燃气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t="s">
        <v>1409</v>
      </c>
      <c r="C43" s="1720" t="s">
        <v>1409</v>
      </c>
      <c r="D43" s="1720" t="s">
        <v>1409</v>
      </c>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t="s">
        <v>1315</v>
      </c>
      <c r="C44" s="1720" t="s">
        <v>1315</v>
      </c>
      <c r="D44" s="1720" t="s">
        <v>1315</v>
      </c>
      <c r="E44" s="1774"/>
      <c r="F44" s="1721"/>
      <c r="G44" s="1676"/>
      <c r="H44" s="1676"/>
      <c r="I44" s="1689"/>
      <c r="J44" s="1676"/>
      <c r="K44" s="1756"/>
      <c r="L44" s="1705"/>
      <c r="M44" s="1705"/>
      <c r="N44" s="1676"/>
      <c r="O44" s="1677"/>
      <c r="P44" s="1676"/>
      <c r="Q44" s="1676"/>
      <c r="R44" s="1676"/>
      <c r="S44" s="1676"/>
      <c r="T44" s="1676"/>
      <c r="U44" s="1676"/>
    </row>
    <row r="45" spans="1:21" s="3022" customFormat="1" ht="21.5"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9" sqref="B9"/>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81640625" style="15" customWidth="1"/>
    <col min="17" max="17" width="9.36328125" style="15" customWidth="1"/>
    <col min="18" max="18" width="9.1796875" style="15" customWidth="1"/>
    <col min="19" max="19" width="10.90625" style="15" customWidth="1"/>
    <col min="20" max="20" width="10.81640625" style="15" customWidth="1"/>
    <col min="21" max="21" width="10.81640625" style="15" hidden="1" customWidth="1"/>
    <col min="22" max="22" width="10.90625" style="15" hidden="1" customWidth="1"/>
    <col min="23" max="27" width="10.81640625" style="15" hidden="1" customWidth="1"/>
    <col min="28" max="28" width="10.90625" style="15" hidden="1" customWidth="1"/>
    <col min="29" max="29" width="11" style="15" bestFit="1" customWidth="1"/>
    <col min="30" max="30" width="10" style="15" hidden="1" customWidth="1"/>
    <col min="31" max="31" width="9.81640625" style="15" hidden="1" customWidth="1"/>
    <col min="32" max="37" width="9.453125" style="15" hidden="1" customWidth="1"/>
    <col min="38" max="41" width="9.453125" style="15" customWidth="1"/>
    <col min="42" max="45" width="9.453125" style="15" hidden="1" customWidth="1"/>
    <col min="46" max="46" width="9.453125" style="15" customWidth="1"/>
    <col min="47" max="47" width="18.08984375" style="15" customWidth="1"/>
    <col min="48" max="50" width="9.8164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2331</v>
      </c>
      <c r="BA2" s="2323"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5">
      <c r="A3" s="21">
        <v>104517</v>
      </c>
      <c r="B3" s="22">
        <f>IF(C3="否",G5-AT5,G5)</f>
        <v>203122.98999999996</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
      <c r="A5" s="26" t="s">
        <v>168</v>
      </c>
      <c r="B5" s="988"/>
      <c r="C5" s="988"/>
      <c r="D5" s="995"/>
      <c r="E5" s="27" t="s">
        <v>1</v>
      </c>
      <c r="F5" s="27">
        <f>SUM(F13:F572)</f>
        <v>0</v>
      </c>
      <c r="G5" s="27">
        <f>SUM(G13:G572)</f>
        <v>203122.98999999996</v>
      </c>
      <c r="H5" s="27">
        <f t="shared" ref="H5:AT5" si="0">SUM(H13:H641)</f>
        <v>184238.05999999997</v>
      </c>
      <c r="I5" s="27">
        <f t="shared" si="0"/>
        <v>20000</v>
      </c>
      <c r="J5" s="27">
        <f t="shared" si="0"/>
        <v>0</v>
      </c>
      <c r="K5" s="27">
        <f t="shared" si="0"/>
        <v>74475.31</v>
      </c>
      <c r="L5" s="27">
        <f t="shared" si="0"/>
        <v>0</v>
      </c>
      <c r="M5" s="27">
        <f t="shared" si="0"/>
        <v>25926.73</v>
      </c>
      <c r="N5" s="27">
        <f t="shared" si="0"/>
        <v>0</v>
      </c>
      <c r="O5" s="27">
        <f t="shared" si="0"/>
        <v>24048.69</v>
      </c>
      <c r="P5" s="27">
        <f t="shared" si="0"/>
        <v>0</v>
      </c>
      <c r="Q5" s="27">
        <f t="shared" si="0"/>
        <v>39638.61</v>
      </c>
      <c r="R5" s="27">
        <f t="shared" si="0"/>
        <v>0</v>
      </c>
      <c r="S5" s="27">
        <f t="shared" si="0"/>
        <v>148.72</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5365.36</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5365.36</v>
      </c>
      <c r="AO5" s="27">
        <f t="shared" si="0"/>
        <v>0</v>
      </c>
      <c r="AP5" s="27">
        <f t="shared" si="0"/>
        <v>0</v>
      </c>
      <c r="AQ5" s="27">
        <f t="shared" si="0"/>
        <v>0</v>
      </c>
      <c r="AR5" s="27">
        <f t="shared" si="0"/>
        <v>0</v>
      </c>
      <c r="AS5" s="27">
        <f t="shared" si="0"/>
        <v>0</v>
      </c>
      <c r="AT5" s="27">
        <f t="shared" si="0"/>
        <v>13519.57</v>
      </c>
      <c r="AU5" s="987"/>
      <c r="AV5" s="26" t="s">
        <v>168</v>
      </c>
      <c r="AW5" s="988"/>
      <c r="AX5" s="988"/>
      <c r="AY5" s="28" t="s">
        <v>3</v>
      </c>
      <c r="AZ5" s="29">
        <f t="shared" ref="AZ5:BT5" si="1">SUM(AZ13:AZ641)</f>
        <v>189603.41999999995</v>
      </c>
      <c r="BA5" s="29">
        <f t="shared" si="1"/>
        <v>184238.05999999997</v>
      </c>
      <c r="BB5" s="29">
        <f t="shared" si="1"/>
        <v>20000</v>
      </c>
      <c r="BC5" s="29">
        <f t="shared" si="1"/>
        <v>74475.31</v>
      </c>
      <c r="BD5" s="29">
        <f t="shared" si="1"/>
        <v>25926.73</v>
      </c>
      <c r="BE5" s="29">
        <f t="shared" si="1"/>
        <v>24048.69</v>
      </c>
      <c r="BF5" s="29">
        <f t="shared" si="1"/>
        <v>39638.61</v>
      </c>
      <c r="BG5" s="29">
        <f t="shared" si="1"/>
        <v>148.72</v>
      </c>
      <c r="BH5" s="29">
        <f t="shared" si="1"/>
        <v>0</v>
      </c>
      <c r="BI5" s="29">
        <f t="shared" si="1"/>
        <v>0</v>
      </c>
      <c r="BJ5" s="29">
        <f t="shared" si="1"/>
        <v>0</v>
      </c>
      <c r="BK5" s="29">
        <f t="shared" si="1"/>
        <v>0</v>
      </c>
      <c r="BL5" s="29">
        <f t="shared" si="1"/>
        <v>5365.36</v>
      </c>
      <c r="BM5" s="29">
        <f t="shared" si="1"/>
        <v>0</v>
      </c>
      <c r="BN5" s="29">
        <f t="shared" si="1"/>
        <v>0</v>
      </c>
      <c r="BO5" s="29">
        <f t="shared" si="1"/>
        <v>0</v>
      </c>
      <c r="BP5" s="29">
        <f t="shared" si="1"/>
        <v>0</v>
      </c>
      <c r="BQ5" s="29">
        <f t="shared" si="1"/>
        <v>0</v>
      </c>
      <c r="BR5" s="29">
        <f t="shared" si="1"/>
        <v>5365.36</v>
      </c>
      <c r="BS5" s="29">
        <f t="shared" si="1"/>
        <v>0</v>
      </c>
      <c r="BT5" s="30">
        <f t="shared" si="1"/>
        <v>0</v>
      </c>
    </row>
    <row r="6" spans="1:72" s="37" customFormat="1" ht="13">
      <c r="A6" s="26" t="s">
        <v>169</v>
      </c>
      <c r="B6" s="31"/>
      <c r="C6" s="31"/>
      <c r="D6" s="32"/>
      <c r="E6" s="27">
        <f>H6+AC6+AT6</f>
        <v>104517</v>
      </c>
      <c r="F6" s="27" t="s">
        <v>1</v>
      </c>
      <c r="G6" s="27" t="s">
        <v>2</v>
      </c>
      <c r="H6" s="33">
        <f>SUMIF(I$12:AB$12,"总值",I6:AB6)</f>
        <v>94799.75</v>
      </c>
      <c r="I6" s="27">
        <f t="shared" ref="I6:AB6" si="2">ROUND($A$3*I5/$B$3,2)</f>
        <v>10291.01</v>
      </c>
      <c r="J6" s="27">
        <f t="shared" si="2"/>
        <v>0</v>
      </c>
      <c r="K6" s="27">
        <f t="shared" si="2"/>
        <v>38321.29</v>
      </c>
      <c r="L6" s="27">
        <f t="shared" si="2"/>
        <v>0</v>
      </c>
      <c r="M6" s="27">
        <f t="shared" si="2"/>
        <v>13340.61</v>
      </c>
      <c r="N6" s="27">
        <f t="shared" si="2"/>
        <v>0</v>
      </c>
      <c r="O6" s="27">
        <f t="shared" si="2"/>
        <v>12374.26</v>
      </c>
      <c r="P6" s="27">
        <f t="shared" si="2"/>
        <v>0</v>
      </c>
      <c r="Q6" s="27">
        <f t="shared" si="2"/>
        <v>20396.060000000001</v>
      </c>
      <c r="R6" s="27">
        <f t="shared" si="2"/>
        <v>0</v>
      </c>
      <c r="S6" s="27">
        <f t="shared" si="2"/>
        <v>76.52</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2760.75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2760.75</v>
      </c>
      <c r="AO6" s="27">
        <f t="shared" si="3"/>
        <v>0</v>
      </c>
      <c r="AP6" s="27">
        <f t="shared" si="3"/>
        <v>0</v>
      </c>
      <c r="AQ6" s="27">
        <f t="shared" si="3"/>
        <v>0</v>
      </c>
      <c r="AR6" s="27">
        <f t="shared" si="3"/>
        <v>0</v>
      </c>
      <c r="AS6" s="27">
        <f t="shared" si="3"/>
        <v>0</v>
      </c>
      <c r="AT6" s="33">
        <f>IF(C3="是",ROUND($A$3*AT5/$B$3,2),0)</f>
        <v>6956.5</v>
      </c>
      <c r="AU6" s="34"/>
      <c r="AV6" s="26" t="s">
        <v>169</v>
      </c>
      <c r="AW6" s="31"/>
      <c r="AX6" s="31"/>
      <c r="AY6" s="35">
        <f>IF(AY3&gt;0,AY3,ROUND($A$3*AZ5/$B$3,2))</f>
        <v>97560.5</v>
      </c>
      <c r="AZ6" s="27" t="s">
        <v>3</v>
      </c>
      <c r="BA6" s="27">
        <f>ROUND($AY$6*BA5/$AZ$5,2)</f>
        <v>94799.75</v>
      </c>
      <c r="BB6" s="27">
        <f>ROUND($AY$6*BB5/$AZ$5,2)</f>
        <v>10291.01</v>
      </c>
      <c r="BC6" s="27">
        <f t="shared" ref="BC6:BH6" si="4">ROUND($AY$6*BC5/$AZ$5,2)</f>
        <v>38321.29</v>
      </c>
      <c r="BD6" s="27">
        <f t="shared" si="4"/>
        <v>13340.61</v>
      </c>
      <c r="BE6" s="27">
        <f t="shared" si="4"/>
        <v>12374.26</v>
      </c>
      <c r="BF6" s="27">
        <f t="shared" si="4"/>
        <v>20396.060000000001</v>
      </c>
      <c r="BG6" s="27">
        <f t="shared" si="4"/>
        <v>76.52</v>
      </c>
      <c r="BH6" s="27">
        <f t="shared" si="4"/>
        <v>0</v>
      </c>
      <c r="BI6" s="27">
        <f t="shared" ref="BI6:BT6" si="5">ROUND($AY$6*BI5/$AZ$5,2)</f>
        <v>0</v>
      </c>
      <c r="BJ6" s="27">
        <f t="shared" si="5"/>
        <v>0</v>
      </c>
      <c r="BK6" s="27">
        <f t="shared" si="5"/>
        <v>0</v>
      </c>
      <c r="BL6" s="27">
        <f t="shared" si="5"/>
        <v>2760.75</v>
      </c>
      <c r="BM6" s="27">
        <f t="shared" si="5"/>
        <v>0</v>
      </c>
      <c r="BN6" s="27">
        <f t="shared" si="5"/>
        <v>0</v>
      </c>
      <c r="BO6" s="27">
        <f t="shared" si="5"/>
        <v>0</v>
      </c>
      <c r="BP6" s="27">
        <f t="shared" si="5"/>
        <v>0</v>
      </c>
      <c r="BQ6" s="27">
        <f t="shared" si="5"/>
        <v>0</v>
      </c>
      <c r="BR6" s="27">
        <f t="shared" si="5"/>
        <v>2760.75</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
      <c r="A9" s="45"/>
      <c r="B9" s="45"/>
      <c r="C9" s="45"/>
      <c r="D9" s="45"/>
      <c r="E9" s="45"/>
      <c r="F9" s="45"/>
      <c r="G9" s="55"/>
      <c r="H9" s="58" t="s">
        <v>188</v>
      </c>
      <c r="I9" s="2969" t="s">
        <v>3002</v>
      </c>
      <c r="J9" s="51"/>
      <c r="K9" s="2969" t="s">
        <v>3002</v>
      </c>
      <c r="L9" s="51"/>
      <c r="M9" s="2969" t="s">
        <v>3129</v>
      </c>
      <c r="N9" s="51"/>
      <c r="O9" s="59" t="s">
        <v>3129</v>
      </c>
      <c r="P9" s="51"/>
      <c r="Q9" s="59" t="s">
        <v>3129</v>
      </c>
      <c r="R9" s="51"/>
      <c r="S9" s="59" t="s">
        <v>3129</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
      <c r="A10" s="45"/>
      <c r="B10" s="45"/>
      <c r="C10" s="45"/>
      <c r="D10" s="45"/>
      <c r="E10" s="45"/>
      <c r="F10" s="45"/>
      <c r="G10" s="55"/>
      <c r="H10" s="62"/>
      <c r="I10" s="2969" t="s">
        <v>2997</v>
      </c>
      <c r="J10" s="51"/>
      <c r="K10" s="2971" t="s">
        <v>1677</v>
      </c>
      <c r="L10" s="51"/>
      <c r="M10" s="2971" t="s">
        <v>1677</v>
      </c>
      <c r="N10" s="51"/>
      <c r="O10" s="66" t="s">
        <v>2997</v>
      </c>
      <c r="P10" s="51"/>
      <c r="Q10" s="66" t="s">
        <v>3130</v>
      </c>
      <c r="R10" s="51"/>
      <c r="S10" s="66" t="s">
        <v>3131</v>
      </c>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t="str">
        <f>O9</f>
        <v>地下</v>
      </c>
      <c r="BF10" s="69" t="str">
        <f>Q9</f>
        <v>地下</v>
      </c>
      <c r="BG10" s="69" t="str">
        <f>S9</f>
        <v>地下</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2328</v>
      </c>
      <c r="AE11" s="1001"/>
      <c r="AF11" s="2317" t="s">
        <v>2328</v>
      </c>
      <c r="AG11" s="1001"/>
      <c r="AH11" s="2317" t="s">
        <v>2327</v>
      </c>
      <c r="AI11" s="2318"/>
      <c r="AJ11" s="2317" t="s">
        <v>2327</v>
      </c>
      <c r="AK11" s="2316"/>
      <c r="AL11" s="999"/>
      <c r="AM11" s="1001"/>
      <c r="AN11" s="999"/>
      <c r="AO11" s="1001"/>
      <c r="AP11" s="1183"/>
      <c r="AQ11" s="1185"/>
      <c r="AR11" s="1183"/>
      <c r="AS11" s="1185"/>
      <c r="AT11" s="1002"/>
      <c r="AU11" s="45"/>
      <c r="AV11" s="55"/>
      <c r="AW11" s="1002"/>
      <c r="AX11" s="55"/>
      <c r="AY11" s="62"/>
      <c r="AZ11" s="62"/>
      <c r="BA11" s="62"/>
      <c r="BB11" s="50" t="str">
        <f>I10</f>
        <v>商业</v>
      </c>
      <c r="BC11" s="50" t="str">
        <f>K10</f>
        <v>办公</v>
      </c>
      <c r="BD11" s="50" t="str">
        <f>M10</f>
        <v>办公</v>
      </c>
      <c r="BE11" s="50" t="str">
        <f>O10</f>
        <v>商业</v>
      </c>
      <c r="BF11" s="50" t="str">
        <f>Q10</f>
        <v>车库</v>
      </c>
      <c r="BG11" s="50" t="str">
        <f>S10</f>
        <v>仓储</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
      <c r="A13" s="2964"/>
      <c r="B13" s="2964"/>
      <c r="C13" s="2964" t="s">
        <v>3004</v>
      </c>
      <c r="D13" s="2965" t="s">
        <v>1678</v>
      </c>
      <c r="E13" s="27">
        <f t="shared" ref="E13:E20" si="6">IF($C$3="是",ROUND($A$3*G13/$B$3,2),ROUND($A$3*(G13-AT13)/$B$3,2))</f>
        <v>104517</v>
      </c>
      <c r="F13" s="81"/>
      <c r="G13" s="82">
        <f t="shared" ref="G13:G20" si="7">H13+AC13+AT13</f>
        <v>203122.98999999996</v>
      </c>
      <c r="H13" s="33">
        <f t="shared" ref="H13:H20" si="8">SUMIF(I$12:AB$12,"总值",I13:AB13)</f>
        <v>184238.05999999997</v>
      </c>
      <c r="I13" s="2968">
        <v>20000</v>
      </c>
      <c r="J13" s="2968"/>
      <c r="K13" s="2968">
        <v>74475.31</v>
      </c>
      <c r="L13" s="2968"/>
      <c r="M13" s="2968">
        <v>25926.73</v>
      </c>
      <c r="N13" s="83"/>
      <c r="O13" s="83">
        <v>24048.69</v>
      </c>
      <c r="P13" s="83"/>
      <c r="Q13" s="83">
        <f>52996.77-13358.16</f>
        <v>39638.61</v>
      </c>
      <c r="R13" s="83"/>
      <c r="S13" s="83">
        <v>148.72</v>
      </c>
      <c r="T13" s="83"/>
      <c r="U13" s="83"/>
      <c r="V13" s="83"/>
      <c r="W13" s="83"/>
      <c r="X13" s="83"/>
      <c r="Y13" s="83"/>
      <c r="Z13" s="83"/>
      <c r="AA13" s="83"/>
      <c r="AB13" s="83"/>
      <c r="AC13" s="27">
        <f t="shared" ref="AC13:AC20" si="9">SUMIF(AD$12:AS$12,"总值",AD13:AS13)</f>
        <v>5365.36</v>
      </c>
      <c r="AD13" s="2972"/>
      <c r="AE13" s="2972"/>
      <c r="AF13" s="2972"/>
      <c r="AG13" s="2972"/>
      <c r="AH13" s="2972"/>
      <c r="AI13" s="2972"/>
      <c r="AJ13" s="2972"/>
      <c r="AK13" s="2972"/>
      <c r="AL13" s="2972"/>
      <c r="AM13" s="2972"/>
      <c r="AN13" s="2972">
        <v>5365.36</v>
      </c>
      <c r="AO13" s="2972"/>
      <c r="AP13" s="2972"/>
      <c r="AQ13" s="2972"/>
      <c r="AR13" s="2972"/>
      <c r="AS13" s="2972"/>
      <c r="AT13" s="2973">
        <f>161.41+13358.16</f>
        <v>13519.57</v>
      </c>
      <c r="AU13" s="2974"/>
      <c r="AV13" s="17">
        <f t="shared" ref="AV13:AX20" si="10">A13</f>
        <v>0</v>
      </c>
      <c r="AW13" s="17">
        <f t="shared" si="10"/>
        <v>0</v>
      </c>
      <c r="AX13" s="17" t="str">
        <f t="shared" si="10"/>
        <v>V-01、02</v>
      </c>
      <c r="AY13" s="995">
        <f t="shared" ref="AY13:AY20" si="11">ROUND($AY$6*AZ13/$AZ$5,2)</f>
        <v>97560.5</v>
      </c>
      <c r="AZ13" s="27">
        <f t="shared" ref="AZ13:AZ20" si="12">BA13+BL13</f>
        <v>189603.41999999995</v>
      </c>
      <c r="BA13" s="27">
        <f t="shared" ref="BA13:BA20" si="13">SUM(BB13:BK13)</f>
        <v>184238.05999999997</v>
      </c>
      <c r="BB13" s="27">
        <f t="shared" ref="BB13:BB20" si="14">IF($D13="是",I13-J13,0)</f>
        <v>20000</v>
      </c>
      <c r="BC13" s="27">
        <f t="shared" ref="BC13:BC20" si="15">IF($D13="是",K13-L13,0)</f>
        <v>74475.31</v>
      </c>
      <c r="BD13" s="27">
        <f t="shared" ref="BD13:BD20" si="16">IF($D13="是",M13-N13,0)</f>
        <v>25926.73</v>
      </c>
      <c r="BE13" s="27">
        <f t="shared" ref="BE13:BE20" si="17">IF($D13="是",O13-P13,0)</f>
        <v>24048.69</v>
      </c>
      <c r="BF13" s="27">
        <f t="shared" ref="BF13:BF20" si="18">IF($D13="是",Q13-R13,0)</f>
        <v>39638.61</v>
      </c>
      <c r="BG13" s="27">
        <f t="shared" ref="BG13:BG20" si="19">IF($D13="是",S13-T13,0)</f>
        <v>148.72</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5365.36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5365.36</v>
      </c>
      <c r="BS13" s="27">
        <f t="shared" ref="BS13:BS20" si="31">IF($D13="是",AP13-AQ13,0)</f>
        <v>0</v>
      </c>
      <c r="BT13" s="36">
        <f t="shared" ref="BT13:BT20" si="32">IF($D13="是",AR13-AS13,0)</f>
        <v>0</v>
      </c>
    </row>
    <row r="14" spans="1:72" s="18" customFormat="1" ht="13">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
  <sheetViews>
    <sheetView workbookViewId="0">
      <selection activeCell="Q14" sqref="Q14"/>
    </sheetView>
  </sheetViews>
  <sheetFormatPr defaultRowHeight="14"/>
  <sheetData/>
  <phoneticPr fontId="228"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81640625" style="2" customWidth="1"/>
    <col min="4" max="7" width="9.453125" style="2" bestFit="1" customWidth="1"/>
    <col min="8" max="13" width="9.08984375" style="2" bestFit="1" customWidth="1"/>
    <col min="14" max="16384" width="9" style="2"/>
  </cols>
  <sheetData>
    <row r="1" spans="1:13" ht="1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45">
      <c r="A3" s="3275"/>
      <c r="B3" s="3275"/>
      <c r="C3" s="3275"/>
      <c r="D3" s="3276"/>
      <c r="E3" s="3276"/>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opLeftCell="A13" zoomScale="90" zoomScaleNormal="90" zoomScaleSheetLayoutView="90" workbookViewId="0">
      <selection activeCell="G22" sqref="G22"/>
    </sheetView>
  </sheetViews>
  <sheetFormatPr defaultColWidth="9.1796875" defaultRowHeight="14"/>
  <cols>
    <col min="1" max="1" width="8.1796875" style="1968" customWidth="1"/>
    <col min="2" max="2" width="10.1796875" style="1968" customWidth="1"/>
    <col min="3" max="3" width="18.453125" style="1968" customWidth="1"/>
    <col min="4" max="4" width="11.08984375" style="1968" customWidth="1"/>
    <col min="5" max="5" width="13.36328125" style="1968" customWidth="1"/>
    <col min="6" max="8" width="11.453125" style="1968" customWidth="1"/>
    <col min="9" max="9" width="10.36328125" style="1968" customWidth="1"/>
    <col min="10" max="10" width="3.08984375" style="1968" customWidth="1"/>
    <col min="11" max="16" width="11.6328125" style="1968" customWidth="1"/>
    <col min="17" max="17" width="3.36328125" style="1968" customWidth="1"/>
    <col min="18" max="16384" width="9.1796875" style="1968"/>
  </cols>
  <sheetData>
    <row r="1" spans="1:16" ht="18">
      <c r="A1" s="104" t="s">
        <v>202</v>
      </c>
      <c r="B1" s="1967"/>
      <c r="C1" s="1967"/>
      <c r="D1" s="1967"/>
      <c r="E1" s="1967"/>
      <c r="F1" s="1967"/>
      <c r="G1" s="1967"/>
      <c r="H1" s="1967"/>
      <c r="I1" s="1967"/>
      <c r="J1" s="1967"/>
      <c r="K1" s="1967"/>
      <c r="L1" s="1967"/>
    </row>
    <row r="2" spans="1:16">
      <c r="A2" s="3286" t="s">
        <v>203</v>
      </c>
      <c r="B2" s="3286"/>
      <c r="C2" s="3286"/>
      <c r="D2" s="1958" t="s">
        <v>204</v>
      </c>
      <c r="E2" s="106" t="s">
        <v>205</v>
      </c>
      <c r="F2" s="1967"/>
      <c r="G2" s="1193"/>
      <c r="H2" s="1194"/>
      <c r="I2" s="1195" t="s">
        <v>857</v>
      </c>
      <c r="J2" s="1967"/>
      <c r="K2" s="1967"/>
      <c r="L2" s="1967"/>
    </row>
    <row r="3" spans="1:16" ht="14.5" thickBot="1">
      <c r="A3" s="3287" t="s">
        <v>206</v>
      </c>
      <c r="B3" s="3287"/>
      <c r="C3" s="3287"/>
      <c r="D3" s="107">
        <f>'数据-基础表'!AY6</f>
        <v>97560.5</v>
      </c>
      <c r="E3" s="107">
        <f>'数据-基础表'!AZ5</f>
        <v>189603.41999999995</v>
      </c>
      <c r="F3" s="1967"/>
      <c r="G3" s="279" t="s">
        <v>858</v>
      </c>
      <c r="H3" s="274" t="s">
        <v>859</v>
      </c>
      <c r="I3" s="1959">
        <f>ROUND('数据-基础表'!B3/'数据-基础表'!A3,2)</f>
        <v>1.94</v>
      </c>
      <c r="J3" s="1967"/>
      <c r="K3" s="1967"/>
      <c r="L3" s="1967"/>
    </row>
    <row r="4" spans="1:16">
      <c r="A4" s="3288"/>
      <c r="B4" s="3289"/>
      <c r="C4" s="3290"/>
      <c r="D4" s="108" t="s">
        <v>204</v>
      </c>
      <c r="E4" s="109" t="s">
        <v>205</v>
      </c>
      <c r="F4" s="1967"/>
      <c r="G4" s="1196"/>
      <c r="H4" s="274" t="s">
        <v>860</v>
      </c>
      <c r="I4" s="1959">
        <f>ROUND(SUMIF('数据-基础表'!I9:AS9,"地上",'数据-基础表'!I5:AS5)/'数据-基础表'!A3,2)</f>
        <v>0.9</v>
      </c>
      <c r="J4" s="1967"/>
      <c r="K4" s="1967"/>
      <c r="L4" s="1967"/>
    </row>
    <row r="5" spans="1:16">
      <c r="A5" s="110" t="s">
        <v>207</v>
      </c>
      <c r="B5" s="3291" t="s">
        <v>230</v>
      </c>
      <c r="C5" s="3291"/>
      <c r="D5" s="111">
        <f>ROUND($D$3*E5/$E$3,2)</f>
        <v>0</v>
      </c>
      <c r="E5" s="112">
        <f>SUMIF('数据-基础表'!$11:$11,"住宅",'数据-基础表'!$5:$5)</f>
        <v>0</v>
      </c>
      <c r="F5" s="1967"/>
      <c r="G5" s="279" t="s">
        <v>861</v>
      </c>
      <c r="H5" s="274" t="s">
        <v>859</v>
      </c>
      <c r="I5" s="1959">
        <f>ROUND(E31/D31,2)</f>
        <v>1.94</v>
      </c>
      <c r="J5" s="1967"/>
      <c r="K5" s="1967"/>
      <c r="L5" s="1967"/>
    </row>
    <row r="6" spans="1:16" ht="14.5" thickBot="1">
      <c r="A6" s="113"/>
      <c r="B6" s="3291" t="s">
        <v>208</v>
      </c>
      <c r="C6" s="3291"/>
      <c r="D6" s="111">
        <f>ROUND($D$3*E6/$E$3,2)</f>
        <v>97560.5</v>
      </c>
      <c r="E6" s="112">
        <f>E3-E5</f>
        <v>189603.41999999995</v>
      </c>
      <c r="F6" s="1967"/>
      <c r="G6" s="1196"/>
      <c r="H6" s="274" t="s">
        <v>860</v>
      </c>
      <c r="I6" s="1959">
        <f>ROUND(F31/D31,2)</f>
        <v>0.97</v>
      </c>
      <c r="J6" s="1967"/>
      <c r="K6" s="1967"/>
      <c r="L6" s="1967"/>
    </row>
    <row r="7" spans="1:16">
      <c r="A7" s="3283"/>
      <c r="B7" s="3284"/>
      <c r="C7" s="3285"/>
      <c r="D7" s="108" t="s">
        <v>204</v>
      </c>
      <c r="E7" s="114" t="s">
        <v>231</v>
      </c>
      <c r="F7" s="1967"/>
      <c r="G7" s="1151" t="s">
        <v>1645</v>
      </c>
      <c r="H7" s="1152"/>
      <c r="I7" s="1829"/>
      <c r="J7" s="1967"/>
      <c r="K7" s="1967"/>
      <c r="L7" s="1967"/>
    </row>
    <row r="8" spans="1:16">
      <c r="A8" s="110" t="s">
        <v>209</v>
      </c>
      <c r="B8" s="115" t="s">
        <v>210</v>
      </c>
      <c r="C8" s="111" t="s">
        <v>211</v>
      </c>
      <c r="D8" s="111">
        <f t="shared" ref="D8:D15" si="0">ROUND($D$3*E8/$E$3,2)</f>
        <v>48612.3</v>
      </c>
      <c r="E8" s="116">
        <f>SUMIF('数据-基础表'!BB10:BK10,"地上",'数据-基础表'!BB5:BK5)</f>
        <v>94475.31</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12374.26</v>
      </c>
      <c r="E10" s="116">
        <f>SUMPRODUCT(('数据-基础表'!BB10:BK10="地下")*('数据-基础表'!BB11:BK11="商业")*('数据-基础表'!BB5:BK5))</f>
        <v>24048.69</v>
      </c>
      <c r="F10" s="1967"/>
      <c r="G10" s="1969"/>
      <c r="H10" s="1969"/>
      <c r="I10" s="1967"/>
      <c r="J10" s="1967"/>
      <c r="K10" s="1967"/>
      <c r="L10" s="1967"/>
    </row>
    <row r="11" spans="1:16">
      <c r="A11" s="117"/>
      <c r="B11" s="118"/>
      <c r="C11" s="2314" t="s">
        <v>2325</v>
      </c>
      <c r="D11" s="111">
        <f t="shared" si="0"/>
        <v>13340.61</v>
      </c>
      <c r="E11" s="116">
        <f>SUMPRODUCT(('数据-基础表'!BB10:BK10="地下")*('数据-基础表'!BB11:BK11="办公")*('数据-基础表'!BB5:BK5))+'数据-基础表'!AJ5</f>
        <v>25926.73</v>
      </c>
      <c r="F11" s="1967"/>
      <c r="G11" s="1969"/>
      <c r="H11" s="1969"/>
      <c r="I11" s="1967"/>
      <c r="J11" s="1967"/>
      <c r="K11" s="1967"/>
      <c r="L11" s="1967"/>
    </row>
    <row r="12" spans="1:16">
      <c r="A12" s="117"/>
      <c r="B12" s="118"/>
      <c r="C12" s="111" t="s">
        <v>214</v>
      </c>
      <c r="D12" s="111">
        <f t="shared" si="0"/>
        <v>76.52</v>
      </c>
      <c r="E12" s="116">
        <f>SUMPRODUCT(('数据-基础表'!BB10:BK10="地下")*('数据-基础表'!BB11:BK11="仓储")*('数据-基础表'!BB5:BK5))</f>
        <v>148.72</v>
      </c>
      <c r="F12" s="1967"/>
      <c r="G12" s="1969"/>
      <c r="H12" s="1969"/>
      <c r="I12" s="1967"/>
      <c r="J12" s="1967"/>
      <c r="K12" s="1967"/>
      <c r="L12" s="1967"/>
    </row>
    <row r="13" spans="1:16">
      <c r="A13" s="117"/>
      <c r="B13" s="118"/>
      <c r="C13" s="2314" t="s">
        <v>2332</v>
      </c>
      <c r="D13" s="111">
        <f t="shared" si="0"/>
        <v>20396.060000000001</v>
      </c>
      <c r="E13" s="116">
        <f>SUMPRODUCT(('数据-基础表'!BB10:BK10="地下")*('数据-基础表'!BB11:BK11="车库")*('数据-基础表'!BB5:BK5))</f>
        <v>39638.61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4.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4.5" thickBot="1">
      <c r="A16" s="113"/>
      <c r="B16" s="118"/>
      <c r="C16" s="115" t="s">
        <v>215</v>
      </c>
      <c r="D16" s="115">
        <f>SUM(D8:D15)</f>
        <v>94799.750000000015</v>
      </c>
      <c r="E16" s="120">
        <f>SUM(E8:E15)</f>
        <v>184238.06</v>
      </c>
      <c r="F16" s="1967"/>
      <c r="G16" s="1969"/>
      <c r="H16" s="967" t="s">
        <v>219</v>
      </c>
      <c r="I16" s="968"/>
      <c r="J16" s="1967"/>
      <c r="K16" s="3277" t="s">
        <v>2564</v>
      </c>
      <c r="L16" s="3278"/>
      <c r="M16" s="3278"/>
      <c r="N16" s="3278"/>
      <c r="O16" s="3278"/>
      <c r="P16" s="3279"/>
    </row>
    <row r="17" spans="1:19">
      <c r="A17" s="121" t="s">
        <v>216</v>
      </c>
      <c r="B17" s="122" t="s">
        <v>217</v>
      </c>
      <c r="C17" s="2281" t="s">
        <v>2311</v>
      </c>
      <c r="D17" s="108" t="s">
        <v>204</v>
      </c>
      <c r="E17" s="124" t="s">
        <v>205</v>
      </c>
      <c r="F17" s="125"/>
      <c r="G17" s="1360"/>
      <c r="H17" s="969" t="s">
        <v>218</v>
      </c>
      <c r="I17" s="970" t="s">
        <v>2310</v>
      </c>
      <c r="J17" s="1967"/>
      <c r="K17" s="3280" t="s">
        <v>2565</v>
      </c>
      <c r="L17" s="3281"/>
      <c r="M17" s="3282"/>
      <c r="N17" s="3280" t="s">
        <v>2566</v>
      </c>
      <c r="O17" s="3281"/>
      <c r="P17" s="3282"/>
      <c r="R17" s="2282" t="s">
        <v>2309</v>
      </c>
      <c r="S17" s="144"/>
    </row>
    <row r="18" spans="1:19">
      <c r="A18" s="117"/>
      <c r="B18" s="128"/>
      <c r="C18" s="129"/>
      <c r="D18" s="2604"/>
      <c r="E18" s="130" t="s">
        <v>220</v>
      </c>
      <c r="F18" s="131" t="s">
        <v>221</v>
      </c>
      <c r="G18" s="1361" t="s">
        <v>222</v>
      </c>
      <c r="H18" s="971" t="s">
        <v>223</v>
      </c>
      <c r="I18" s="972" t="s">
        <v>224</v>
      </c>
      <c r="J18" s="1967"/>
      <c r="K18" s="2567" t="s">
        <v>2567</v>
      </c>
      <c r="L18" s="2568" t="s">
        <v>2568</v>
      </c>
      <c r="M18" s="2569" t="s">
        <v>2569</v>
      </c>
      <c r="N18" s="2567" t="s">
        <v>2567</v>
      </c>
      <c r="O18" s="2568" t="s">
        <v>2568</v>
      </c>
      <c r="P18" s="2569" t="s">
        <v>2569</v>
      </c>
      <c r="R18" s="2283" t="s">
        <v>2307</v>
      </c>
      <c r="S18" s="2283" t="s">
        <v>2308</v>
      </c>
    </row>
    <row r="19" spans="1:19">
      <c r="A19" s="133"/>
      <c r="B19" s="115" t="s">
        <v>225</v>
      </c>
      <c r="C19" s="2975" t="s">
        <v>3003</v>
      </c>
      <c r="D19" s="111">
        <f t="shared" ref="D19:D26" si="1">ROUND($D$3*E19/$E$3,2)</f>
        <v>22665.27</v>
      </c>
      <c r="E19" s="134">
        <f t="shared" ref="E19:E26" si="2">SUM(F19:G19)</f>
        <v>44048.69</v>
      </c>
      <c r="F19" s="135">
        <f>'数据-基础表'!I5</f>
        <v>20000</v>
      </c>
      <c r="G19" s="1362">
        <f>'数据-基础表'!O5</f>
        <v>24048.69</v>
      </c>
      <c r="H19" s="973">
        <f>ROUND($D$3*I19/$E$3,2)</f>
        <v>660.05</v>
      </c>
      <c r="I19" s="116">
        <f>IF($I$17="自定义",P19,M19)</f>
        <v>1282.78</v>
      </c>
      <c r="J19" s="1967"/>
      <c r="K19" s="2570">
        <f t="shared" ref="K19:K26" si="3">ROUND(E$28*E19/E$27,2)</f>
        <v>1282.78</v>
      </c>
      <c r="L19" s="274">
        <f t="shared" ref="L19:L26" si="4">ROUND(IF(COUNTIF(C19,"*住宅*")&gt;0,E$29*E19/E$32,0),2)</f>
        <v>0</v>
      </c>
      <c r="M19" s="2571">
        <f>K19+L19</f>
        <v>1282.78</v>
      </c>
      <c r="N19" s="2572"/>
      <c r="O19" s="2573"/>
      <c r="P19" s="2574">
        <f>N19+O19</f>
        <v>0</v>
      </c>
      <c r="R19" s="274">
        <f t="shared" ref="R19:S26" si="5">D19+H19</f>
        <v>23325.32</v>
      </c>
      <c r="S19" s="2284">
        <f t="shared" si="5"/>
        <v>45331.47</v>
      </c>
    </row>
    <row r="20" spans="1:19">
      <c r="A20" s="138"/>
      <c r="B20" s="115" t="s">
        <v>226</v>
      </c>
      <c r="C20" s="2975" t="s">
        <v>3005</v>
      </c>
      <c r="D20" s="111">
        <f t="shared" si="1"/>
        <v>38321.29</v>
      </c>
      <c r="E20" s="134">
        <f t="shared" si="2"/>
        <v>74475.31</v>
      </c>
      <c r="F20" s="135">
        <f>'数据-基础表'!K5</f>
        <v>74475.31</v>
      </c>
      <c r="G20" s="1362"/>
      <c r="H20" s="973">
        <f t="shared" ref="H20:H26" si="6">ROUND($D$3*I20/$E$3,2)</f>
        <v>1115.99</v>
      </c>
      <c r="I20" s="116">
        <f t="shared" ref="I20:I26" si="7">IF($I$17="自定义",P20,M20)</f>
        <v>2168.86</v>
      </c>
      <c r="J20" s="1967"/>
      <c r="K20" s="2570">
        <f t="shared" si="3"/>
        <v>2168.86</v>
      </c>
      <c r="L20" s="274">
        <f t="shared" si="4"/>
        <v>0</v>
      </c>
      <c r="M20" s="2571">
        <f t="shared" ref="M20:M26" si="8">K20+L20</f>
        <v>2168.86</v>
      </c>
      <c r="N20" s="2572"/>
      <c r="O20" s="2573"/>
      <c r="P20" s="2574">
        <f t="shared" ref="P20:P26" si="9">N20+O20</f>
        <v>0</v>
      </c>
      <c r="R20" s="274">
        <f t="shared" si="5"/>
        <v>39437.279999999999</v>
      </c>
      <c r="S20" s="2284">
        <f t="shared" si="5"/>
        <v>76644.17</v>
      </c>
    </row>
    <row r="21" spans="1:19">
      <c r="A21" s="138"/>
      <c r="B21" s="115" t="s">
        <v>226</v>
      </c>
      <c r="C21" s="2975" t="s">
        <v>3132</v>
      </c>
      <c r="D21" s="111">
        <f t="shared" si="1"/>
        <v>20396.060000000001</v>
      </c>
      <c r="E21" s="134">
        <f t="shared" si="2"/>
        <v>39638.61</v>
      </c>
      <c r="F21" s="135"/>
      <c r="G21" s="1362">
        <f>'数据-基础表'!Q5</f>
        <v>39638.61</v>
      </c>
      <c r="H21" s="973">
        <f t="shared" si="6"/>
        <v>593.97</v>
      </c>
      <c r="I21" s="116">
        <f t="shared" si="7"/>
        <v>1154.3499999999999</v>
      </c>
      <c r="J21" s="1967"/>
      <c r="K21" s="2570">
        <f t="shared" si="3"/>
        <v>1154.3499999999999</v>
      </c>
      <c r="L21" s="274">
        <f t="shared" si="4"/>
        <v>0</v>
      </c>
      <c r="M21" s="2571">
        <f t="shared" si="8"/>
        <v>1154.3499999999999</v>
      </c>
      <c r="N21" s="2572"/>
      <c r="O21" s="2573"/>
      <c r="P21" s="2574">
        <f t="shared" si="9"/>
        <v>0</v>
      </c>
      <c r="R21" s="274">
        <f t="shared" si="5"/>
        <v>20990.030000000002</v>
      </c>
      <c r="S21" s="2284">
        <f t="shared" si="5"/>
        <v>40792.959999999999</v>
      </c>
    </row>
    <row r="22" spans="1:19">
      <c r="A22" s="138"/>
      <c r="B22" s="115" t="s">
        <v>226</v>
      </c>
      <c r="C22" s="3195" t="s">
        <v>3133</v>
      </c>
      <c r="D22" s="111">
        <f t="shared" si="1"/>
        <v>76.52</v>
      </c>
      <c r="E22" s="134">
        <f t="shared" si="2"/>
        <v>148.72</v>
      </c>
      <c r="F22" s="140"/>
      <c r="G22" s="1363">
        <f>'数据-基础表'!S5</f>
        <v>148.72</v>
      </c>
      <c r="H22" s="973">
        <f t="shared" si="6"/>
        <v>2.23</v>
      </c>
      <c r="I22" s="116">
        <f t="shared" si="7"/>
        <v>4.33</v>
      </c>
      <c r="J22" s="1967"/>
      <c r="K22" s="2570">
        <f t="shared" si="3"/>
        <v>4.33</v>
      </c>
      <c r="L22" s="274">
        <f t="shared" si="4"/>
        <v>0</v>
      </c>
      <c r="M22" s="2571">
        <f t="shared" si="8"/>
        <v>4.33</v>
      </c>
      <c r="N22" s="2572"/>
      <c r="O22" s="2573"/>
      <c r="P22" s="2574">
        <f t="shared" si="9"/>
        <v>0</v>
      </c>
      <c r="R22" s="274">
        <f t="shared" si="5"/>
        <v>78.75</v>
      </c>
      <c r="S22" s="2284">
        <f t="shared" si="5"/>
        <v>153.05000000000001</v>
      </c>
    </row>
    <row r="23" spans="1:19">
      <c r="A23" s="138"/>
      <c r="B23" s="115" t="s">
        <v>226</v>
      </c>
      <c r="C23" s="3195" t="s">
        <v>3142</v>
      </c>
      <c r="D23" s="111">
        <f>ROUND($D$3*E23/$E$3,2)</f>
        <v>13340.61</v>
      </c>
      <c r="E23" s="134">
        <f>SUM(F23:G23)</f>
        <v>25926.73</v>
      </c>
      <c r="F23" s="140"/>
      <c r="G23" s="1363">
        <f>'数据-基础表'!M5</f>
        <v>25926.73</v>
      </c>
      <c r="H23" s="973">
        <f>ROUND($D$3*I23/$E$3,2)</f>
        <v>388.51</v>
      </c>
      <c r="I23" s="116">
        <f t="shared" si="7"/>
        <v>755.04</v>
      </c>
      <c r="J23" s="1967"/>
      <c r="K23" s="2570">
        <f t="shared" si="3"/>
        <v>755.04</v>
      </c>
      <c r="L23" s="274">
        <f t="shared" si="4"/>
        <v>0</v>
      </c>
      <c r="M23" s="2571">
        <f t="shared" si="8"/>
        <v>755.04</v>
      </c>
      <c r="N23" s="2572"/>
      <c r="O23" s="2573"/>
      <c r="P23" s="2574">
        <f t="shared" si="9"/>
        <v>0</v>
      </c>
      <c r="R23" s="274">
        <f t="shared" si="5"/>
        <v>13729.12</v>
      </c>
      <c r="S23" s="2284">
        <f t="shared" si="5"/>
        <v>26681.77</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42.5" thickBot="1">
      <c r="A27" s="138"/>
      <c r="B27" s="111"/>
      <c r="C27" s="127" t="s">
        <v>215</v>
      </c>
      <c r="D27" s="134">
        <f>SUM(D19:D26)</f>
        <v>94799.75</v>
      </c>
      <c r="E27" s="143">
        <f>IF(SUM(E19:E26)='数据-基础表'!BA5,SUM(E19:E26),IF(F27="地上面积有误","面积有误","地下面积有误"))</f>
        <v>184238.06</v>
      </c>
      <c r="F27" s="134">
        <f>IF(SUM(F19:F26)=E8,SUM(F19:F26),"地上面积有误")</f>
        <v>94475.31</v>
      </c>
      <c r="G27" s="112">
        <f>SUM(G19:G26)</f>
        <v>89762.75</v>
      </c>
      <c r="H27" s="974">
        <f>SUM(H19:H26)</f>
        <v>2760.75</v>
      </c>
      <c r="I27" s="975">
        <f>SUM(I19:I26)</f>
        <v>5365.36</v>
      </c>
      <c r="J27" s="1967"/>
      <c r="K27" s="2579">
        <f>SUM(K19:K26)</f>
        <v>5365.36</v>
      </c>
      <c r="L27" s="2580">
        <f>SUM(L19:L26)</f>
        <v>0</v>
      </c>
      <c r="M27" s="2581">
        <f>SUM(M19:M26)</f>
        <v>5365.36</v>
      </c>
      <c r="N27" s="2579">
        <f t="shared" ref="N27:O27" si="10">SUM(N19:N26)</f>
        <v>0</v>
      </c>
      <c r="O27" s="2580">
        <f t="shared" si="10"/>
        <v>0</v>
      </c>
      <c r="P27" s="2582">
        <f>SUM(P19:P26)</f>
        <v>0</v>
      </c>
      <c r="R27" s="2288">
        <f>IF(SUM(R19:R26)=$D$3,SUM(R19:R26),SUM(R19:R26)&amp;"误差"&amp;ROUND(SUM(R19:R26)-$D$3,2))</f>
        <v>97560.5</v>
      </c>
      <c r="S27" s="274">
        <f>IF(SUM(S19:S26)=$E$3,SUM(S19:S26),SUM(S19:S26)&amp;"误差"&amp;ROUND(SUM(S19:S26)-E3,2))</f>
        <v>189603.41999999998</v>
      </c>
    </row>
    <row r="28" spans="1:19">
      <c r="A28" s="138"/>
      <c r="B28" s="115" t="s">
        <v>227</v>
      </c>
      <c r="C28" s="136" t="s">
        <v>228</v>
      </c>
      <c r="D28" s="111">
        <f>ROUND($D$3*E28/$E$3,2)</f>
        <v>2760.75</v>
      </c>
      <c r="E28" s="134">
        <f>SUM(F28:G28)</f>
        <v>5365.36</v>
      </c>
      <c r="F28" s="144">
        <f>'数据-基础表'!BQ5+'数据-基础表'!BS5</f>
        <v>0</v>
      </c>
      <c r="G28" s="145">
        <f>'数据-基础表'!BR5+'数据-基础表'!BT5</f>
        <v>5365.36</v>
      </c>
      <c r="H28" s="1967"/>
      <c r="I28" s="1967"/>
      <c r="J28" s="1967"/>
      <c r="K28" s="1967"/>
      <c r="L28" s="1967"/>
    </row>
    <row r="29" spans="1:19">
      <c r="A29" s="138"/>
      <c r="B29" s="115" t="s">
        <v>227</v>
      </c>
      <c r="C29" s="2296" t="s">
        <v>2318</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2760.75</v>
      </c>
      <c r="E30" s="134">
        <f>SUM(E28:E29)</f>
        <v>5365.36</v>
      </c>
      <c r="F30" s="134">
        <f>SUM(F28:F29)</f>
        <v>0</v>
      </c>
      <c r="G30" s="112">
        <f>SUM(G28:G29)</f>
        <v>5365.36</v>
      </c>
      <c r="H30" s="1967"/>
      <c r="I30" s="1967"/>
      <c r="J30" s="1967"/>
      <c r="K30" s="1967"/>
      <c r="L30" s="1967"/>
    </row>
    <row r="31" spans="1:19" ht="32.25" customHeight="1" thickBot="1">
      <c r="A31" s="1364"/>
      <c r="B31" s="1365" t="s">
        <v>229</v>
      </c>
      <c r="C31" s="2313" t="s">
        <v>2320</v>
      </c>
      <c r="D31" s="1366">
        <f>D27+D30</f>
        <v>97560.5</v>
      </c>
      <c r="E31" s="1366">
        <f>E27+E30</f>
        <v>189603.41999999998</v>
      </c>
      <c r="F31" s="1367">
        <f>F27+F30</f>
        <v>94475.31</v>
      </c>
      <c r="G31" s="1368">
        <f>G27+G30</f>
        <v>95128.11</v>
      </c>
      <c r="H31" s="1967"/>
      <c r="I31" s="1967"/>
      <c r="J31" s="1967"/>
      <c r="K31" s="1967"/>
      <c r="L31" s="1967"/>
    </row>
    <row r="32" spans="1:19">
      <c r="A32" s="1967"/>
      <c r="B32" s="2325" t="s">
        <v>2319</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H12" activePane="bottomRight" state="frozen"/>
      <selection pane="topRight" activeCell="D1" sqref="D1"/>
      <selection pane="bottomLeft" activeCell="A4" sqref="A4"/>
      <selection pane="bottomRight" activeCell="J22" sqref="J22"/>
    </sheetView>
  </sheetViews>
  <sheetFormatPr defaultColWidth="13.81640625" defaultRowHeight="12.5"/>
  <cols>
    <col min="1" max="1" width="20.90625" style="1211" customWidth="1"/>
    <col min="2" max="3" width="12" style="1198" customWidth="1"/>
    <col min="4" max="4" width="9.08984375" style="1212" customWidth="1"/>
    <col min="5" max="5" width="15" style="1198" bestFit="1" customWidth="1"/>
    <col min="6" max="10" width="8.90625" style="1198" customWidth="1"/>
    <col min="11" max="12" width="12.36328125" style="1213" customWidth="1"/>
    <col min="13" max="13" width="8.6328125" style="1198" customWidth="1"/>
    <col min="14" max="14" width="9.81640625" style="1198" customWidth="1"/>
    <col min="15" max="16" width="9.6328125" style="1198" customWidth="1"/>
    <col min="17" max="17" width="10.90625" style="1198" customWidth="1"/>
    <col min="18" max="19" width="12.453125" style="1198" customWidth="1"/>
    <col min="20" max="20" width="12.08984375" style="1198" customWidth="1"/>
    <col min="21" max="21" width="7.453125" style="1198" customWidth="1"/>
    <col min="22" max="22" width="6.36328125" style="1198" customWidth="1"/>
    <col min="23" max="24" width="6.81640625" style="1198" customWidth="1"/>
    <col min="25" max="25" width="8.08984375" style="1198" customWidth="1"/>
    <col min="26" max="30" width="6.81640625" style="1198" customWidth="1"/>
    <col min="31" max="31" width="6.453125" style="1198" customWidth="1"/>
    <col min="32" max="34" width="7.1796875" style="1198" customWidth="1"/>
    <col min="35" max="39" width="8" style="1198" customWidth="1"/>
    <col min="40" max="41" width="13.81640625" style="1981"/>
    <col min="42" max="42" width="0" style="1981" hidden="1" customWidth="1"/>
    <col min="43" max="83" width="13.81640625" style="1981"/>
    <col min="84" max="16384" width="13.8164062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43873</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4.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6">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2824</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
      <c r="A6" s="2285" t="str">
        <f>'数据-汇总表'!C19</f>
        <v>商业</v>
      </c>
      <c r="B6" s="2320" t="str">
        <f>IF(A6=0,"","经营性")</f>
        <v>经营性</v>
      </c>
      <c r="C6" s="173" t="s">
        <v>2997</v>
      </c>
      <c r="D6" s="2291">
        <f>SUMIF(项目基本情况!D$15:I$15,C6,项目基本情况!D$18:I$18)</f>
        <v>40</v>
      </c>
      <c r="E6" s="2292">
        <f>IF(B6="","",SUMIF(项目基本情况!D$15:I$15,C6,项目基本情况!D$17:I$17))</f>
        <v>55225</v>
      </c>
      <c r="F6" s="174">
        <f>SUMIF(项目基本情况!D$15:I$15,C6,项目基本情况!D$19:I$19)</f>
        <v>31.1</v>
      </c>
      <c r="G6" s="175">
        <f>IF(ISERROR(ROUND(POWER(1+H6,D6-F6)*(POWER(1+H6,F6)-1)/(POWER(1+H6,D6)-1),3)),0,ROUND(POWER(1+H6,D6-F6)*(POWER(1+H6,F6)-1)/(POWER(1+H6,D6)-1),3))</f>
        <v>0.91900000000000004</v>
      </c>
      <c r="H6" s="2976">
        <v>5.5E-2</v>
      </c>
      <c r="I6" s="2976">
        <v>0.06</v>
      </c>
      <c r="J6" s="176">
        <v>8.5000000000000006E-2</v>
      </c>
      <c r="K6" s="179">
        <f>SUMIF('数据-汇总表'!C$19:C$33,'数据-取费表'!A6,'数据-汇总表'!E$19:E$33)</f>
        <v>44048.69</v>
      </c>
      <c r="L6" s="3200">
        <v>5000</v>
      </c>
      <c r="M6" s="177">
        <f t="shared" ref="M6:M14" si="0">ROUND(K6*L6/10000,0)</f>
        <v>22024</v>
      </c>
      <c r="N6" s="2978">
        <v>0</v>
      </c>
      <c r="O6" s="177">
        <f>IF($N$5="成新度","——",ROUND(M6*N6,0))</f>
        <v>0</v>
      </c>
      <c r="P6" s="178">
        <f>IF($N$5="成新度","——",M6-O6)</f>
        <v>22024</v>
      </c>
      <c r="Q6" s="2979">
        <v>0.25</v>
      </c>
      <c r="R6" s="179">
        <f>SUMIF('数据-汇总表'!C$19:C$33,A6,'数据-汇总表'!R$19:R$33)</f>
        <v>23325.32</v>
      </c>
      <c r="S6" s="132">
        <f>IF('数据-汇总表'!$I$17="按面积比例",SUMIF('数据-汇总表'!C$19:C$33,A6,'数据-汇总表'!K$19:K$33),SUMIF('数据-汇总表'!C$19:C$33,A6,'数据-汇总表'!N$19:N$33))</f>
        <v>1282.78</v>
      </c>
      <c r="T6" s="2217">
        <f>IF($T$4="按面积比例",IF(ISERROR(ROUND($M$14*S6/S$16,0)),"0",ROUND($M$14*S6/S$16,0)),"需自行计算录入")</f>
        <v>641</v>
      </c>
      <c r="U6" s="3202">
        <v>8.5</v>
      </c>
      <c r="V6" s="181">
        <v>0.03</v>
      </c>
      <c r="W6" s="181">
        <v>0.1</v>
      </c>
      <c r="X6" s="2304"/>
      <c r="Y6" s="182">
        <v>1</v>
      </c>
      <c r="Z6" s="183"/>
      <c r="AA6" s="176"/>
      <c r="AB6" s="176"/>
      <c r="AC6" s="2307"/>
      <c r="AD6" s="184"/>
      <c r="AE6" s="971">
        <f ca="1">IF(AN6="",0,SUMIF(INDIRECT("'"&amp;AN6&amp;"'"&amp;"!E:E"),$AE$5,INDIRECT("'"&amp;AN6&amp;"'"&amp;"!F:F")))</f>
        <v>31.1</v>
      </c>
      <c r="AF6" s="141"/>
      <c r="AG6" s="1208">
        <f>IF(AF6="",0,AE6-AF6)</f>
        <v>0</v>
      </c>
      <c r="AH6" s="141"/>
      <c r="AI6" s="187">
        <v>365</v>
      </c>
      <c r="AJ6" s="188"/>
      <c r="AK6" s="189">
        <v>1.4999999999999999E-2</v>
      </c>
      <c r="AL6" s="3185">
        <v>1.5E-3</v>
      </c>
      <c r="AM6" s="2990">
        <v>0.01</v>
      </c>
      <c r="AN6" s="2354" t="s">
        <v>3099</v>
      </c>
      <c r="AO6" s="1983"/>
      <c r="AP6" s="1199">
        <f>ROUND(1-1/(1+H6)^F6,3)</f>
        <v>0.81100000000000005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
      <c r="A7" s="2285" t="str">
        <f>'数据-汇总表'!C20</f>
        <v>办公</v>
      </c>
      <c r="B7" s="2320" t="str">
        <f t="shared" ref="B7:B13" si="1">IF(A7=0,"","经营性")</f>
        <v>经营性</v>
      </c>
      <c r="C7" s="173" t="s">
        <v>1677</v>
      </c>
      <c r="D7" s="2291">
        <f>SUMIF(项目基本情况!D$15:I$15,C7,项目基本情况!D$18:I$18)</f>
        <v>50</v>
      </c>
      <c r="E7" s="2292">
        <f>IF(B7="","",SUMIF(项目基本情况!D$15:I$15,C7,项目基本情况!D$17:I$17))</f>
        <v>58878</v>
      </c>
      <c r="F7" s="174">
        <f>SUMIF(项目基本情况!D$15:I$15,C7,项目基本情况!D$19:I$19)</f>
        <v>41.1</v>
      </c>
      <c r="G7" s="175">
        <f t="shared" ref="G7:G11" si="2">IF(ISERROR(ROUND(POWER(1+H7,D7-F7)*(POWER(1+H7,F7)-1)/(POWER(1+H7,D7)-1),3)),0,ROUND(POWER(1+H7,D7-F7)*(POWER(1+H7,F7)-1)/(POWER(1+H7,D7)-1),3))</f>
        <v>0.94799999999999995</v>
      </c>
      <c r="H7" s="2976">
        <v>0.05</v>
      </c>
      <c r="I7" s="2976">
        <v>5.5E-2</v>
      </c>
      <c r="J7" s="176">
        <v>8.5000000000000006E-2</v>
      </c>
      <c r="K7" s="179">
        <f>SUMIF('数据-汇总表'!C$19:C$33,'数据-取费表'!A7,'数据-汇总表'!E$19:E$33)</f>
        <v>74475.31</v>
      </c>
      <c r="L7" s="2977">
        <f>L6</f>
        <v>5000</v>
      </c>
      <c r="M7" s="177">
        <f t="shared" si="0"/>
        <v>37238</v>
      </c>
      <c r="N7" s="2978">
        <v>0</v>
      </c>
      <c r="O7" s="177">
        <f t="shared" ref="O7:O14" si="3">IF($N$5="成新度","——",ROUND(M7*N7,0))</f>
        <v>0</v>
      </c>
      <c r="P7" s="178">
        <f t="shared" ref="P7:P14" si="4">IF($N$5="成新度","——",M7-O7)</f>
        <v>37238</v>
      </c>
      <c r="Q7" s="2979">
        <f>Q6</f>
        <v>0.25</v>
      </c>
      <c r="R7" s="179">
        <f>SUMIF('数据-汇总表'!C$19:C$33,A7,'数据-汇总表'!R$19:R$33)</f>
        <v>39437.279999999999</v>
      </c>
      <c r="S7" s="132">
        <f>IF('数据-汇总表'!$I$17="按面积比例",SUMIF('数据-汇总表'!C$19:C$33,A7,'数据-汇总表'!K$19:K$33),SUMIF('数据-汇总表'!C$19:C$33,A7,'数据-汇总表'!N$19:N$33))</f>
        <v>2168.86</v>
      </c>
      <c r="T7" s="2217">
        <f t="shared" ref="T7:T13" si="5">IF($T$4="按面积比例",IF(ISERROR(ROUND($M$14*S7/S$16,0)),"0",ROUND($M$14*S7/S$16,0)),"需自行计算录入")</f>
        <v>1085</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0.86499999999999999</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
      <c r="A8" s="2285" t="str">
        <f>'数据-汇总表'!C21</f>
        <v>地下车库</v>
      </c>
      <c r="B8" s="2320" t="str">
        <f t="shared" si="1"/>
        <v>经营性</v>
      </c>
      <c r="C8" s="173" t="s">
        <v>3130</v>
      </c>
      <c r="D8" s="2291">
        <f>SUMIF(项目基本情况!D$15:I$15,C8,项目基本情况!D$18:I$18)</f>
        <v>50</v>
      </c>
      <c r="E8" s="2292">
        <f>IF(B8="","",SUMIF(项目基本情况!D$15:I$15,C8,项目基本情况!D$17:I$17))</f>
        <v>58878</v>
      </c>
      <c r="F8" s="174">
        <f>SUMIF(项目基本情况!D$15:I$15,C8,项目基本情况!D$19:I$19)</f>
        <v>41.1</v>
      </c>
      <c r="G8" s="175">
        <f t="shared" si="2"/>
        <v>0.94</v>
      </c>
      <c r="H8" s="2976">
        <v>4.4999999999999998E-2</v>
      </c>
      <c r="I8" s="2976">
        <v>0.05</v>
      </c>
      <c r="J8" s="176">
        <v>8.5000000000000006E-2</v>
      </c>
      <c r="K8" s="179">
        <f>SUMIF('数据-汇总表'!C$19:C$33,'数据-取费表'!A8,'数据-汇总表'!E$19:E$33)</f>
        <v>39638.61</v>
      </c>
      <c r="L8" s="2977">
        <f>L6</f>
        <v>5000</v>
      </c>
      <c r="M8" s="177">
        <f>ROUND(K8*L8/10000,0)</f>
        <v>19819</v>
      </c>
      <c r="N8" s="2978">
        <f>N6</f>
        <v>0</v>
      </c>
      <c r="O8" s="177">
        <f t="shared" si="3"/>
        <v>0</v>
      </c>
      <c r="P8" s="178">
        <f t="shared" si="4"/>
        <v>19819</v>
      </c>
      <c r="Q8" s="2979">
        <v>0.05</v>
      </c>
      <c r="R8" s="179">
        <f>SUMIF('数据-汇总表'!C$19:C$33,A8,'数据-汇总表'!R$19:R$33)</f>
        <v>20990.030000000002</v>
      </c>
      <c r="S8" s="132">
        <f>IF('数据-汇总表'!$I$17="按面积比例",SUMIF('数据-汇总表'!C$19:C$33,A8,'数据-汇总表'!K$19:K$33),SUMIF('数据-汇总表'!C$19:C$33,A8,'数据-汇总表'!N$19:N$33))</f>
        <v>1154.3499999999999</v>
      </c>
      <c r="T8" s="2217">
        <f t="shared" si="5"/>
        <v>577</v>
      </c>
      <c r="U8" s="3202">
        <v>800</v>
      </c>
      <c r="V8" s="3203">
        <v>0.02</v>
      </c>
      <c r="W8" s="3203">
        <v>0.2</v>
      </c>
      <c r="X8" s="2304"/>
      <c r="Y8" s="182">
        <v>1</v>
      </c>
      <c r="Z8" s="183"/>
      <c r="AA8" s="176"/>
      <c r="AB8" s="176"/>
      <c r="AC8" s="2307"/>
      <c r="AD8" s="184"/>
      <c r="AE8" s="971">
        <f t="shared" ca="1" si="6"/>
        <v>41.1</v>
      </c>
      <c r="AF8" s="141"/>
      <c r="AG8" s="1208">
        <f t="shared" si="7"/>
        <v>0</v>
      </c>
      <c r="AH8" s="141">
        <f>ROUNDDOWN('数据-汇总表'!G21/40,0)</f>
        <v>990</v>
      </c>
      <c r="AI8" s="187">
        <v>12</v>
      </c>
      <c r="AJ8" s="188"/>
      <c r="AK8" s="3204">
        <v>5.0000000000000001E-3</v>
      </c>
      <c r="AL8" s="190">
        <f>AL6</f>
        <v>1.5E-3</v>
      </c>
      <c r="AM8" s="3205">
        <v>0.1</v>
      </c>
      <c r="AN8" s="2354" t="s">
        <v>3139</v>
      </c>
      <c r="AO8" s="1983"/>
      <c r="AP8" s="1199">
        <f t="shared" si="8"/>
        <v>0.83599999999999997</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
      <c r="A9" s="2285" t="str">
        <f>'数据-汇总表'!C22</f>
        <v>仓储</v>
      </c>
      <c r="B9" s="2320" t="str">
        <f t="shared" si="1"/>
        <v>经营性</v>
      </c>
      <c r="C9" s="173" t="s">
        <v>3131</v>
      </c>
      <c r="D9" s="2291">
        <f>SUMIF(项目基本情况!D$15:I$15,C9,项目基本情况!D$18:I$18)</f>
        <v>50</v>
      </c>
      <c r="E9" s="2292">
        <f>IF(B9="","",SUMIF(项目基本情况!D$15:I$15,C9,项目基本情况!D$17:I$17))</f>
        <v>58878</v>
      </c>
      <c r="F9" s="174">
        <f>SUMIF(项目基本情况!D$15:I$15,C9,项目基本情况!D$19:I$19)</f>
        <v>41.1</v>
      </c>
      <c r="G9" s="175">
        <f t="shared" si="2"/>
        <v>0.94</v>
      </c>
      <c r="H9" s="176">
        <v>4.4999999999999998E-2</v>
      </c>
      <c r="I9" s="176">
        <v>0.05</v>
      </c>
      <c r="J9" s="176">
        <v>8.5000000000000006E-2</v>
      </c>
      <c r="K9" s="179">
        <f>SUMIF('数据-汇总表'!C$19:C$33,'数据-取费表'!A9,'数据-汇总表'!E$19:E$33)</f>
        <v>148.72</v>
      </c>
      <c r="L9" s="193">
        <f>L6</f>
        <v>5000</v>
      </c>
      <c r="M9" s="177">
        <f t="shared" si="0"/>
        <v>74</v>
      </c>
      <c r="N9" s="194">
        <f>N6</f>
        <v>0</v>
      </c>
      <c r="O9" s="177">
        <f t="shared" si="3"/>
        <v>0</v>
      </c>
      <c r="P9" s="178">
        <f t="shared" si="4"/>
        <v>74</v>
      </c>
      <c r="Q9" s="192">
        <v>0.05</v>
      </c>
      <c r="R9" s="179">
        <f>SUMIF('数据-汇总表'!C$19:C$33,A9,'数据-汇总表'!R$19:R$33)</f>
        <v>78.75</v>
      </c>
      <c r="S9" s="132">
        <f>IF('数据-汇总表'!$I$17="按面积比例",SUMIF('数据-汇总表'!C$19:C$33,A9,'数据-汇总表'!K$19:K$33),SUMIF('数据-汇总表'!C$19:C$33,A9,'数据-汇总表'!N$19:N$33))</f>
        <v>4.33</v>
      </c>
      <c r="T9" s="2217">
        <f t="shared" si="5"/>
        <v>2</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0.83599999999999997</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
      <c r="A10" s="2285" t="str">
        <f>'数据-汇总表'!C23</f>
        <v>地下办公</v>
      </c>
      <c r="B10" s="2320" t="str">
        <f t="shared" si="1"/>
        <v>经营性</v>
      </c>
      <c r="C10" s="173" t="s">
        <v>1677</v>
      </c>
      <c r="D10" s="2291">
        <f>SUMIF(项目基本情况!D$15:I$15,C10,项目基本情况!D$18:I$18)</f>
        <v>50</v>
      </c>
      <c r="E10" s="2292">
        <f>IF(B10="","",SUMIF(项目基本情况!D$15:I$15,C10,项目基本情况!D$17:I$17))</f>
        <v>58878</v>
      </c>
      <c r="F10" s="174">
        <f>SUMIF(项目基本情况!D$15:I$15,C10,项目基本情况!D$19:I$19)</f>
        <v>41.1</v>
      </c>
      <c r="G10" s="175">
        <f t="shared" si="2"/>
        <v>0.94799999999999995</v>
      </c>
      <c r="H10" s="176">
        <f>H7</f>
        <v>0.05</v>
      </c>
      <c r="I10" s="176">
        <f>I7</f>
        <v>5.5E-2</v>
      </c>
      <c r="J10" s="176">
        <f>J7</f>
        <v>8.5000000000000006E-2</v>
      </c>
      <c r="K10" s="179">
        <f>SUMIF('数据-汇总表'!C$19:C$33,'数据-取费表'!A10,'数据-汇总表'!E$19:E$33)</f>
        <v>25926.73</v>
      </c>
      <c r="L10" s="193">
        <f>L7</f>
        <v>5000</v>
      </c>
      <c r="M10" s="177">
        <f t="shared" si="0"/>
        <v>12963</v>
      </c>
      <c r="N10" s="194">
        <f>N6</f>
        <v>0</v>
      </c>
      <c r="O10" s="177">
        <f t="shared" si="3"/>
        <v>0</v>
      </c>
      <c r="P10" s="178">
        <f t="shared" si="4"/>
        <v>12963</v>
      </c>
      <c r="Q10" s="192">
        <f>Q7</f>
        <v>0.25</v>
      </c>
      <c r="R10" s="179">
        <f>SUMIF('数据-汇总表'!C$19:C$33,A10,'数据-汇总表'!R$19:R$33)</f>
        <v>13729.12</v>
      </c>
      <c r="S10" s="132">
        <f>IF('数据-汇总表'!$I$17="按面积比例",SUMIF('数据-汇总表'!C$19:C$33,A10,'数据-汇总表'!K$19:K$33),SUMIF('数据-汇总表'!C$19:C$33,A10,'数据-汇总表'!N$19:N$33))</f>
        <v>755.04</v>
      </c>
      <c r="T10" s="2217">
        <f t="shared" si="5"/>
        <v>378</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0.86499999999999999</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
      <c r="A14" s="2286" t="s">
        <v>2312</v>
      </c>
      <c r="B14" s="2289" t="s">
        <v>1679</v>
      </c>
      <c r="C14" s="2290" t="s">
        <v>2312</v>
      </c>
      <c r="D14" s="2291"/>
      <c r="E14" s="2292"/>
      <c r="F14" s="174"/>
      <c r="G14" s="175"/>
      <c r="H14" s="2293"/>
      <c r="I14" s="2293"/>
      <c r="J14" s="2293"/>
      <c r="K14" s="179">
        <f>SUMIF('数据-汇总表'!C$19:C$33,'数据-取费表'!A14,'数据-汇总表'!E$19:E$33)</f>
        <v>5365.36</v>
      </c>
      <c r="L14" s="193">
        <f>L10</f>
        <v>5000</v>
      </c>
      <c r="M14" s="177">
        <f t="shared" si="0"/>
        <v>2683</v>
      </c>
      <c r="N14" s="194">
        <f>N6</f>
        <v>0</v>
      </c>
      <c r="O14" s="177">
        <f t="shared" si="3"/>
        <v>0</v>
      </c>
      <c r="P14" s="178">
        <f t="shared" si="4"/>
        <v>2683</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
      <c r="A15" s="2295" t="s">
        <v>2314</v>
      </c>
      <c r="B15" s="2289" t="s">
        <v>1679</v>
      </c>
      <c r="C15" s="2290" t="s">
        <v>2313</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4.5" thickBot="1">
      <c r="A16" s="198" t="s">
        <v>262</v>
      </c>
      <c r="B16" s="199"/>
      <c r="C16" s="200"/>
      <c r="D16" s="201"/>
      <c r="E16" s="199"/>
      <c r="F16" s="199"/>
      <c r="G16" s="202">
        <f>ROUND(SUMPRODUCT(G6:G13,K6:K13)/SUMPRODUCT((G6:G13&gt;0)*(K6:K13)),3)</f>
        <v>0.93899999999999995</v>
      </c>
      <c r="H16" s="203">
        <f>ROUND(SUMPRODUCT(H6:H13,K6:K13)/SUMPRODUCT((H6:H13&gt;0)*(K6:K13)),3)</f>
        <v>0.05</v>
      </c>
      <c r="I16" s="204"/>
      <c r="J16" s="204"/>
      <c r="K16" s="205">
        <f>SUM(K6:K15)</f>
        <v>189603.41999999998</v>
      </c>
      <c r="L16" s="206">
        <f>ROUND(M16*10000/SUM(K6:K14),0)</f>
        <v>5000</v>
      </c>
      <c r="M16" s="206">
        <f>SUM(M6:M14)</f>
        <v>94801</v>
      </c>
      <c r="N16" s="207">
        <f>ROUND(SUMPRODUCT(M6:M14,N6:N14)/M16,3)</f>
        <v>0</v>
      </c>
      <c r="O16" s="206">
        <f>SUM(O6:O14)</f>
        <v>0</v>
      </c>
      <c r="P16" s="206">
        <f>SUM(P6:P14)</f>
        <v>94801</v>
      </c>
      <c r="Q16" s="3201">
        <f>ROUND(SUMPRODUCT(Q6:Q13,K6:K13)/SUMPRODUCT((Q6:Q13&gt;0)*(K6:K13)),2)</f>
        <v>0.21</v>
      </c>
      <c r="R16" s="2294">
        <f>SUM(R6:R13)</f>
        <v>97560.5</v>
      </c>
      <c r="S16" s="208">
        <f>SUM(S6:S13)</f>
        <v>5365.36</v>
      </c>
      <c r="T16" s="209">
        <f>IF(SUMIF(T6:T13,"&lt;9E307")=M14,SUMIF(T6:T13,"&lt;9E307"),"有误，请检查")</f>
        <v>2683</v>
      </c>
      <c r="U16" s="210"/>
      <c r="V16" s="211"/>
      <c r="W16" s="211"/>
      <c r="X16" s="214"/>
      <c r="Y16" s="212"/>
      <c r="Z16" s="213"/>
      <c r="AA16" s="211"/>
      <c r="AB16" s="211"/>
      <c r="AC16" s="214"/>
      <c r="AD16" s="214"/>
      <c r="AE16" s="210"/>
      <c r="AF16" s="211"/>
      <c r="AG16" s="212"/>
      <c r="AH16" s="211"/>
      <c r="AI16" s="213"/>
      <c r="AJ16" s="213"/>
      <c r="AK16" s="211"/>
      <c r="AL16" s="211"/>
      <c r="AM16" s="212"/>
      <c r="AN16" s="1983"/>
      <c r="AO16" s="1983"/>
      <c r="AP16" s="1199">
        <f>ROUND(SUMPRODUCT(AP6:AP13,K6:K13)/SUMPRODUCT((AP6:AP13&gt;0)*(K6:K13)),3)</f>
        <v>0.84599999999999997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4.5" thickBot="1">
      <c r="A18" s="150" t="s">
        <v>263</v>
      </c>
      <c r="B18" s="1199"/>
      <c r="C18" s="1975"/>
      <c r="D18" s="1976"/>
      <c r="E18" s="1975"/>
      <c r="F18" s="1975"/>
      <c r="G18" s="1975"/>
      <c r="H18" s="1975"/>
      <c r="I18" s="1975"/>
      <c r="J18" s="1975"/>
      <c r="K18" s="1974"/>
      <c r="L18" s="1974"/>
      <c r="M18" s="1972"/>
      <c r="N18" s="1972"/>
      <c r="O18" s="1972"/>
      <c r="P18" s="1972"/>
      <c r="Q18" s="1972">
        <f>Q16/B20</f>
        <v>6.9999999999999993E-2</v>
      </c>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
      <c r="A19" s="216" t="s">
        <v>264</v>
      </c>
      <c r="B19" s="217">
        <v>0</v>
      </c>
      <c r="C19" s="2326" t="s">
        <v>2334</v>
      </c>
      <c r="D19" s="1976"/>
      <c r="E19" s="1975"/>
      <c r="F19" s="1975"/>
      <c r="G19" s="1975"/>
      <c r="H19" s="1975"/>
      <c r="I19" s="1975"/>
      <c r="J19" s="1975"/>
      <c r="K19" s="1974"/>
      <c r="L19" s="1974"/>
      <c r="M19" s="1972"/>
      <c r="N19" s="1972"/>
      <c r="O19" s="1972"/>
      <c r="P19" s="1972"/>
      <c r="Q19" s="1972"/>
      <c r="R19" s="1972"/>
      <c r="S19" s="1972"/>
      <c r="T19" s="3196" t="s">
        <v>3134</v>
      </c>
      <c r="U19" s="1972" t="s">
        <v>3135</v>
      </c>
      <c r="V19" s="1972">
        <f>'数据-汇总表'!F19/2</f>
        <v>10000</v>
      </c>
      <c r="W19" s="1972">
        <v>12</v>
      </c>
      <c r="X19" s="1972">
        <f>W19*V19</f>
        <v>120000</v>
      </c>
      <c r="Y19" s="1972">
        <f ca="1">Y22*V22/(V19+V20*Z20+V21*Z21)</f>
        <v>61982.003441540524</v>
      </c>
      <c r="Z19" s="1972">
        <v>1</v>
      </c>
      <c r="AA19" s="1972"/>
      <c r="AB19" s="1972"/>
      <c r="AC19" s="1972"/>
      <c r="AD19" s="1972"/>
      <c r="AE19" s="1972"/>
      <c r="AF19" s="1972"/>
      <c r="AG19" s="1972"/>
      <c r="AH19" s="1972"/>
      <c r="AI19" s="1972"/>
      <c r="AJ19" s="1972"/>
      <c r="AK19" s="1972"/>
      <c r="AL19" s="1972"/>
      <c r="AM19" s="1972"/>
    </row>
    <row r="20" spans="1:83" ht="14">
      <c r="A20" s="218" t="s">
        <v>265</v>
      </c>
      <c r="B20" s="219">
        <v>3</v>
      </c>
      <c r="C20" s="2326" t="s">
        <v>2333</v>
      </c>
      <c r="D20" s="1976"/>
      <c r="E20" s="1975"/>
      <c r="F20" s="1975"/>
      <c r="G20" s="1975"/>
      <c r="H20" s="1975"/>
      <c r="I20" s="1975"/>
      <c r="J20" s="1975"/>
      <c r="K20" s="1974"/>
      <c r="L20" s="1974"/>
      <c r="M20" s="1972"/>
      <c r="N20" s="1972"/>
      <c r="O20" s="1972"/>
      <c r="P20" s="1972"/>
      <c r="Q20" s="1972"/>
      <c r="R20" s="1972"/>
      <c r="S20" s="1972"/>
      <c r="T20" s="1972"/>
      <c r="U20" s="1972" t="s">
        <v>3136</v>
      </c>
      <c r="V20" s="1972">
        <f>V19</f>
        <v>10000</v>
      </c>
      <c r="W20" s="1972">
        <f>W19*Z20</f>
        <v>9.6000000000000014</v>
      </c>
      <c r="X20" s="1972">
        <f t="shared" ref="X20:X21" si="9">W20*V20</f>
        <v>96000.000000000015</v>
      </c>
      <c r="Y20" s="1972">
        <f ca="1">Y19*Z20</f>
        <v>49585.602753232422</v>
      </c>
      <c r="Z20" s="1972">
        <v>0.8</v>
      </c>
      <c r="AA20" s="1972"/>
      <c r="AB20" s="1972"/>
      <c r="AC20" s="1972"/>
      <c r="AD20" s="1972"/>
      <c r="AE20" s="1972"/>
      <c r="AF20" s="1972"/>
      <c r="AG20" s="1972"/>
      <c r="AH20" s="1972"/>
      <c r="AI20" s="1972"/>
      <c r="AJ20" s="1972"/>
      <c r="AK20" s="1972"/>
      <c r="AL20" s="1972"/>
      <c r="AM20" s="1972"/>
    </row>
    <row r="21" spans="1:83" ht="14">
      <c r="A21" s="220" t="s">
        <v>266</v>
      </c>
      <c r="B21" s="219">
        <v>0</v>
      </c>
      <c r="C21" s="1975"/>
      <c r="D21" s="1976"/>
      <c r="E21" s="1975"/>
      <c r="F21" s="1975"/>
      <c r="G21" s="1975"/>
      <c r="H21" s="1975"/>
      <c r="I21" s="1975"/>
      <c r="J21" s="1975"/>
      <c r="K21" s="1974"/>
      <c r="L21" s="1974"/>
      <c r="M21" s="1972"/>
      <c r="N21" s="1972"/>
      <c r="O21" s="1972"/>
      <c r="P21" s="1972"/>
      <c r="Q21" s="1972"/>
      <c r="R21" s="1972"/>
      <c r="S21" s="1972"/>
      <c r="T21" s="1972"/>
      <c r="U21" s="3197" t="s">
        <v>3137</v>
      </c>
      <c r="V21" s="1972">
        <f>'数据-汇总表'!G19</f>
        <v>24048.69</v>
      </c>
      <c r="W21" s="1972">
        <f>W19*Z21</f>
        <v>6</v>
      </c>
      <c r="X21" s="1972">
        <f t="shared" si="9"/>
        <v>144292.13999999998</v>
      </c>
      <c r="Y21" s="1972">
        <f ca="1">Y19*Z21</f>
        <v>30991.001720770262</v>
      </c>
      <c r="Z21" s="1972">
        <v>0.5</v>
      </c>
      <c r="AA21" s="1972"/>
      <c r="AB21" s="1972"/>
      <c r="AC21" s="1972"/>
      <c r="AD21" s="1972"/>
      <c r="AE21" s="1972"/>
      <c r="AF21" s="1972"/>
      <c r="AG21" s="1972"/>
      <c r="AH21" s="1972"/>
      <c r="AI21" s="1972"/>
      <c r="AJ21" s="1972"/>
      <c r="AK21" s="1972"/>
      <c r="AL21" s="1972"/>
      <c r="AM21" s="1972"/>
    </row>
    <row r="22" spans="1:83" ht="14">
      <c r="A22" s="218" t="s">
        <v>267</v>
      </c>
      <c r="B22" s="221">
        <f>B19+B20</f>
        <v>3</v>
      </c>
      <c r="C22" s="1975"/>
      <c r="D22" s="1976"/>
      <c r="E22" s="1975"/>
      <c r="F22" s="1975"/>
      <c r="G22" s="1975"/>
      <c r="H22" s="1975"/>
      <c r="I22" s="1975"/>
      <c r="J22" s="1975"/>
      <c r="K22" s="1974"/>
      <c r="L22" s="1974"/>
      <c r="M22" s="1972"/>
      <c r="N22" s="1972"/>
      <c r="O22" s="1972"/>
      <c r="P22" s="1972"/>
      <c r="Q22" s="1972"/>
      <c r="R22" s="1972"/>
      <c r="S22" s="1972"/>
      <c r="T22" s="1972"/>
      <c r="U22" s="3197"/>
      <c r="V22" s="1972">
        <f>SUM(V19:V21)</f>
        <v>44048.69</v>
      </c>
      <c r="W22" s="1972">
        <f>X22/V22</f>
        <v>8.1794064704307896</v>
      </c>
      <c r="X22" s="1972">
        <f>SUM(X19:X21)</f>
        <v>360292.14</v>
      </c>
      <c r="Y22" s="1972">
        <f ca="1">'剩余法-待开发'!C8</f>
        <v>42248</v>
      </c>
      <c r="Z22" s="1972"/>
      <c r="AA22" s="1972"/>
      <c r="AB22" s="1972"/>
      <c r="AC22" s="1972"/>
      <c r="AD22" s="1972"/>
      <c r="AE22" s="1972"/>
      <c r="AF22" s="1972"/>
      <c r="AG22" s="1972"/>
      <c r="AH22" s="1972"/>
      <c r="AI22" s="1972"/>
      <c r="AJ22" s="1972"/>
      <c r="AK22" s="1972"/>
      <c r="AL22" s="1972"/>
      <c r="AM22" s="1972"/>
    </row>
    <row r="23" spans="1:83" ht="14">
      <c r="A23" s="220" t="s">
        <v>268</v>
      </c>
      <c r="B23" s="221">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4.5" thickBot="1">
      <c r="A24" s="222" t="s">
        <v>269</v>
      </c>
      <c r="B24" s="223">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4.5" thickBot="1">
      <c r="A26" s="149" t="s">
        <v>270</v>
      </c>
      <c r="B26" s="224"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5">
      <c r="A27" s="225" t="s">
        <v>2336</v>
      </c>
      <c r="B27" s="226">
        <v>160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5">
      <c r="A28" s="227" t="s">
        <v>2337</v>
      </c>
      <c r="B28" s="228">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 thickBot="1">
      <c r="A29" s="230" t="s">
        <v>2335</v>
      </c>
      <c r="B29" s="231">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
      <c r="A31" s="227" t="s">
        <v>274</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8.5"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
      <c r="A33" s="225" t="s">
        <v>278</v>
      </c>
      <c r="B33" s="1373">
        <v>0.05</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
      <c r="A34" s="227" t="s">
        <v>279</v>
      </c>
      <c r="B34" s="232">
        <v>0</v>
      </c>
      <c r="C34" s="2327" t="s">
        <v>2891</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
      <c r="A35" s="227" t="s">
        <v>276</v>
      </c>
      <c r="B35" s="228">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4.5" thickBot="1">
      <c r="A36" s="230" t="s">
        <v>277</v>
      </c>
      <c r="B36" s="233">
        <v>1.4999999999999999E-2</v>
      </c>
      <c r="C36" s="2327" t="s">
        <v>2893</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
      <c r="A37" s="234" t="s">
        <v>280</v>
      </c>
      <c r="B37" s="235">
        <v>2.5000000000000001E-2</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
      <c r="A38" s="227" t="s">
        <v>281</v>
      </c>
      <c r="B38" s="232">
        <v>2.5000000000000001E-2</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
      <c r="A39" s="2451" t="s">
        <v>2454</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4.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5">
      <c r="A41" s="225" t="s">
        <v>282</v>
      </c>
      <c r="B41" s="237">
        <f>B42+B43</f>
        <v>6.1600000000000002E-2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
      <c r="A42" s="978" t="s">
        <v>283</v>
      </c>
      <c r="B42" s="239">
        <v>5.5E-2</v>
      </c>
      <c r="C42" s="3050">
        <f>IF(B2&lt;DATE(2016,5,1),0,B42)</f>
        <v>5.5E-2</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
      <c r="A43" s="978" t="s">
        <v>284</v>
      </c>
      <c r="B43" s="240">
        <f>B42*(B44+B45+B46)+B47</f>
        <v>6.6000000000000008E-3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
      <c r="A44" s="238" t="s">
        <v>285</v>
      </c>
      <c r="B44" s="241">
        <v>7.0000000000000007E-2</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
      <c r="A45" s="238" t="s">
        <v>286</v>
      </c>
      <c r="B45" s="239">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
      <c r="A46" s="238" t="s">
        <v>287</v>
      </c>
      <c r="B46" s="239">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4.5" thickBot="1">
      <c r="A47" s="242" t="s">
        <v>288</v>
      </c>
      <c r="B47" s="243">
        <v>0</v>
      </c>
      <c r="C47" s="3024"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
      <c r="A48" s="244" t="s">
        <v>289</v>
      </c>
      <c r="B48" s="245">
        <v>0.03</v>
      </c>
      <c r="C48" s="3025"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4.5" thickBot="1">
      <c r="A49" s="236" t="s">
        <v>290</v>
      </c>
      <c r="B49" s="239">
        <v>5.0000000000000001E-4</v>
      </c>
      <c r="C49" s="3025"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
      <c r="A52" s="246" t="s">
        <v>293</v>
      </c>
      <c r="B52" s="249">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
      <c r="A53" s="227" t="s">
        <v>294</v>
      </c>
      <c r="B53" s="250" t="s">
        <v>1409</v>
      </c>
      <c r="C53" s="3026" t="s">
        <v>2901</v>
      </c>
      <c r="D53" s="3027"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
      <c r="A54" s="3029" t="s">
        <v>2903</v>
      </c>
      <c r="B54" s="186">
        <f>C54</f>
        <v>30</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
      <c r="A55" s="3029" t="s">
        <v>2904</v>
      </c>
      <c r="B55" s="186">
        <f t="shared" ref="B55:B59" si="10">C55</f>
        <v>24</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
      <c r="A56" s="3029" t="s">
        <v>2905</v>
      </c>
      <c r="B56" s="186">
        <f t="shared" si="10"/>
        <v>18</v>
      </c>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
      <c r="A57" s="3029" t="s">
        <v>2906</v>
      </c>
      <c r="B57" s="186">
        <f t="shared" si="10"/>
        <v>12</v>
      </c>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
      <c r="A58" s="3029" t="s">
        <v>2907</v>
      </c>
      <c r="B58" s="186">
        <f t="shared" si="10"/>
        <v>3</v>
      </c>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
      <c r="A59" s="3029" t="s">
        <v>2908</v>
      </c>
      <c r="B59" s="186">
        <f t="shared" si="10"/>
        <v>1.5</v>
      </c>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
      <c r="A60" s="3029"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
      <c r="A61" s="3029"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
      <c r="A62" s="3029"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4.5" thickBot="1">
      <c r="A63" s="3030" t="s">
        <v>2912</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
  <cols>
    <col min="1" max="1" width="9.453125" style="1991" customWidth="1"/>
    <col min="2" max="2" width="24.453125" style="2006" customWidth="1"/>
    <col min="3" max="3" width="24.453125" style="2008" customWidth="1"/>
    <col min="4" max="4" width="2.6328125" style="2008" customWidth="1"/>
    <col min="5" max="5" width="5.90625" style="2008" customWidth="1"/>
    <col min="6" max="6" width="27" style="2006" customWidth="1"/>
    <col min="7" max="7" width="27" style="2007" customWidth="1"/>
    <col min="8" max="8" width="11.90625" style="2006" customWidth="1"/>
    <col min="9" max="9" width="16.81640625" style="2007" customWidth="1"/>
    <col min="10" max="10" width="2.6328125" style="2008" customWidth="1"/>
    <col min="11" max="11" width="11.90625" style="2006" customWidth="1"/>
    <col min="12" max="12" width="16.81640625" style="2007" customWidth="1"/>
    <col min="13" max="13" width="2.6328125" style="2008" customWidth="1"/>
    <col min="14" max="14" width="11.90625" style="2006" customWidth="1"/>
    <col min="15" max="15" width="16.81640625" style="2007" customWidth="1"/>
    <col min="16" max="16" width="2.6328125" style="2008" customWidth="1"/>
    <col min="17" max="17" width="11.90625" style="2006" customWidth="1"/>
    <col min="18" max="18" width="16.81640625" style="2009" customWidth="1"/>
    <col min="19" max="16384" width="9" style="1991"/>
  </cols>
  <sheetData>
    <row r="1" spans="1:18" s="1990" customFormat="1" ht="18" thickBot="1">
      <c r="A1" s="3292" t="s">
        <v>1663</v>
      </c>
      <c r="B1" s="3293"/>
      <c r="C1" s="3293"/>
      <c r="D1" s="3293"/>
      <c r="E1" s="3293"/>
      <c r="F1" s="3293"/>
      <c r="G1" s="3293"/>
      <c r="H1" s="1985"/>
      <c r="I1" s="1986"/>
      <c r="J1" s="1987"/>
      <c r="K1" s="1985"/>
      <c r="L1" s="1986"/>
      <c r="M1" s="1987"/>
      <c r="N1" s="1985"/>
      <c r="O1" s="1986"/>
      <c r="P1" s="1987"/>
      <c r="Q1" s="1988"/>
      <c r="R1" s="1989"/>
    </row>
    <row r="2" spans="1:18" ht="14.5" thickBot="1">
      <c r="A2" s="1216"/>
      <c r="B2" s="1217"/>
      <c r="C2" s="1218" t="s">
        <v>1664</v>
      </c>
      <c r="D2" s="1219"/>
      <c r="E2" s="1220"/>
      <c r="F2" s="1221"/>
      <c r="G2" s="1218" t="s">
        <v>1665</v>
      </c>
      <c r="H2" s="1991"/>
      <c r="I2" s="1991"/>
      <c r="J2" s="1991"/>
      <c r="K2" s="1991"/>
      <c r="L2" s="1991"/>
      <c r="M2" s="1991"/>
      <c r="N2" s="1991"/>
      <c r="O2" s="1991"/>
      <c r="P2" s="1991"/>
      <c r="Q2" s="1991"/>
      <c r="R2" s="1991"/>
    </row>
    <row r="3" spans="1:18" ht="56">
      <c r="A3" s="1222" t="s">
        <v>1666</v>
      </c>
      <c r="B3" s="1223" t="s">
        <v>1653</v>
      </c>
      <c r="C3" s="3031" t="s">
        <v>2919</v>
      </c>
      <c r="D3" s="1992"/>
      <c r="E3" s="1224" t="s">
        <v>1666</v>
      </c>
      <c r="F3" s="1225" t="s">
        <v>1654</v>
      </c>
      <c r="G3" s="3035" t="s">
        <v>2918</v>
      </c>
      <c r="H3" s="1991"/>
      <c r="I3" s="1991"/>
      <c r="J3" s="1991"/>
      <c r="K3" s="1991"/>
      <c r="L3" s="1991"/>
      <c r="M3" s="1991"/>
      <c r="N3" s="1991"/>
      <c r="O3" s="1991"/>
      <c r="P3" s="1991"/>
      <c r="Q3" s="1991"/>
      <c r="R3" s="1991"/>
    </row>
    <row r="4" spans="1:18" ht="42.5">
      <c r="A4" s="1224"/>
      <c r="B4" s="1226" t="s">
        <v>1667</v>
      </c>
      <c r="C4" s="3032" t="s">
        <v>2920</v>
      </c>
      <c r="D4" s="1992"/>
      <c r="E4" s="1227"/>
      <c r="F4" s="1228" t="s">
        <v>1668</v>
      </c>
      <c r="G4" s="3033" t="s">
        <v>2915</v>
      </c>
      <c r="H4" s="1991"/>
      <c r="I4" s="1991"/>
      <c r="J4" s="1991"/>
      <c r="K4" s="1991"/>
      <c r="L4" s="1991"/>
      <c r="M4" s="1991"/>
      <c r="N4" s="1991"/>
      <c r="O4" s="1991"/>
      <c r="P4" s="1991"/>
      <c r="Q4" s="1991"/>
      <c r="R4" s="1991"/>
    </row>
    <row r="5" spans="1:18" ht="42.5">
      <c r="A5" s="1224"/>
      <c r="B5" s="1226" t="s">
        <v>1669</v>
      </c>
      <c r="C5" s="3032" t="s">
        <v>2921</v>
      </c>
      <c r="D5" s="1992"/>
      <c r="E5" s="1227"/>
      <c r="F5" s="1226" t="s">
        <v>2544</v>
      </c>
      <c r="G5" s="3033" t="s">
        <v>2916</v>
      </c>
      <c r="H5" s="1991"/>
      <c r="I5" s="1991"/>
      <c r="J5" s="1991"/>
      <c r="K5" s="1991"/>
      <c r="L5" s="1991"/>
      <c r="M5" s="1991"/>
      <c r="N5" s="1991"/>
      <c r="O5" s="1991"/>
      <c r="P5" s="1991"/>
      <c r="Q5" s="1991"/>
      <c r="R5" s="1991"/>
    </row>
    <row r="6" spans="1:18" ht="56">
      <c r="A6" s="1224"/>
      <c r="B6" s="1226" t="s">
        <v>1655</v>
      </c>
      <c r="C6" s="3033" t="s">
        <v>2915</v>
      </c>
      <c r="D6" s="1992"/>
      <c r="E6" s="1227"/>
      <c r="F6" s="1226" t="s">
        <v>2545</v>
      </c>
      <c r="G6" s="3033" t="s">
        <v>2913</v>
      </c>
      <c r="H6" s="1991"/>
      <c r="I6" s="1991"/>
      <c r="J6" s="1991"/>
      <c r="K6" s="1991"/>
      <c r="L6" s="1991"/>
      <c r="M6" s="1991"/>
      <c r="N6" s="1991"/>
      <c r="O6" s="1991"/>
      <c r="P6" s="1991"/>
      <c r="Q6" s="1991"/>
      <c r="R6" s="1991"/>
    </row>
    <row r="7" spans="1:18" ht="42.5" thickBot="1">
      <c r="A7" s="1224"/>
      <c r="B7" s="1226" t="s">
        <v>2544</v>
      </c>
      <c r="C7" s="3033" t="s">
        <v>2916</v>
      </c>
      <c r="D7" s="1993"/>
      <c r="E7" s="1229"/>
      <c r="F7" s="1230" t="s">
        <v>1670</v>
      </c>
      <c r="G7" s="3036" t="s">
        <v>2917</v>
      </c>
      <c r="H7" s="1991"/>
      <c r="I7" s="1991"/>
      <c r="J7" s="1991"/>
      <c r="K7" s="1991"/>
      <c r="L7" s="1991"/>
      <c r="M7" s="1991"/>
      <c r="N7" s="1991"/>
      <c r="O7" s="1991"/>
      <c r="P7" s="1991"/>
      <c r="Q7" s="1991"/>
      <c r="R7" s="1991"/>
    </row>
    <row r="8" spans="1:18" ht="28">
      <c r="A8" s="1224"/>
      <c r="B8" s="1226" t="s">
        <v>2545</v>
      </c>
      <c r="C8" s="3033" t="s">
        <v>2913</v>
      </c>
      <c r="D8" s="1993"/>
      <c r="E8" s="1993"/>
      <c r="F8" s="1538"/>
      <c r="G8" s="1538"/>
      <c r="H8" s="1991"/>
      <c r="I8" s="1991"/>
      <c r="J8" s="1991"/>
      <c r="K8" s="1991"/>
      <c r="L8" s="1991"/>
      <c r="M8" s="1991"/>
      <c r="N8" s="1991"/>
      <c r="O8" s="1991"/>
      <c r="P8" s="1991"/>
      <c r="Q8" s="1991"/>
      <c r="R8" s="1991"/>
    </row>
    <row r="9" spans="1:18" ht="42">
      <c r="A9" s="1224"/>
      <c r="B9" s="1226" t="s">
        <v>1656</v>
      </c>
      <c r="C9" s="3032" t="s">
        <v>2914</v>
      </c>
      <c r="D9" s="1992"/>
      <c r="E9" s="1993"/>
      <c r="F9" s="1538"/>
      <c r="G9" s="1538"/>
      <c r="H9" s="1991"/>
      <c r="I9" s="1991"/>
      <c r="J9" s="1991"/>
      <c r="K9" s="1991"/>
      <c r="L9" s="1991"/>
      <c r="M9" s="1991"/>
      <c r="N9" s="1991"/>
      <c r="O9" s="1991"/>
      <c r="P9" s="1991"/>
      <c r="Q9" s="1991"/>
      <c r="R9" s="1991"/>
    </row>
    <row r="10" spans="1:18" s="1999" customFormat="1" ht="14.5" thickBot="1">
      <c r="A10" s="1231"/>
      <c r="B10" s="1232"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5">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4.5" thickBot="1">
      <c r="A14" s="1233"/>
      <c r="B14" s="1234"/>
      <c r="C14" s="1235" t="s">
        <v>1664</v>
      </c>
      <c r="D14" s="1992"/>
      <c r="E14" s="1236"/>
      <c r="F14" s="1236"/>
      <c r="G14" s="1218" t="s">
        <v>1665</v>
      </c>
    </row>
    <row r="15" spans="1:18" ht="56">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2">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2">
      <c r="A17" s="2551"/>
      <c r="B17" s="1240" t="s">
        <v>1669</v>
      </c>
      <c r="C17" s="1241" t="str">
        <f>C5</f>
        <v>估价对象位于XX商圈，周边办公楼项目较多，入驻率高，办公集聚程度较好</v>
      </c>
      <c r="D17" s="1993"/>
      <c r="E17" s="2548"/>
      <c r="F17" s="1242" t="s">
        <v>1674</v>
      </c>
      <c r="G17" s="2748"/>
    </row>
    <row r="18" spans="1:7" ht="56">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8">
      <c r="A19" s="2551"/>
      <c r="B19" s="1242" t="s">
        <v>1659</v>
      </c>
      <c r="C19" s="2748"/>
      <c r="D19" s="1992"/>
      <c r="E19" s="2548"/>
      <c r="F19" s="1226" t="s">
        <v>2544</v>
      </c>
      <c r="G19" s="1004" t="str">
        <f>G5</f>
        <v>估价对象所在区域公共配套设施齐备情况</v>
      </c>
    </row>
    <row r="20" spans="1:7" ht="42">
      <c r="A20" s="2551"/>
      <c r="B20" s="1242" t="s">
        <v>1660</v>
      </c>
      <c r="C20" s="1241" t="str">
        <f>C9</f>
        <v>区域自然环境：；人文环境；综合评价环境状况一般</v>
      </c>
      <c r="D20" s="1993"/>
      <c r="E20" s="2548"/>
      <c r="F20" s="1226" t="s">
        <v>2545</v>
      </c>
      <c r="G20" s="1004" t="str">
        <f>G6</f>
        <v>估价对象所在区域基础设施水平</v>
      </c>
    </row>
    <row r="21" spans="1:7" ht="28">
      <c r="A21" s="2551"/>
      <c r="B21" s="1226" t="s">
        <v>2544</v>
      </c>
      <c r="C21" s="1004" t="str">
        <f>C7</f>
        <v>估价对象所在区域公共配套设施齐备情况</v>
      </c>
      <c r="D21" s="1992"/>
      <c r="E21" s="2548"/>
      <c r="F21" s="1242" t="s">
        <v>1661</v>
      </c>
      <c r="G21" s="3037"/>
    </row>
    <row r="22" spans="1:7" ht="28">
      <c r="A22" s="2551"/>
      <c r="B22" s="1226" t="s">
        <v>2545</v>
      </c>
      <c r="C22" s="1004" t="str">
        <f>C8</f>
        <v>估价对象所在区域基础设施水平</v>
      </c>
      <c r="D22" s="1992"/>
      <c r="E22" s="2548"/>
      <c r="F22" s="1242" t="s">
        <v>1671</v>
      </c>
      <c r="G22" s="2748"/>
    </row>
    <row r="23" spans="1:7" ht="14.5" thickBot="1">
      <c r="A23" s="2551"/>
      <c r="B23" s="1242" t="s">
        <v>1661</v>
      </c>
      <c r="C23" s="3037"/>
      <c r="E23" s="2549"/>
      <c r="F23" s="1243" t="s">
        <v>1675</v>
      </c>
      <c r="G23" s="3038"/>
    </row>
    <row r="24" spans="1:7" ht="14.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14" sqref="B14"/>
    </sheetView>
  </sheetViews>
  <sheetFormatPr defaultColWidth="14.6328125" defaultRowHeight="14"/>
  <cols>
    <col min="1" max="1" width="24.36328125" customWidth="1"/>
  </cols>
  <sheetData>
    <row r="1" spans="1:9" ht="16.5">
      <c r="A1" s="2995" t="s">
        <v>2840</v>
      </c>
      <c r="B1" s="2995">
        <f>SUM(B14:B23)</f>
        <v>189603.41999999995</v>
      </c>
      <c r="C1" s="2996"/>
      <c r="D1" s="2996"/>
      <c r="E1" s="2996"/>
      <c r="F1" s="2996"/>
    </row>
    <row r="2" spans="1:9" ht="16.5">
      <c r="A2" s="2995" t="s">
        <v>2841</v>
      </c>
      <c r="B2" s="2995">
        <f>SUM(C14:C23)</f>
        <v>97560.5</v>
      </c>
      <c r="C2" s="2996"/>
      <c r="D2" s="2996"/>
      <c r="E2" s="2996"/>
      <c r="F2" s="2996"/>
    </row>
    <row r="3" spans="1:9" ht="16.5">
      <c r="A3" s="2995" t="s">
        <v>2842</v>
      </c>
      <c r="B3" s="2997">
        <f>项目基本情况!D3</f>
        <v>43873</v>
      </c>
      <c r="C3" s="2996"/>
      <c r="D3" s="2996"/>
      <c r="E3" s="2996"/>
      <c r="F3" s="2996"/>
    </row>
    <row r="4" spans="1:9" ht="33">
      <c r="A4" s="2995" t="s">
        <v>2843</v>
      </c>
      <c r="B4" s="2995" t="s">
        <v>2844</v>
      </c>
      <c r="C4" s="2995" t="s">
        <v>2845</v>
      </c>
      <c r="D4" s="2995" t="s">
        <v>2846</v>
      </c>
      <c r="E4" s="2996"/>
      <c r="F4" s="2996"/>
    </row>
    <row r="5" spans="1:9" ht="16.5">
      <c r="A5" s="2995" t="s">
        <v>2847</v>
      </c>
      <c r="B5" s="2995">
        <f ca="1">SUM(D14:D23)</f>
        <v>297311</v>
      </c>
      <c r="C5" s="2995">
        <f ca="1">ROUND(B5*10000/$B$1,0)</f>
        <v>15681</v>
      </c>
      <c r="D5" s="2995">
        <f ca="1">ROUND(B5*10000/$B$2,0)</f>
        <v>30475</v>
      </c>
      <c r="E5" s="2996"/>
      <c r="F5" s="2996"/>
    </row>
    <row r="6" spans="1:9" ht="16.5">
      <c r="A6" s="2995" t="s">
        <v>2848</v>
      </c>
      <c r="B6" s="2995">
        <f ca="1">SUM(G14:G23)</f>
        <v>263425</v>
      </c>
      <c r="C6" s="2995">
        <f t="shared" ref="C6:C8" ca="1" si="0">ROUND(B6*10000/$B$1,0)</f>
        <v>13893</v>
      </c>
      <c r="D6" s="2995">
        <f t="shared" ref="D6:D8" ca="1" si="1">ROUND(B6*10000/$B$2,0)</f>
        <v>27001</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189603.41999999995</v>
      </c>
      <c r="C14" s="2999">
        <f>结果表!K38</f>
        <v>97560.5</v>
      </c>
      <c r="D14" s="2999">
        <f ca="1">结果表!C42</f>
        <v>297311</v>
      </c>
      <c r="E14" s="2999">
        <f ca="1">ROUND(D14*10000/B14,0)</f>
        <v>15681</v>
      </c>
      <c r="F14" s="2999">
        <f ca="1">ROUND(D14*10000/C14,0)</f>
        <v>30475</v>
      </c>
      <c r="G14" s="2999">
        <f ca="1">结果表!C44</f>
        <v>263425</v>
      </c>
      <c r="H14" s="2999" t="str">
        <f>结果表!C45</f>
        <v>——</v>
      </c>
      <c r="I14" s="2999" t="str">
        <f>结果表!C46</f>
        <v>——</v>
      </c>
    </row>
    <row r="15" spans="1:9" ht="16.5">
      <c r="A15" s="3002" t="s">
        <v>2857</v>
      </c>
      <c r="B15" s="3003"/>
      <c r="C15" s="3003"/>
      <c r="D15" s="3003"/>
      <c r="E15" s="2999" t="e">
        <f t="shared" ref="E15:E23" si="2">ROUND(D15*10000/B15,0)</f>
        <v>#DIV/0!</v>
      </c>
      <c r="F15" s="2999" t="e">
        <f t="shared" ref="F15:F23" si="3">ROUND(D15*10000/C15,0)</f>
        <v>#DIV/0!</v>
      </c>
      <c r="G15" s="3000"/>
      <c r="H15" s="3000"/>
      <c r="I15" s="3003"/>
    </row>
    <row r="16" spans="1:9" ht="16.5">
      <c r="A16" s="3002" t="s">
        <v>2858</v>
      </c>
      <c r="B16" s="3003"/>
      <c r="C16" s="3003"/>
      <c r="D16" s="3003"/>
      <c r="E16" s="2999" t="e">
        <f t="shared" si="2"/>
        <v>#DIV/0!</v>
      </c>
      <c r="F16" s="2999" t="e">
        <f t="shared" si="3"/>
        <v>#DIV/0!</v>
      </c>
      <c r="G16" s="3000"/>
      <c r="H16" s="3000"/>
      <c r="I16" s="3003"/>
    </row>
    <row r="17" spans="1:9" ht="16.5">
      <c r="A17" s="3002" t="s">
        <v>2859</v>
      </c>
      <c r="B17" s="3003"/>
      <c r="C17" s="3003"/>
      <c r="D17" s="3003"/>
      <c r="E17" s="2999" t="e">
        <f t="shared" si="2"/>
        <v>#DIV/0!</v>
      </c>
      <c r="F17" s="2999" t="e">
        <f t="shared" si="3"/>
        <v>#DIV/0!</v>
      </c>
      <c r="G17" s="3000"/>
      <c r="H17" s="3000"/>
      <c r="I17" s="3003"/>
    </row>
    <row r="18" spans="1:9" ht="16.5">
      <c r="A18" s="3002" t="s">
        <v>2860</v>
      </c>
      <c r="B18" s="3003"/>
      <c r="C18" s="3003"/>
      <c r="D18" s="3003"/>
      <c r="E18" s="2999" t="e">
        <f t="shared" si="2"/>
        <v>#DIV/0!</v>
      </c>
      <c r="F18" s="2999" t="e">
        <f t="shared" si="3"/>
        <v>#DIV/0!</v>
      </c>
      <c r="G18" s="3003"/>
      <c r="H18" s="3003"/>
      <c r="I18" s="3003"/>
    </row>
    <row r="19" spans="1:9" ht="16.5">
      <c r="A19" s="3002" t="s">
        <v>2861</v>
      </c>
      <c r="B19" s="3003"/>
      <c r="C19" s="3003"/>
      <c r="D19" s="3003"/>
      <c r="E19" s="2999" t="e">
        <f t="shared" si="2"/>
        <v>#DIV/0!</v>
      </c>
      <c r="F19" s="2999" t="e">
        <f t="shared" si="3"/>
        <v>#DIV/0!</v>
      </c>
      <c r="G19" s="3003"/>
      <c r="H19" s="3003"/>
      <c r="I19" s="3003"/>
    </row>
    <row r="20" spans="1:9" ht="16.5">
      <c r="A20" s="3002" t="s">
        <v>2862</v>
      </c>
      <c r="B20" s="3003"/>
      <c r="C20" s="3003"/>
      <c r="D20" s="3003"/>
      <c r="E20" s="2999" t="e">
        <f t="shared" si="2"/>
        <v>#DIV/0!</v>
      </c>
      <c r="F20" s="2999" t="e">
        <f t="shared" si="3"/>
        <v>#DIV/0!</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zoomScaleNormal="100" zoomScaleSheetLayoutView="100" zoomScalePageLayoutView="80" workbookViewId="0">
      <selection activeCell="H23" sqref="H23"/>
    </sheetView>
  </sheetViews>
  <sheetFormatPr defaultColWidth="12.6328125" defaultRowHeight="21.75" customHeight="1"/>
  <cols>
    <col min="1" max="2" width="12.81640625" style="1245" bestFit="1" customWidth="1"/>
    <col min="3" max="4" width="12.6328125" style="1245" customWidth="1"/>
    <col min="5" max="9" width="12.81640625" style="1245" bestFit="1" customWidth="1"/>
    <col min="10" max="10" width="2.1796875" style="256" customWidth="1"/>
    <col min="11" max="12" width="12.6328125" style="256" customWidth="1"/>
    <col min="13" max="13" width="12.6328125" style="256"/>
    <col min="14" max="14" width="15.6328125" style="256" bestFit="1" customWidth="1"/>
    <col min="15" max="19" width="12.81640625" style="256" bestFit="1" customWidth="1"/>
    <col min="20" max="26" width="12.6328125" style="256"/>
    <col min="27" max="16384" width="12.6328125" style="1245"/>
  </cols>
  <sheetData>
    <row r="1" spans="1:22" ht="21.75" customHeight="1" thickBot="1">
      <c r="A1" s="1759" t="s">
        <v>2053</v>
      </c>
      <c r="B1" s="1760"/>
      <c r="C1" s="1788" t="s">
        <v>2054</v>
      </c>
      <c r="D1" s="1789" t="s">
        <v>3000</v>
      </c>
      <c r="E1" s="1788" t="s">
        <v>2055</v>
      </c>
      <c r="F1" s="1790" t="s">
        <v>3001</v>
      </c>
      <c r="G1" s="310"/>
      <c r="H1" s="310"/>
      <c r="I1" s="310"/>
      <c r="J1" s="2012"/>
      <c r="K1" s="2012"/>
      <c r="L1" s="2012"/>
      <c r="M1" s="2012"/>
      <c r="N1" s="2012"/>
      <c r="O1" s="2012"/>
      <c r="P1" s="2012"/>
      <c r="Q1" s="2012"/>
      <c r="R1" s="2012"/>
      <c r="S1" s="2012"/>
      <c r="T1" s="2012"/>
      <c r="U1" s="2012"/>
      <c r="V1" s="2012"/>
    </row>
    <row r="2" spans="1:22" ht="21.75" customHeight="1" thickBot="1">
      <c r="A2" s="3330" t="str">
        <f>项目基本情况!K2</f>
        <v>出让国有建设用地使用权</v>
      </c>
      <c r="B2" s="3331"/>
      <c r="C2" s="3332"/>
      <c r="D2" s="3332"/>
      <c r="E2" s="3332"/>
      <c r="F2" s="3332"/>
      <c r="G2" s="3331"/>
      <c r="H2" s="3331"/>
      <c r="I2" s="3333"/>
      <c r="J2" s="2013"/>
      <c r="K2" s="2012"/>
      <c r="L2" s="2012"/>
      <c r="M2" s="2012"/>
      <c r="N2" s="2012"/>
      <c r="O2" s="2012"/>
      <c r="P2" s="2012"/>
      <c r="Q2" s="2012"/>
      <c r="R2" s="2012"/>
      <c r="S2" s="2012"/>
      <c r="T2" s="2012"/>
      <c r="U2" s="2012"/>
      <c r="V2" s="2012"/>
    </row>
    <row r="3" spans="1:22" ht="14">
      <c r="A3" s="3323" t="s">
        <v>298</v>
      </c>
      <c r="B3" s="3324"/>
      <c r="C3" s="3324"/>
      <c r="D3" s="3324"/>
      <c r="E3" s="3324"/>
      <c r="F3" s="3324"/>
      <c r="G3" s="3324"/>
      <c r="H3" s="3324"/>
      <c r="I3" s="3324"/>
      <c r="J3" s="2013"/>
      <c r="K3" s="2012"/>
      <c r="L3" s="2012"/>
      <c r="M3" s="2012"/>
      <c r="N3" s="2012"/>
      <c r="O3" s="2012"/>
      <c r="P3" s="2012"/>
      <c r="Q3" s="2012"/>
      <c r="R3" s="2012"/>
      <c r="S3" s="2012"/>
      <c r="T3" s="2012"/>
      <c r="U3" s="2012"/>
      <c r="V3" s="2012"/>
    </row>
    <row r="4" spans="1:22" ht="14">
      <c r="A4" s="257" t="s">
        <v>299</v>
      </c>
      <c r="B4" s="258" t="s">
        <v>300</v>
      </c>
      <c r="C4" s="259" t="s">
        <v>2998</v>
      </c>
      <c r="D4" s="259" t="s">
        <v>2999</v>
      </c>
      <c r="E4" s="3295" t="s">
        <v>301</v>
      </c>
      <c r="F4" s="3296"/>
      <c r="G4" s="3296"/>
      <c r="H4" s="3296"/>
      <c r="I4" s="3325"/>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
      <c r="A5" s="3294" t="s">
        <v>302</v>
      </c>
      <c r="B5" s="3320">
        <v>25</v>
      </c>
      <c r="C5" s="3318"/>
      <c r="D5" s="3322"/>
      <c r="E5" s="260" t="s">
        <v>303</v>
      </c>
      <c r="F5" s="261"/>
      <c r="G5" s="261"/>
      <c r="H5" s="261"/>
      <c r="I5" s="262"/>
      <c r="J5" s="2013"/>
      <c r="K5" s="2012"/>
      <c r="L5" s="2012"/>
      <c r="M5" s="2012"/>
      <c r="N5" s="2012"/>
      <c r="O5" s="2012"/>
      <c r="P5" s="2012"/>
      <c r="Q5" s="2012"/>
      <c r="R5" s="2012"/>
      <c r="S5" s="2012"/>
      <c r="T5" s="2012"/>
      <c r="U5" s="2012"/>
      <c r="V5" s="2012"/>
    </row>
    <row r="6" spans="1:22" ht="14">
      <c r="A6" s="3294"/>
      <c r="B6" s="3320"/>
      <c r="C6" s="3321"/>
      <c r="D6" s="3322"/>
      <c r="E6" s="260" t="s">
        <v>304</v>
      </c>
      <c r="F6" s="261"/>
      <c r="G6" s="261"/>
      <c r="H6" s="261"/>
      <c r="I6" s="262"/>
      <c r="J6" s="2013"/>
      <c r="K6" s="2012"/>
      <c r="L6" s="2012"/>
      <c r="M6" s="2012"/>
      <c r="N6" s="2012"/>
      <c r="O6" s="2012"/>
      <c r="P6" s="2012"/>
      <c r="Q6" s="2012"/>
      <c r="R6" s="2012"/>
      <c r="S6" s="2012"/>
      <c r="T6" s="2012"/>
      <c r="U6" s="2012"/>
      <c r="V6" s="2012"/>
    </row>
    <row r="7" spans="1:22" ht="14">
      <c r="A7" s="3294"/>
      <c r="B7" s="3320"/>
      <c r="C7" s="3319"/>
      <c r="D7" s="3322"/>
      <c r="E7" s="260" t="s">
        <v>305</v>
      </c>
      <c r="F7" s="261"/>
      <c r="G7" s="261"/>
      <c r="H7" s="261"/>
      <c r="I7" s="262"/>
      <c r="J7" s="2013"/>
      <c r="K7" s="2012"/>
      <c r="L7" s="2012"/>
      <c r="M7" s="2012"/>
      <c r="N7" s="2012"/>
      <c r="O7" s="2012"/>
      <c r="P7" s="2012"/>
      <c r="Q7" s="2012"/>
      <c r="R7" s="2012"/>
      <c r="S7" s="2012"/>
      <c r="T7" s="2012"/>
      <c r="U7" s="2012"/>
      <c r="V7" s="2012"/>
    </row>
    <row r="8" spans="1:22" ht="14">
      <c r="A8" s="3294" t="s">
        <v>306</v>
      </c>
      <c r="B8" s="3320">
        <v>15</v>
      </c>
      <c r="C8" s="3318"/>
      <c r="D8" s="3322"/>
      <c r="E8" s="260" t="s">
        <v>307</v>
      </c>
      <c r="F8" s="261"/>
      <c r="G8" s="261"/>
      <c r="H8" s="261"/>
      <c r="I8" s="262"/>
      <c r="J8" s="2013"/>
      <c r="K8" s="2012"/>
      <c r="L8" s="2012"/>
      <c r="M8" s="2012"/>
      <c r="N8" s="2012"/>
      <c r="O8" s="2012"/>
      <c r="P8" s="2012"/>
      <c r="Q8" s="2012"/>
      <c r="R8" s="2012"/>
      <c r="S8" s="2012"/>
      <c r="T8" s="2012"/>
      <c r="U8" s="2012"/>
      <c r="V8" s="2012"/>
    </row>
    <row r="9" spans="1:22" ht="14">
      <c r="A9" s="3294"/>
      <c r="B9" s="3320"/>
      <c r="C9" s="3319"/>
      <c r="D9" s="3322"/>
      <c r="E9" s="260" t="s">
        <v>308</v>
      </c>
      <c r="F9" s="261"/>
      <c r="G9" s="261"/>
      <c r="H9" s="261"/>
      <c r="I9" s="262"/>
      <c r="J9" s="2013"/>
      <c r="K9" s="2012"/>
      <c r="L9" s="2012"/>
      <c r="M9" s="2012"/>
      <c r="N9" s="2012"/>
      <c r="O9" s="2012"/>
      <c r="P9" s="2012"/>
      <c r="Q9" s="2012"/>
      <c r="R9" s="2012"/>
      <c r="S9" s="2012"/>
      <c r="T9" s="2012"/>
      <c r="U9" s="2012"/>
      <c r="V9" s="2012"/>
    </row>
    <row r="10" spans="1:22" ht="14">
      <c r="A10" s="3294" t="s">
        <v>309</v>
      </c>
      <c r="B10" s="3320">
        <v>15</v>
      </c>
      <c r="C10" s="3318"/>
      <c r="D10" s="3322"/>
      <c r="E10" s="260" t="s">
        <v>310</v>
      </c>
      <c r="F10" s="261"/>
      <c r="G10" s="261"/>
      <c r="H10" s="261"/>
      <c r="I10" s="262"/>
      <c r="J10" s="2013"/>
      <c r="K10" s="2012"/>
      <c r="L10" s="2012"/>
      <c r="M10" s="2012"/>
      <c r="N10" s="2012"/>
      <c r="O10" s="2012"/>
      <c r="P10" s="2012"/>
      <c r="Q10" s="2012"/>
      <c r="R10" s="2012"/>
      <c r="S10" s="2012"/>
      <c r="T10" s="2012"/>
      <c r="U10" s="2012"/>
      <c r="V10" s="2012"/>
    </row>
    <row r="11" spans="1:22" ht="14">
      <c r="A11" s="3294"/>
      <c r="B11" s="3320"/>
      <c r="C11" s="3319"/>
      <c r="D11" s="3322"/>
      <c r="E11" s="260" t="s">
        <v>311</v>
      </c>
      <c r="F11" s="261"/>
      <c r="G11" s="261"/>
      <c r="H11" s="261"/>
      <c r="I11" s="262"/>
      <c r="J11" s="2013"/>
      <c r="K11" s="2012"/>
      <c r="L11" s="2012"/>
      <c r="M11" s="2012"/>
      <c r="N11" s="2012"/>
      <c r="O11" s="2012"/>
      <c r="P11" s="2012"/>
      <c r="Q11" s="2012"/>
      <c r="R11" s="2012"/>
      <c r="S11" s="2012"/>
      <c r="T11" s="2012"/>
      <c r="U11" s="2012"/>
      <c r="V11" s="2012"/>
    </row>
    <row r="12" spans="1:22" ht="14">
      <c r="A12" s="3294" t="s">
        <v>312</v>
      </c>
      <c r="B12" s="3320">
        <v>15</v>
      </c>
      <c r="C12" s="3318"/>
      <c r="D12" s="3322"/>
      <c r="E12" s="260" t="s">
        <v>313</v>
      </c>
      <c r="F12" s="261"/>
      <c r="G12" s="261"/>
      <c r="H12" s="261"/>
      <c r="I12" s="262"/>
      <c r="J12" s="2013"/>
      <c r="K12" s="2012"/>
      <c r="L12" s="2012"/>
      <c r="M12" s="2012"/>
      <c r="N12" s="2012"/>
      <c r="O12" s="2012"/>
      <c r="P12" s="2012"/>
      <c r="Q12" s="2012"/>
      <c r="R12" s="2012"/>
      <c r="S12" s="2012"/>
      <c r="T12" s="2012"/>
      <c r="U12" s="2012"/>
      <c r="V12" s="2012"/>
    </row>
    <row r="13" spans="1:22" ht="14">
      <c r="A13" s="3294"/>
      <c r="B13" s="3320"/>
      <c r="C13" s="3319"/>
      <c r="D13" s="3322"/>
      <c r="E13" s="260" t="s">
        <v>314</v>
      </c>
      <c r="F13" s="261"/>
      <c r="G13" s="261"/>
      <c r="H13" s="261"/>
      <c r="I13" s="262"/>
      <c r="J13" s="2013"/>
      <c r="K13" s="2012"/>
      <c r="L13" s="2012"/>
      <c r="M13" s="2012"/>
      <c r="N13" s="2012"/>
      <c r="O13" s="2012"/>
      <c r="P13" s="2012"/>
      <c r="Q13" s="2012"/>
      <c r="R13" s="2012"/>
      <c r="S13" s="2012"/>
      <c r="T13" s="2012"/>
      <c r="U13" s="2012"/>
      <c r="V13" s="2012"/>
    </row>
    <row r="14" spans="1:22" ht="14">
      <c r="A14" s="3294" t="s">
        <v>315</v>
      </c>
      <c r="B14" s="3320">
        <v>30</v>
      </c>
      <c r="C14" s="3318">
        <v>5</v>
      </c>
      <c r="D14" s="3322">
        <v>5</v>
      </c>
      <c r="E14" s="260" t="s">
        <v>316</v>
      </c>
      <c r="F14" s="261"/>
      <c r="G14" s="261"/>
      <c r="H14" s="261"/>
      <c r="I14" s="262"/>
      <c r="J14" s="2013"/>
      <c r="K14" s="2012"/>
      <c r="L14" s="2012"/>
      <c r="M14" s="2012"/>
      <c r="N14" s="2012"/>
      <c r="O14" s="2012"/>
      <c r="P14" s="2012"/>
      <c r="Q14" s="2012"/>
      <c r="R14" s="2012"/>
      <c r="S14" s="2012"/>
      <c r="T14" s="2012"/>
      <c r="U14" s="2012"/>
      <c r="V14" s="2012"/>
    </row>
    <row r="15" spans="1:22" ht="14">
      <c r="A15" s="3294"/>
      <c r="B15" s="3320"/>
      <c r="C15" s="3321"/>
      <c r="D15" s="3322"/>
      <c r="E15" s="260" t="s">
        <v>317</v>
      </c>
      <c r="F15" s="261"/>
      <c r="G15" s="261"/>
      <c r="H15" s="261"/>
      <c r="I15" s="262"/>
      <c r="J15" s="2013"/>
      <c r="K15" s="2012"/>
      <c r="L15" s="2012"/>
      <c r="M15" s="2012"/>
      <c r="N15" s="2012"/>
      <c r="O15" s="2012"/>
      <c r="P15" s="2012"/>
      <c r="Q15" s="2012"/>
      <c r="R15" s="2012"/>
      <c r="S15" s="2012"/>
      <c r="T15" s="2012"/>
      <c r="U15" s="2012"/>
      <c r="V15" s="2012"/>
    </row>
    <row r="16" spans="1:22" ht="14">
      <c r="A16" s="3294"/>
      <c r="B16" s="3320"/>
      <c r="C16" s="3319"/>
      <c r="D16" s="3322"/>
      <c r="E16" s="260" t="s">
        <v>318</v>
      </c>
      <c r="F16" s="261"/>
      <c r="G16" s="261"/>
      <c r="H16" s="261"/>
      <c r="I16" s="262"/>
      <c r="J16" s="2013"/>
      <c r="K16" s="2012"/>
      <c r="L16" s="2012"/>
      <c r="M16" s="2012"/>
      <c r="N16" s="2012"/>
      <c r="O16" s="2012"/>
      <c r="P16" s="2012"/>
      <c r="Q16" s="2012"/>
      <c r="R16" s="2012"/>
      <c r="S16" s="2012"/>
      <c r="T16" s="2012"/>
      <c r="U16" s="2012"/>
      <c r="V16" s="2012"/>
    </row>
    <row r="17" spans="1:26" ht="14">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4.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4">
      <c r="A19" s="267" t="s">
        <v>321</v>
      </c>
      <c r="B19" s="268" t="s">
        <v>322</v>
      </c>
      <c r="C19" s="269">
        <f ca="1">SUMIF(INDIRECT("'"&amp;C4&amp;"'"&amp;"!A:A"),结果表!B19,INDIRECT("'"&amp;C4&amp;"'"&amp;"!B:B"))</f>
        <v>280099</v>
      </c>
      <c r="D19" s="270">
        <f ca="1">SUMIF(INDIRECT("'"&amp;D4&amp;"'"&amp;"!A:A"),结果表!B19,INDIRECT("'"&amp;D4&amp;"'"&amp;"!B:B"))</f>
        <v>314523</v>
      </c>
      <c r="E19" s="267" t="s">
        <v>323</v>
      </c>
      <c r="F19" s="268" t="s">
        <v>322</v>
      </c>
      <c r="G19" s="271">
        <f ca="1">ROUND(C19*$C$18+D19*$D$18,0)</f>
        <v>297311</v>
      </c>
      <c r="H19" s="272" t="s">
        <v>324</v>
      </c>
      <c r="I19" s="310"/>
      <c r="J19" s="2012"/>
      <c r="K19" s="2012"/>
      <c r="L19" s="2012"/>
      <c r="M19" s="2012"/>
      <c r="N19" s="2012"/>
      <c r="O19" s="2012"/>
      <c r="P19" s="2012"/>
      <c r="Q19" s="2012"/>
      <c r="R19" s="2012"/>
      <c r="S19" s="2012"/>
      <c r="T19" s="2012"/>
      <c r="U19" s="2012"/>
      <c r="V19" s="2012"/>
    </row>
    <row r="20" spans="1:26" ht="14">
      <c r="A20" s="273"/>
      <c r="B20" s="274" t="s">
        <v>325</v>
      </c>
      <c r="C20" s="275">
        <f ca="1">SUMIF(INDIRECT("'"&amp;C4&amp;"'"&amp;"!A:A"),结果表!B20,INDIRECT("'"&amp;C4&amp;"'"&amp;"!B:B"))</f>
        <v>14773</v>
      </c>
      <c r="D20" s="276">
        <f ca="1">SUMIF(INDIRECT("'"&amp;D4&amp;"'"&amp;"!A:A"),结果表!B20,INDIRECT("'"&amp;D4&amp;"'"&amp;"!B:B"))</f>
        <v>16588</v>
      </c>
      <c r="E20" s="273"/>
      <c r="F20" s="274" t="s">
        <v>325</v>
      </c>
      <c r="G20" s="277">
        <f ca="1">ROUND(C20*$C$18+D20*$D$18,0)</f>
        <v>15681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28710</v>
      </c>
      <c r="D21" s="151">
        <f ca="1">SUMIF(INDIRECT("'"&amp;D4&amp;"'"&amp;"!A:A"),结果表!B21,INDIRECT("'"&amp;D4&amp;"'"&amp;"!B:B"))</f>
        <v>32239</v>
      </c>
      <c r="E21" s="273"/>
      <c r="F21" s="279" t="s">
        <v>327</v>
      </c>
      <c r="G21" s="281">
        <f ca="1">ROUND(C21*$C$18+D21*$D$18,0)</f>
        <v>30475</v>
      </c>
      <c r="H21" s="1246" t="s">
        <v>326</v>
      </c>
      <c r="I21" s="310"/>
      <c r="J21" s="2012"/>
      <c r="K21" s="2012"/>
      <c r="L21" s="2012"/>
      <c r="M21" s="2012"/>
      <c r="N21" s="2012"/>
      <c r="O21" s="2012"/>
      <c r="P21" s="2012"/>
      <c r="Q21" s="2012"/>
      <c r="R21" s="2012"/>
      <c r="S21" s="2012"/>
      <c r="T21" s="2012"/>
      <c r="U21" s="2012"/>
      <c r="V21" s="2012"/>
    </row>
    <row r="22" spans="1:26" ht="14.5" thickBot="1">
      <c r="A22" s="126" t="s">
        <v>328</v>
      </c>
      <c r="B22" s="1247"/>
      <c r="C22" s="1248"/>
      <c r="D22" s="282">
        <f ca="1">IF(C19&lt;D19,D19/C19-1,C19/D19-1)</f>
        <v>0.12289940342521755</v>
      </c>
      <c r="E22" s="283"/>
      <c r="F22" s="284"/>
      <c r="G22" s="285">
        <f ca="1">ROUND(G19/('数据-汇总表'!D3/666.67),0)</f>
        <v>2032</v>
      </c>
      <c r="H22" s="286" t="s">
        <v>329</v>
      </c>
      <c r="I22" s="310"/>
      <c r="J22" s="2012"/>
      <c r="K22" s="2012">
        <f ca="1">G22*基准地价!C21</f>
        <v>2887.0655999999999</v>
      </c>
      <c r="L22" s="2012"/>
      <c r="M22" s="2012"/>
      <c r="N22" s="2012"/>
      <c r="O22" s="2012"/>
      <c r="P22" s="2012"/>
      <c r="Q22" s="2012"/>
      <c r="R22" s="2012"/>
      <c r="S22" s="2012"/>
      <c r="T22" s="2012"/>
      <c r="U22" s="2012"/>
      <c r="V22" s="2012"/>
    </row>
    <row r="23" spans="1:26" ht="13"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4.5" thickBot="1">
      <c r="A24" s="3300"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7.5">
      <c r="A25" s="3301"/>
      <c r="B25" s="1316" t="s">
        <v>331</v>
      </c>
      <c r="C25" s="289">
        <f>IF(B30=0,0,C30)</f>
        <v>0</v>
      </c>
      <c r="D25" s="290"/>
      <c r="E25" s="310"/>
      <c r="F25" s="310"/>
      <c r="G25" s="310"/>
      <c r="H25" s="310"/>
      <c r="I25" s="310"/>
      <c r="J25" s="2012"/>
      <c r="K25" s="1250" t="str">
        <f ca="1">项目基本情况!B16&amp;"国有建设用地使用权价格："&amp;O38&amp;"万元"</f>
        <v>出让国有建设用地使用权价格：297311万元</v>
      </c>
      <c r="L25" s="1251"/>
      <c r="M25" s="1251"/>
      <c r="N25" s="1251"/>
      <c r="O25" s="1252"/>
      <c r="P25" s="2012"/>
      <c r="Q25" s="2012"/>
      <c r="R25" s="2012"/>
      <c r="S25" s="2012"/>
      <c r="T25" s="2012"/>
      <c r="U25" s="2012"/>
      <c r="V25" s="2012"/>
    </row>
    <row r="26" spans="1:26" s="1249" customFormat="1" ht="17.5">
      <c r="A26" s="292" t="s">
        <v>332</v>
      </c>
      <c r="B26" s="293" t="s">
        <v>333</v>
      </c>
      <c r="C26" s="293" t="s">
        <v>334</v>
      </c>
      <c r="D26" s="294" t="s">
        <v>335</v>
      </c>
      <c r="E26" s="310"/>
      <c r="F26" s="310"/>
      <c r="G26" s="310"/>
      <c r="H26" s="310"/>
      <c r="I26" s="310"/>
      <c r="J26" s="2012"/>
      <c r="K26" s="1253" t="str">
        <f ca="1">"大写金额：人民币"&amp;NUMBERSTRING(INT(O38*10000),2)&amp;"元整"</f>
        <v>大写金额：人民币贰拾玖亿柒仟叁佰壹拾壹万元整</v>
      </c>
      <c r="L26" s="1247"/>
      <c r="M26" s="1247"/>
      <c r="N26" s="1247"/>
      <c r="O26" s="1246"/>
      <c r="P26" s="2012"/>
      <c r="Q26" s="2012"/>
      <c r="R26" s="2012"/>
      <c r="S26" s="2012"/>
      <c r="T26" s="2012"/>
      <c r="U26" s="2012"/>
      <c r="V26" s="2012"/>
      <c r="W26" s="291"/>
      <c r="X26" s="291"/>
      <c r="Y26" s="291"/>
      <c r="Z26" s="291"/>
    </row>
    <row r="27" spans="1:26" ht="17.5">
      <c r="A27" s="292"/>
      <c r="B27" s="293"/>
      <c r="C27" s="293"/>
      <c r="D27" s="294">
        <f ca="1">G19/'数据-汇总表'!F31*10000</f>
        <v>31469.703565936965</v>
      </c>
      <c r="E27" s="310"/>
      <c r="F27" s="310"/>
      <c r="G27" s="310"/>
      <c r="H27" s="310"/>
      <c r="I27" s="310"/>
      <c r="J27" s="2012"/>
      <c r="K27" s="1253" t="str">
        <f ca="1">"单位面积地价："&amp;M38&amp;"元/平方米"</f>
        <v>单位面积地价：30475元/平方米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楼面地价：15681元/平方米</v>
      </c>
      <c r="L28" s="1247"/>
      <c r="M28" s="1247"/>
      <c r="N28" s="1247"/>
      <c r="O28" s="1246"/>
      <c r="P28" s="2012"/>
      <c r="V28" s="2012"/>
    </row>
    <row r="29" spans="1:26" ht="17.5">
      <c r="A29" s="292"/>
      <c r="B29" s="293"/>
      <c r="C29" s="293"/>
      <c r="D29" s="294"/>
      <c r="E29" s="310"/>
      <c r="F29" s="310"/>
      <c r="G29" s="310"/>
      <c r="H29" s="310"/>
      <c r="I29" s="310"/>
      <c r="J29" s="2012"/>
      <c r="K29" s="1253" t="str">
        <f ca="1">IF(OR(项目基本情况!E8="抵押价格",项目基本情况!E8="已注销及未注销"),"抵押价格："&amp;O39&amp;"万元","——")</f>
        <v>抵押价格：263425万元</v>
      </c>
      <c r="L29" s="1247"/>
      <c r="M29" s="1247"/>
      <c r="N29" s="1247"/>
      <c r="O29" s="1246"/>
      <c r="P29" s="2012"/>
      <c r="V29" s="2012"/>
    </row>
    <row r="30" spans="1:26" ht="18" thickBot="1">
      <c r="A30" s="3080" t="s">
        <v>336</v>
      </c>
      <c r="B30" s="308"/>
      <c r="C30" s="308"/>
      <c r="D30" s="309"/>
      <c r="E30" s="3081" t="s">
        <v>2965</v>
      </c>
      <c r="F30" s="310"/>
      <c r="G30" s="310"/>
      <c r="H30" s="310"/>
      <c r="I30" s="310"/>
      <c r="J30" s="2012"/>
      <c r="K30" s="1253" t="str">
        <f ca="1">IF(K29="——","——","大写金额：人民币"&amp;NUMBERSTRING(INT(O39*10000),2)&amp;"元整")</f>
        <v>大写金额：人民币贰拾陆亿叁仟肆佰贰拾伍万元整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 thickBot="1">
      <c r="A32" s="267" t="s">
        <v>337</v>
      </c>
      <c r="B32" s="1376" t="s">
        <v>1688</v>
      </c>
      <c r="C32" s="1377">
        <f ca="1">G19-C24</f>
        <v>297311</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 thickBot="1">
      <c r="A33" s="297" t="s">
        <v>340</v>
      </c>
      <c r="B33" s="1379" t="s">
        <v>1690</v>
      </c>
      <c r="C33" s="263">
        <f ca="1">ROUND(C32*10000/'数据-汇总表'!E3,0)</f>
        <v>15681</v>
      </c>
      <c r="D33" s="1380" t="s">
        <v>1691</v>
      </c>
      <c r="E33" s="3300" t="s">
        <v>338</v>
      </c>
      <c r="F33" s="295" t="s">
        <v>339</v>
      </c>
      <c r="G33" s="296"/>
      <c r="H33" s="979"/>
      <c r="I33" s="1254"/>
      <c r="J33" s="2012"/>
      <c r="K33" s="1253" t="str">
        <f>IF(项目基本情况!E9="——","——","抵押净值："&amp;C46&amp;"万元")</f>
        <v>——</v>
      </c>
      <c r="L33" s="1247"/>
      <c r="M33" s="1247"/>
      <c r="N33" s="1247"/>
      <c r="O33" s="1246"/>
      <c r="P33" s="2012"/>
      <c r="V33" s="2012"/>
    </row>
    <row r="34" spans="1:26" s="1249" customFormat="1" ht="18" thickBot="1">
      <c r="A34" s="299"/>
      <c r="B34" s="1381" t="s">
        <v>1692</v>
      </c>
      <c r="C34" s="263">
        <f ca="1">ROUND(C32*10000/'数据-汇总表'!D3,0)</f>
        <v>30475</v>
      </c>
      <c r="D34" s="1382" t="s">
        <v>1691</v>
      </c>
      <c r="E34" s="3341"/>
      <c r="F34" s="127" t="s">
        <v>341</v>
      </c>
      <c r="G34" s="298"/>
      <c r="H34" s="105"/>
      <c r="I34" s="310"/>
      <c r="J34" s="2012"/>
      <c r="K34" s="1256" t="str">
        <f>IF(K33="——","——","大写金额：人民币"&amp;NUMBERSTRING(INT(O41*10000),2)&amp;"元整")</f>
        <v>——</v>
      </c>
      <c r="L34" s="1257"/>
      <c r="M34" s="1257"/>
      <c r="N34" s="1257"/>
      <c r="O34" s="1258"/>
      <c r="P34" s="2012"/>
      <c r="Q34" s="291"/>
      <c r="R34" s="291"/>
      <c r="S34" s="291"/>
      <c r="T34" s="291"/>
      <c r="U34" s="291"/>
      <c r="V34" s="2012"/>
      <c r="W34" s="291"/>
      <c r="X34" s="291"/>
      <c r="Y34" s="291"/>
      <c r="Z34" s="291"/>
    </row>
    <row r="35" spans="1:26" ht="14.5" thickBot="1">
      <c r="A35" s="283"/>
      <c r="B35" s="1383"/>
      <c r="C35" s="1384">
        <f ca="1">ROUND(C32/('数据-汇总表'!D3/666.67),0)</f>
        <v>2032</v>
      </c>
      <c r="D35" s="1385" t="s">
        <v>1693</v>
      </c>
      <c r="E35" s="3342"/>
      <c r="F35" s="300" t="s">
        <v>342</v>
      </c>
      <c r="G35" s="981">
        <f>E37+E38+E39</f>
        <v>33886</v>
      </c>
      <c r="H35" s="980" t="s">
        <v>343</v>
      </c>
      <c r="I35" s="310"/>
      <c r="J35" s="2012"/>
      <c r="K35" s="3315" t="s">
        <v>350</v>
      </c>
      <c r="L35" s="3315" t="s">
        <v>351</v>
      </c>
      <c r="M35" s="1259" t="s">
        <v>352</v>
      </c>
      <c r="N35" s="3315" t="s">
        <v>353</v>
      </c>
      <c r="O35" s="3315" t="s">
        <v>354</v>
      </c>
      <c r="P35" s="2012"/>
      <c r="V35" s="2012"/>
    </row>
    <row r="36" spans="1:26" ht="16.5" customHeight="1">
      <c r="A36" s="302" t="s">
        <v>344</v>
      </c>
      <c r="B36" s="303" t="s">
        <v>333</v>
      </c>
      <c r="C36" s="304" t="s">
        <v>345</v>
      </c>
      <c r="D36" s="304" t="s">
        <v>346</v>
      </c>
      <c r="E36" s="305" t="s">
        <v>347</v>
      </c>
      <c r="F36" s="310"/>
      <c r="G36" s="310"/>
      <c r="H36" s="310"/>
      <c r="I36" s="310"/>
      <c r="J36" s="2014"/>
      <c r="K36" s="3316"/>
      <c r="L36" s="3316"/>
      <c r="M36" s="1261" t="s">
        <v>355</v>
      </c>
      <c r="N36" s="3316"/>
      <c r="O36" s="3316"/>
      <c r="P36" s="2012"/>
      <c r="V36" s="2012"/>
    </row>
    <row r="37" spans="1:26" ht="16.5" customHeight="1" thickBot="1">
      <c r="A37" s="1255" t="s">
        <v>348</v>
      </c>
      <c r="B37" s="306">
        <f>'数据-汇总表'!F27-82600</f>
        <v>11875.309999999998</v>
      </c>
      <c r="C37" s="293">
        <v>11000</v>
      </c>
      <c r="D37" s="293">
        <f>ROUND(B37*C37*3.05%/10000,0)</f>
        <v>398</v>
      </c>
      <c r="E37" s="294">
        <f>ROUND(B37*C37/10000+D37,0)</f>
        <v>13461</v>
      </c>
      <c r="F37" s="310"/>
      <c r="G37" s="310"/>
      <c r="H37" s="310"/>
      <c r="I37" s="310"/>
      <c r="J37" s="2014"/>
      <c r="K37" s="3317"/>
      <c r="L37" s="3317"/>
      <c r="M37" s="1262"/>
      <c r="N37" s="3317"/>
      <c r="O37" s="3317"/>
      <c r="P37" s="2012"/>
      <c r="V37" s="2012"/>
    </row>
    <row r="38" spans="1:26" ht="16.5" customHeight="1" thickBot="1">
      <c r="A38" s="1255" t="s">
        <v>349</v>
      </c>
      <c r="B38" s="306">
        <f>'数据-汇总表'!G21</f>
        <v>39638.61</v>
      </c>
      <c r="C38" s="293">
        <v>363</v>
      </c>
      <c r="D38" s="293">
        <f>ROUND(B38*C38*3.05%/10000,0)</f>
        <v>44</v>
      </c>
      <c r="E38" s="294">
        <f>ROUND(B38*C38/10000+D38,0)</f>
        <v>1483</v>
      </c>
      <c r="F38" s="310"/>
      <c r="G38" s="310"/>
      <c r="H38" s="310"/>
      <c r="I38" s="310"/>
      <c r="J38" s="2014"/>
      <c r="K38" s="1263">
        <f>'数据-汇总表'!D3</f>
        <v>97560.5</v>
      </c>
      <c r="L38" s="1264">
        <f>'数据-汇总表'!E3</f>
        <v>189603.41999999995</v>
      </c>
      <c r="M38" s="1264">
        <f ca="1">C34</f>
        <v>30475</v>
      </c>
      <c r="N38" s="1264">
        <f ca="1">C33</f>
        <v>15681</v>
      </c>
      <c r="O38" s="1265">
        <f ca="1">C32</f>
        <v>297311</v>
      </c>
      <c r="P38" s="2012"/>
      <c r="V38" s="2012"/>
    </row>
    <row r="39" spans="1:26" ht="16.5" customHeight="1" thickBot="1">
      <c r="A39" s="1260"/>
      <c r="B39" s="307">
        <f>'数据-汇总表'!G19+'数据-汇总表'!G22+'数据-汇总表'!G23</f>
        <v>50124.14</v>
      </c>
      <c r="C39" s="308">
        <v>3667</v>
      </c>
      <c r="D39" s="293">
        <f>ROUND(B39*C39*3.05%/10000,0)</f>
        <v>561</v>
      </c>
      <c r="E39" s="294">
        <f>ROUND(B39*C39/10000+D39,0)</f>
        <v>18942</v>
      </c>
      <c r="F39" s="310"/>
      <c r="G39" s="310"/>
      <c r="H39" s="310"/>
      <c r="I39" s="310"/>
      <c r="J39" s="2014"/>
      <c r="K39" s="3360" t="str">
        <f>MID(A44,3,LEN(A44)-2)</f>
        <v>抵押价格</v>
      </c>
      <c r="L39" s="3361"/>
      <c r="M39" s="3361"/>
      <c r="N39" s="3362"/>
      <c r="O39" s="1387">
        <f ca="1">C44</f>
        <v>263425</v>
      </c>
      <c r="P39" s="2012"/>
      <c r="V39" s="2012"/>
    </row>
    <row r="40" spans="1:26" ht="18.5" thickBot="1">
      <c r="A40" s="104" t="s">
        <v>873</v>
      </c>
      <c r="B40" s="310"/>
      <c r="C40" s="310"/>
      <c r="D40" s="310"/>
      <c r="E40" s="310"/>
      <c r="F40" s="310"/>
      <c r="G40" s="310"/>
      <c r="H40" s="310"/>
      <c r="I40" s="310"/>
      <c r="J40" s="2014"/>
      <c r="K40" s="3360" t="str">
        <f t="shared" ref="K40:K41" si="0">MID(A45,3,LEN(A45)-2)</f>
        <v/>
      </c>
      <c r="L40" s="3361"/>
      <c r="M40" s="3361"/>
      <c r="N40" s="3362"/>
      <c r="O40" s="1387" t="str">
        <f>C45</f>
        <v>——</v>
      </c>
      <c r="P40" s="2012"/>
      <c r="V40" s="2012"/>
    </row>
    <row r="41" spans="1:26" ht="16" thickBot="1">
      <c r="A41" s="311" t="s">
        <v>356</v>
      </c>
      <c r="B41" s="312"/>
      <c r="C41" s="313" t="s">
        <v>357</v>
      </c>
      <c r="D41" s="314" t="s">
        <v>358</v>
      </c>
      <c r="E41" s="314" t="s">
        <v>359</v>
      </c>
      <c r="F41" s="315" t="s">
        <v>360</v>
      </c>
      <c r="G41" s="310"/>
      <c r="H41" s="310"/>
      <c r="I41" s="310"/>
      <c r="J41" s="2014"/>
      <c r="K41" s="3360" t="str">
        <f t="shared" si="0"/>
        <v/>
      </c>
      <c r="L41" s="3361"/>
      <c r="M41" s="3361"/>
      <c r="N41" s="3362"/>
      <c r="O41" s="1387" t="str">
        <f>C46</f>
        <v>——</v>
      </c>
      <c r="P41" s="2012"/>
      <c r="V41" s="2012"/>
    </row>
    <row r="42" spans="1:26" ht="31">
      <c r="A42" s="3302" t="s">
        <v>2065</v>
      </c>
      <c r="B42" s="3303"/>
      <c r="C42" s="263">
        <f ca="1">C32</f>
        <v>297311</v>
      </c>
      <c r="D42" s="316">
        <f ca="1">C33</f>
        <v>15681</v>
      </c>
      <c r="E42" s="316">
        <f ca="1">C34</f>
        <v>30475</v>
      </c>
      <c r="F42" s="317">
        <f ca="1">C35</f>
        <v>2032</v>
      </c>
      <c r="G42" s="310"/>
      <c r="H42" s="310"/>
      <c r="I42" s="318"/>
      <c r="J42" s="2014"/>
      <c r="K42" s="1266" t="s">
        <v>361</v>
      </c>
      <c r="L42" s="2031" t="s">
        <v>362</v>
      </c>
      <c r="M42" s="1267" t="s">
        <v>363</v>
      </c>
      <c r="N42" s="2032" t="s">
        <v>364</v>
      </c>
      <c r="O42" s="2033" t="s">
        <v>365</v>
      </c>
      <c r="P42" s="2012"/>
      <c r="V42" s="2012"/>
    </row>
    <row r="43" spans="1:26" ht="31">
      <c r="A43" s="3313" t="s">
        <v>2727</v>
      </c>
      <c r="B43" s="3314"/>
      <c r="C43" s="263">
        <f>IF(H33="正常操作",G33+G34+G35,G34+G35)</f>
        <v>33886</v>
      </c>
      <c r="D43" s="316" t="s">
        <v>43</v>
      </c>
      <c r="E43" s="316" t="s">
        <v>44</v>
      </c>
      <c r="F43" s="317" t="s">
        <v>44</v>
      </c>
      <c r="G43" s="2820" t="s">
        <v>952</v>
      </c>
      <c r="H43" s="310"/>
      <c r="I43" s="318"/>
      <c r="J43" s="2014"/>
      <c r="K43" s="1268" t="str">
        <f>C4</f>
        <v>比较法-住宅、综合</v>
      </c>
      <c r="L43" s="1269">
        <f ca="1">IF(L42="估价结果/万元",C19,C20)</f>
        <v>280099</v>
      </c>
      <c r="M43" s="1270">
        <f>C18</f>
        <v>0.5</v>
      </c>
      <c r="N43" s="1271">
        <f ca="1">IF(N42="测算结果/万元",G19,G20)</f>
        <v>297311</v>
      </c>
      <c r="O43" s="1272">
        <f ca="1">IF(O42="最终结果/万元",C32,C33)</f>
        <v>297311</v>
      </c>
      <c r="P43" s="2012"/>
      <c r="V43" s="2012"/>
    </row>
    <row r="44" spans="1:26" ht="31.5" thickBot="1">
      <c r="A44" s="3302" t="str">
        <f>IF(OR(项目基本情况!E8="抵押价格",项目基本情况!E8="已注销及未注销"),"3.抵押价格","——")</f>
        <v>3.抵押价格</v>
      </c>
      <c r="B44" s="3303"/>
      <c r="C44" s="263">
        <f ca="1">IF(A44="——","——",C42-C43)</f>
        <v>263425</v>
      </c>
      <c r="D44" s="316">
        <f ca="1">ROUND(C44*10000/'数据-汇总表'!E3,0)</f>
        <v>13893</v>
      </c>
      <c r="E44" s="316">
        <f ca="1">ROUND(C44*10000/'数据-汇总表'!D3,0)</f>
        <v>27001</v>
      </c>
      <c r="F44" s="317">
        <f ca="1">ROUND(C44/('数据-汇总表'!D3/666.67),0)</f>
        <v>1800</v>
      </c>
      <c r="G44" s="310"/>
      <c r="H44" s="310"/>
      <c r="I44" s="318"/>
      <c r="J44" s="2014"/>
      <c r="K44" s="1273" t="str">
        <f>D4</f>
        <v>剩余法-待开发</v>
      </c>
      <c r="L44" s="1274">
        <f ca="1">IF(L42="估价结果/万元",D19,D20)</f>
        <v>314523</v>
      </c>
      <c r="M44" s="1275">
        <f>D18</f>
        <v>0.5</v>
      </c>
      <c r="N44" s="1276"/>
      <c r="O44" s="1277"/>
      <c r="P44" s="2012"/>
      <c r="V44" s="2012"/>
    </row>
    <row r="45" spans="1:26" ht="14">
      <c r="A45" s="3308" t="str">
        <f>IF(项目基本情况!E8="已注销及未注销","4.抵押担保权已注销时的抵押价格",IF(项目基本情况!E8="已注销","3.抵押担保权已注销时的抵押价格","——"))</f>
        <v>——</v>
      </c>
      <c r="B45" s="3309"/>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4.5" thickBot="1">
      <c r="A46" s="3304" t="str">
        <f>IF(项目基本情况!E9="抵押净值",IF(A45="——","4.抵押净值","5.抵押净值"),"——")</f>
        <v>——</v>
      </c>
      <c r="B46" s="3305"/>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本次评估估价师知悉的法定优先受偿款为人民币33886万元整。</v>
      </c>
      <c r="L47" s="2012"/>
      <c r="M47" s="2012"/>
      <c r="N47" s="2012"/>
      <c r="O47" s="2012"/>
      <c r="P47" s="2012"/>
      <c r="Q47" s="2012"/>
      <c r="R47" s="2012"/>
      <c r="S47" s="2012"/>
      <c r="T47" s="2012"/>
      <c r="U47" s="2012"/>
      <c r="V47" s="2012"/>
    </row>
    <row r="48" spans="1:26" ht="12.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3">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3">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3">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3">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3">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3">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3">
      <c r="A61" s="256"/>
      <c r="B61" s="338"/>
      <c r="C61" s="339"/>
      <c r="D61" s="215"/>
      <c r="E61" s="215"/>
      <c r="F61" s="252"/>
      <c r="G61" s="256"/>
      <c r="H61" s="256"/>
      <c r="I61" s="256"/>
      <c r="J61" s="2015"/>
      <c r="K61" s="2012"/>
      <c r="L61" s="2012"/>
      <c r="M61" s="2012"/>
      <c r="N61" s="2012"/>
      <c r="O61" s="2012"/>
      <c r="P61" s="2012"/>
      <c r="Q61" s="2012"/>
      <c r="R61" s="2012"/>
      <c r="S61" s="2012"/>
      <c r="T61" s="2012"/>
      <c r="U61" s="2012"/>
      <c r="V61" s="2012"/>
    </row>
    <row r="62" spans="1:22" ht="18">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49" t="s">
        <v>374</v>
      </c>
      <c r="B63" s="3350"/>
      <c r="C63" s="3351"/>
      <c r="D63" s="340">
        <f ca="1">ROUND(C42*F63,0)</f>
        <v>178387</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10" t="s">
        <v>378</v>
      </c>
      <c r="B64" s="3311"/>
      <c r="C64" s="3311"/>
      <c r="D64" s="3311"/>
      <c r="E64" s="3311"/>
      <c r="F64" s="3311"/>
      <c r="G64" s="3312"/>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6">
      <c r="A66" s="3306" t="s">
        <v>386</v>
      </c>
      <c r="B66" s="3307"/>
      <c r="C66" s="3307"/>
      <c r="D66" s="260">
        <f ca="1">IF(H66="情况1",0,IF(H66="情况2",D70,IF(H66="情况3",D71,IF(H66="情况4",D72))))</f>
        <v>10416</v>
      </c>
      <c r="E66" s="992" t="str">
        <f>IF(H66="情况4","(销售额-原购置价)×税（费）率","销售额×税（费）率")</f>
        <v>销售额×税（费）率</v>
      </c>
      <c r="F66" s="349">
        <f>IF(H66="情况1","免征",'数据-取费表'!B41)</f>
        <v>6.1600000000000002E-2</v>
      </c>
      <c r="G66" s="350" t="s">
        <v>387</v>
      </c>
      <c r="H66" s="191" t="s">
        <v>388</v>
      </c>
      <c r="I66" s="1283"/>
      <c r="J66" s="2018"/>
      <c r="K66" s="1286">
        <v>1</v>
      </c>
      <c r="L66" s="3364" t="s">
        <v>385</v>
      </c>
      <c r="M66" s="3365"/>
      <c r="N66" s="2421"/>
      <c r="O66" s="2422"/>
      <c r="P66" s="2423"/>
      <c r="Q66" s="2012"/>
      <c r="R66" s="2012"/>
      <c r="S66" s="2012"/>
      <c r="T66" s="2012"/>
      <c r="U66" s="2012"/>
      <c r="V66" s="2012"/>
    </row>
    <row r="67" spans="1:22" ht="25.5" customHeight="1">
      <c r="A67" s="351" t="s">
        <v>390</v>
      </c>
      <c r="B67" s="3297" t="s">
        <v>391</v>
      </c>
      <c r="C67" s="3297"/>
      <c r="D67" s="352">
        <v>0</v>
      </c>
      <c r="E67" s="41" t="s">
        <v>392</v>
      </c>
      <c r="F67" s="62" t="s">
        <v>21</v>
      </c>
      <c r="G67" s="3352"/>
      <c r="H67" s="310"/>
      <c r="I67" s="1287"/>
      <c r="J67" s="2019"/>
      <c r="K67" s="1960">
        <v>2</v>
      </c>
      <c r="L67" s="3363" t="s">
        <v>389</v>
      </c>
      <c r="M67" s="3363"/>
      <c r="N67" s="1320">
        <f>'数据-取费表'!B2</f>
        <v>43873</v>
      </c>
      <c r="O67" s="1320"/>
      <c r="P67" s="1320"/>
      <c r="Q67" s="2012"/>
      <c r="R67" s="2012"/>
      <c r="S67" s="2012"/>
      <c r="T67" s="2012"/>
      <c r="U67" s="2012"/>
      <c r="V67" s="2012"/>
    </row>
    <row r="68" spans="1:22" ht="25.5" customHeight="1">
      <c r="A68" s="353"/>
      <c r="B68" s="3297" t="s">
        <v>394</v>
      </c>
      <c r="C68" s="3297"/>
      <c r="D68" s="354"/>
      <c r="E68" s="77"/>
      <c r="F68" s="355"/>
      <c r="G68" s="3353"/>
      <c r="H68" s="310"/>
      <c r="I68" s="1287"/>
      <c r="J68" s="2019"/>
      <c r="K68" s="1960">
        <v>3</v>
      </c>
      <c r="L68" s="3363" t="s">
        <v>393</v>
      </c>
      <c r="M68" s="3363"/>
      <c r="N68" s="1288">
        <f ca="1">C42</f>
        <v>297311</v>
      </c>
      <c r="O68" s="1288"/>
      <c r="P68" s="1288"/>
      <c r="Q68" s="2012"/>
      <c r="R68" s="2012"/>
      <c r="S68" s="2012"/>
      <c r="T68" s="2012"/>
      <c r="U68" s="2012"/>
      <c r="V68" s="2012"/>
    </row>
    <row r="69" spans="1:22" ht="12" customHeight="1">
      <c r="A69" s="356"/>
      <c r="B69" s="3297" t="s">
        <v>395</v>
      </c>
      <c r="C69" s="3297"/>
      <c r="D69" s="357"/>
      <c r="E69" s="73"/>
      <c r="F69" s="355"/>
      <c r="G69" s="3354"/>
      <c r="H69" s="310"/>
      <c r="I69" s="1287"/>
      <c r="J69" s="2019"/>
      <c r="K69" s="1289">
        <v>4</v>
      </c>
      <c r="L69" s="3368" t="s">
        <v>2879</v>
      </c>
      <c r="M69" s="3369"/>
      <c r="N69" s="1290">
        <f ca="1">C44</f>
        <v>263425</v>
      </c>
      <c r="O69" s="1290"/>
      <c r="P69" s="1290"/>
      <c r="Q69" s="2012"/>
      <c r="R69" s="2012"/>
      <c r="S69" s="2012"/>
      <c r="T69" s="2012"/>
      <c r="U69" s="2012"/>
      <c r="V69" s="2012"/>
    </row>
    <row r="70" spans="1:22" ht="24" customHeight="1">
      <c r="A70" s="358" t="s">
        <v>396</v>
      </c>
      <c r="B70" s="3297" t="s">
        <v>397</v>
      </c>
      <c r="C70" s="3297"/>
      <c r="D70" s="357">
        <f ca="1">ROUND(D63*'数据-取费表'!B41/(1+'数据-取费表'!C42),0)</f>
        <v>10416</v>
      </c>
      <c r="E70" s="17" t="s">
        <v>398</v>
      </c>
      <c r="F70" s="359">
        <f>'数据-取费表'!B41</f>
        <v>6.1600000000000002E-2</v>
      </c>
      <c r="G70" s="360"/>
      <c r="H70" s="310"/>
      <c r="I70" s="1287"/>
      <c r="J70" s="2019"/>
      <c r="K70" s="3012"/>
      <c r="L70" s="3013"/>
      <c r="M70" s="3013"/>
      <c r="N70" s="3014" t="s">
        <v>2884</v>
      </c>
      <c r="O70" s="3013"/>
      <c r="P70" s="3015"/>
      <c r="Q70" s="2012"/>
      <c r="R70" s="2012"/>
      <c r="S70" s="2012"/>
      <c r="T70" s="2012"/>
      <c r="U70" s="2012"/>
      <c r="V70" s="2012"/>
    </row>
    <row r="71" spans="1:22" ht="12" customHeight="1">
      <c r="A71" s="358" t="s">
        <v>404</v>
      </c>
      <c r="B71" s="3298" t="s">
        <v>405</v>
      </c>
      <c r="C71" s="3299"/>
      <c r="D71" s="357">
        <f ca="1">ROUND(D63*'数据-取费表'!B41/(1+'数据-取费表'!C42),0)</f>
        <v>10416</v>
      </c>
      <c r="E71" s="17" t="s">
        <v>398</v>
      </c>
      <c r="F71" s="359">
        <f>'数据-取费表'!B41</f>
        <v>6.1600000000000002E-2</v>
      </c>
      <c r="G71" s="360"/>
      <c r="H71" s="310"/>
      <c r="I71" s="1287"/>
      <c r="J71" s="2019"/>
      <c r="K71" s="3011" t="s">
        <v>399</v>
      </c>
      <c r="L71" s="3370" t="s">
        <v>400</v>
      </c>
      <c r="M71" s="3370"/>
      <c r="N71" s="3011" t="s">
        <v>401</v>
      </c>
      <c r="O71" s="3011" t="s">
        <v>402</v>
      </c>
      <c r="P71" s="3011" t="s">
        <v>403</v>
      </c>
      <c r="Q71" s="2012"/>
      <c r="R71" s="2012"/>
      <c r="S71" s="2012"/>
      <c r="T71" s="2012"/>
      <c r="U71" s="2012"/>
      <c r="V71" s="2012"/>
    </row>
    <row r="72" spans="1:22" ht="12" customHeight="1">
      <c r="A72" s="358" t="s">
        <v>407</v>
      </c>
      <c r="B72" s="3298" t="s">
        <v>408</v>
      </c>
      <c r="C72" s="3299"/>
      <c r="D72" s="357">
        <f ca="1">C86</f>
        <v>10293</v>
      </c>
      <c r="E72" s="73" t="s">
        <v>409</v>
      </c>
      <c r="F72" s="359">
        <f>'数据-取费表'!B41</f>
        <v>6.1600000000000002E-2</v>
      </c>
      <c r="G72" s="360"/>
      <c r="H72" s="1293"/>
      <c r="I72" s="1287"/>
      <c r="J72" s="2019"/>
      <c r="K72" s="1960">
        <v>1</v>
      </c>
      <c r="L72" s="3345" t="s">
        <v>406</v>
      </c>
      <c r="M72" s="3345"/>
      <c r="N72" s="1291">
        <f ca="1">D66</f>
        <v>10416</v>
      </c>
      <c r="O72" s="1843" t="str">
        <f>E66</f>
        <v>销售额×税（费）率</v>
      </c>
      <c r="P72" s="1292">
        <f>F66</f>
        <v>6.1600000000000002E-2</v>
      </c>
      <c r="Q72" s="2012"/>
      <c r="R72" s="2012"/>
      <c r="S72" s="2012"/>
      <c r="T72" s="2012"/>
      <c r="U72" s="2012"/>
      <c r="V72" s="2012"/>
    </row>
    <row r="73" spans="1:22" ht="24" customHeight="1">
      <c r="A73" s="3339" t="s">
        <v>411</v>
      </c>
      <c r="B73" s="3307"/>
      <c r="C73" s="3307"/>
      <c r="D73" s="361">
        <f>IF(H73="个人住宅",0,ROUND(D63*I73,0))</f>
        <v>0</v>
      </c>
      <c r="E73" s="17" t="s">
        <v>412</v>
      </c>
      <c r="F73" s="359" t="str">
        <f>IF(H73="正常",I73,"免征")</f>
        <v>免征</v>
      </c>
      <c r="G73" s="360"/>
      <c r="H73" s="191" t="s">
        <v>2453</v>
      </c>
      <c r="I73" s="359">
        <f>'数据-取费表'!B49</f>
        <v>5.0000000000000001E-4</v>
      </c>
      <c r="J73" s="2019"/>
      <c r="K73" s="1960">
        <v>2</v>
      </c>
      <c r="L73" s="3345" t="s">
        <v>410</v>
      </c>
      <c r="M73" s="3345"/>
      <c r="N73" s="1291">
        <f t="shared" ref="N73:P74" si="1">D73</f>
        <v>0</v>
      </c>
      <c r="O73" s="1843" t="str">
        <f t="shared" si="1"/>
        <v>销售额×税（费）率</v>
      </c>
      <c r="P73" s="1292" t="str">
        <f t="shared" si="1"/>
        <v>免征</v>
      </c>
      <c r="Q73" s="2012"/>
      <c r="R73" s="2012"/>
      <c r="S73" s="2012"/>
      <c r="T73" s="2012"/>
      <c r="U73" s="2012"/>
      <c r="V73" s="2012"/>
    </row>
    <row r="74" spans="1:22" ht="26">
      <c r="A74" s="3339" t="s">
        <v>415</v>
      </c>
      <c r="B74" s="3307"/>
      <c r="C74" s="3307"/>
      <c r="D74" s="361">
        <f ca="1">IF(H74="个人住宅",D75,D76)</f>
        <v>99737</v>
      </c>
      <c r="E74" s="17" t="s">
        <v>416</v>
      </c>
      <c r="F74" s="359" t="str">
        <f>IF(H74="正常",F76,"免征")</f>
        <v>——</v>
      </c>
      <c r="G74" s="982" t="s">
        <v>417</v>
      </c>
      <c r="H74" s="362" t="s">
        <v>413</v>
      </c>
      <c r="I74" s="42"/>
      <c r="J74" s="2019"/>
      <c r="K74" s="1960">
        <v>3</v>
      </c>
      <c r="L74" s="3345" t="s">
        <v>414</v>
      </c>
      <c r="M74" s="3345"/>
      <c r="N74" s="1291">
        <f t="shared" ca="1" si="1"/>
        <v>99737</v>
      </c>
      <c r="O74" s="1843" t="str">
        <f t="shared" si="1"/>
        <v>增值额×税（费）率</v>
      </c>
      <c r="P74" s="1294" t="str">
        <f t="shared" si="1"/>
        <v>——</v>
      </c>
      <c r="Q74" s="2012"/>
      <c r="R74" s="2012"/>
      <c r="S74" s="2012"/>
      <c r="T74" s="2012"/>
      <c r="U74" s="2012"/>
      <c r="V74" s="2012"/>
    </row>
    <row r="75" spans="1:22" ht="26">
      <c r="A75" s="358" t="s">
        <v>418</v>
      </c>
      <c r="B75" s="3295" t="s">
        <v>419</v>
      </c>
      <c r="C75" s="3325"/>
      <c r="D75" s="363">
        <v>0</v>
      </c>
      <c r="E75" s="41" t="s">
        <v>420</v>
      </c>
      <c r="F75" s="364"/>
      <c r="G75" s="360"/>
      <c r="H75" s="42"/>
      <c r="I75" s="42"/>
      <c r="J75" s="2019"/>
      <c r="K75" s="3004">
        <f>IF(H77="非个人房产","",4)</f>
        <v>4</v>
      </c>
      <c r="L75" s="3345" t="str">
        <f>IF(H77="非个人房产","——","个人所得税")</f>
        <v>个人所得税</v>
      </c>
      <c r="M75" s="3345"/>
      <c r="N75" s="1295">
        <f ca="1">D77</f>
        <v>1784</v>
      </c>
      <c r="O75" s="1856" t="str">
        <f>E77</f>
        <v>销售额×税（费）率</v>
      </c>
      <c r="P75" s="1296">
        <f>F77</f>
        <v>0.01</v>
      </c>
      <c r="Q75" s="2012"/>
      <c r="R75" s="2012"/>
      <c r="S75" s="2012"/>
      <c r="T75" s="2012"/>
      <c r="U75" s="2012"/>
      <c r="V75" s="2012"/>
    </row>
    <row r="76" spans="1:22" ht="26">
      <c r="A76" s="358" t="s">
        <v>396</v>
      </c>
      <c r="B76" s="3295" t="s">
        <v>422</v>
      </c>
      <c r="C76" s="3296"/>
      <c r="D76" s="361">
        <f ca="1">IF(H76="转让取得",C99,C115)</f>
        <v>99737</v>
      </c>
      <c r="E76" s="17" t="s">
        <v>423</v>
      </c>
      <c r="F76" s="53" t="s">
        <v>21</v>
      </c>
      <c r="G76" s="360"/>
      <c r="H76" s="362" t="s">
        <v>424</v>
      </c>
      <c r="I76" s="42"/>
      <c r="J76" s="2019"/>
      <c r="K76" s="3004" t="str">
        <f>IF(项目基本情况!K6="上海银行",IF(K75="",4,K75+1),"")</f>
        <v/>
      </c>
      <c r="L76" s="3356" t="str">
        <f>IF(项目基本情况!K6="上海银行","其他处置费用","")</f>
        <v/>
      </c>
      <c r="M76" s="3357"/>
      <c r="N76" s="1291" t="str">
        <f>IF(项目基本情况!K6="上海银行",N89,"")</f>
        <v/>
      </c>
      <c r="O76" s="3358" t="str">
        <f>IF(项目基本情况!K6="上海银行","包含处置中涉及的律师、诉讼、拍卖、评估等费用","")</f>
        <v/>
      </c>
      <c r="P76" s="3359"/>
      <c r="Q76" s="2012"/>
      <c r="R76" s="2012"/>
      <c r="S76" s="2012"/>
      <c r="T76" s="2012"/>
      <c r="U76" s="2012"/>
      <c r="V76" s="2012"/>
    </row>
    <row r="77" spans="1:22" ht="26.5" thickBot="1">
      <c r="A77" s="3347" t="s">
        <v>426</v>
      </c>
      <c r="B77" s="3348"/>
      <c r="C77" s="3348"/>
      <c r="D77" s="365">
        <f ca="1">IF(H77="非个人房产","——",IF(H77="个人住宅",0,ROUND(D63*I77,0)))</f>
        <v>1784</v>
      </c>
      <c r="E77" s="366" t="str">
        <f>IF(H77="非个人房产","——","销售额×税（费）率")</f>
        <v>销售额×税（费）率</v>
      </c>
      <c r="F77" s="367">
        <f>IF(H77="非个人房产","——",IF(H77="个人住宅","免征",I77))</f>
        <v>0.01</v>
      </c>
      <c r="G77" s="983" t="s">
        <v>417</v>
      </c>
      <c r="H77" s="362" t="s">
        <v>2880</v>
      </c>
      <c r="I77" s="368">
        <v>0.01</v>
      </c>
      <c r="J77" s="2019"/>
      <c r="K77" s="3346">
        <f>IF(AND(K75="",K76=""),4,IF(项目基本情况!K6="上海银行",K76+1,K75+1))</f>
        <v>5</v>
      </c>
      <c r="L77" s="3345" t="s">
        <v>2881</v>
      </c>
      <c r="M77" s="3010" t="s">
        <v>421</v>
      </c>
      <c r="N77" s="1297"/>
      <c r="O77" s="1298">
        <f ca="1">SUMIF(N72:N76,"&lt;9e307")</f>
        <v>111937</v>
      </c>
      <c r="P77" s="1299"/>
      <c r="Q77" s="3008">
        <f ca="1">O77/N69</f>
        <v>0.42492929676378477</v>
      </c>
      <c r="R77" s="2012"/>
      <c r="S77" s="2012"/>
      <c r="T77" s="2012"/>
      <c r="U77" s="2012"/>
      <c r="V77" s="2012"/>
    </row>
    <row r="78" spans="1:22" ht="12" customHeight="1">
      <c r="A78" s="1300"/>
      <c r="B78" s="310"/>
      <c r="C78" s="310"/>
      <c r="D78" s="310"/>
      <c r="E78" s="42"/>
      <c r="F78" s="42"/>
      <c r="G78" s="42"/>
      <c r="H78" s="1002"/>
      <c r="I78" s="310"/>
      <c r="J78" s="2019"/>
      <c r="K78" s="3346"/>
      <c r="L78" s="3345"/>
      <c r="M78" s="3010" t="s">
        <v>425</v>
      </c>
      <c r="N78" s="1297"/>
      <c r="O78" s="1298" t="str">
        <f ca="1">NUMBERSTRING(INT(O77*10000),2)&amp;"元整"</f>
        <v>壹拾壹亿壹仟玖佰叁拾柒万元整</v>
      </c>
      <c r="P78" s="1299"/>
      <c r="Q78" s="2012"/>
      <c r="R78" s="2012"/>
      <c r="S78" s="2012"/>
      <c r="T78" s="2012"/>
      <c r="U78" s="2012"/>
      <c r="V78" s="2012"/>
    </row>
    <row r="79" spans="1:22" ht="13.5" thickBot="1">
      <c r="A79" s="3340" t="s">
        <v>427</v>
      </c>
      <c r="B79" s="3340"/>
      <c r="C79" s="3340"/>
      <c r="D79" s="3340"/>
      <c r="E79" s="3340"/>
      <c r="F79" s="42"/>
      <c r="G79" s="42"/>
      <c r="H79" s="1002"/>
      <c r="I79" s="310"/>
      <c r="J79" s="2019"/>
      <c r="K79" s="3366">
        <f>K77+1</f>
        <v>6</v>
      </c>
      <c r="L79" s="3345" t="s">
        <v>2882</v>
      </c>
      <c r="M79" s="3010" t="s">
        <v>421</v>
      </c>
      <c r="N79" s="1297"/>
      <c r="O79" s="1298">
        <f ca="1">N69-O77</f>
        <v>151488</v>
      </c>
      <c r="P79" s="1299"/>
      <c r="Q79" s="2012"/>
      <c r="R79" s="2012"/>
      <c r="S79" s="2012"/>
      <c r="T79" s="2012"/>
      <c r="U79" s="2012"/>
      <c r="V79" s="2012"/>
    </row>
    <row r="80" spans="1:22" ht="37.5">
      <c r="A80" s="3335" t="s">
        <v>428</v>
      </c>
      <c r="B80" s="3336"/>
      <c r="C80" s="993"/>
      <c r="D80" s="993" t="s">
        <v>429</v>
      </c>
      <c r="E80" s="369" t="s">
        <v>430</v>
      </c>
      <c r="F80" s="42"/>
      <c r="G80" s="42"/>
      <c r="H80" s="1002"/>
      <c r="I80" s="310"/>
      <c r="J80" s="2012"/>
      <c r="K80" s="3367"/>
      <c r="L80" s="3345"/>
      <c r="M80" s="3010" t="s">
        <v>425</v>
      </c>
      <c r="N80" s="1297"/>
      <c r="O80" s="1298" t="str">
        <f ca="1">NUMBERSTRING(INT(O79*10000),2)&amp;"元整"</f>
        <v>壹拾伍亿壹仟肆佰捌拾捌万元整</v>
      </c>
      <c r="P80" s="1299"/>
      <c r="Q80" s="2012"/>
      <c r="R80" s="2012"/>
      <c r="S80" s="2012"/>
      <c r="T80" s="2012"/>
      <c r="U80" s="2012"/>
      <c r="V80" s="2012"/>
    </row>
    <row r="81" spans="1:26" ht="13.5" thickBot="1">
      <c r="A81" s="380" t="s">
        <v>1823</v>
      </c>
      <c r="B81" s="370" t="s">
        <v>431</v>
      </c>
      <c r="C81" s="371">
        <f ca="1">ROUND((C82+C83)/(1+'数据-取费表'!C42),0)</f>
        <v>169087</v>
      </c>
      <c r="D81" s="372"/>
      <c r="E81" s="373"/>
      <c r="F81" s="42"/>
      <c r="G81" s="42"/>
      <c r="H81" s="1002"/>
      <c r="I81" s="310"/>
      <c r="J81" s="2012"/>
      <c r="K81" s="3004">
        <f>K79+1</f>
        <v>7</v>
      </c>
      <c r="L81" s="3343" t="s">
        <v>2883</v>
      </c>
      <c r="M81" s="3344"/>
      <c r="N81" s="1301"/>
      <c r="O81" s="1302">
        <f ca="1">ROUND(O79*10000/'数据-汇总表'!E3,0)</f>
        <v>7990</v>
      </c>
      <c r="P81" s="1303"/>
      <c r="Q81" s="2012"/>
      <c r="R81" s="2012"/>
      <c r="S81" s="2012"/>
      <c r="T81" s="2012"/>
      <c r="U81" s="2012"/>
      <c r="V81" s="2012"/>
    </row>
    <row r="82" spans="1:26" ht="13.5" thickTop="1">
      <c r="A82" s="374" t="s">
        <v>1824</v>
      </c>
      <c r="B82" s="375" t="s">
        <v>432</v>
      </c>
      <c r="C82" s="376">
        <f ca="1">D63</f>
        <v>178387</v>
      </c>
      <c r="D82" s="377" t="s">
        <v>19</v>
      </c>
      <c r="E82" s="378"/>
      <c r="F82" s="42"/>
      <c r="G82" s="42"/>
      <c r="H82" s="1002"/>
      <c r="I82" s="310"/>
      <c r="J82" s="2012"/>
      <c r="K82" s="2012"/>
      <c r="L82" s="2012"/>
      <c r="M82" s="2012"/>
      <c r="N82" s="2012"/>
      <c r="O82" s="2012"/>
      <c r="P82" s="2012"/>
      <c r="Q82" s="2012"/>
      <c r="R82" s="2012"/>
      <c r="S82" s="2012"/>
      <c r="T82" s="2012"/>
      <c r="U82" s="2012"/>
      <c r="V82" s="2012"/>
    </row>
    <row r="83" spans="1:26" ht="13">
      <c r="A83" s="374" t="s">
        <v>1825</v>
      </c>
      <c r="B83" s="375" t="s">
        <v>433</v>
      </c>
      <c r="C83" s="379">
        <v>0</v>
      </c>
      <c r="D83" s="377"/>
      <c r="E83" s="378"/>
      <c r="F83" s="42"/>
      <c r="G83" s="42"/>
      <c r="H83" s="1002"/>
      <c r="I83" s="310"/>
      <c r="J83" s="2012"/>
      <c r="K83" s="3355" t="s">
        <v>2870</v>
      </c>
      <c r="L83" s="3016" t="s">
        <v>2871</v>
      </c>
      <c r="M83" s="3006">
        <f ca="1">IF(N69&gt;10000,N69*0.5%,IF(AND(N69&gt;1000,N69&lt;=10000),N69*1%,IF(AND(N69&gt;100,N69&lt;=1000),N69*3%,IF(AND(N69&gt;10,N69&lt;=100),N69*5%,N69*8%))))</f>
        <v>1317.125</v>
      </c>
      <c r="N83" s="53">
        <f ca="1">ROUND(M83,1)</f>
        <v>1317.1</v>
      </c>
      <c r="O83" s="3009"/>
      <c r="P83" s="2012"/>
      <c r="Q83" s="2012"/>
      <c r="R83" s="2012"/>
      <c r="S83" s="2012"/>
      <c r="T83" s="2012"/>
      <c r="U83" s="2012"/>
      <c r="V83" s="2012"/>
    </row>
    <row r="84" spans="1:26" ht="13.5">
      <c r="A84" s="380" t="s">
        <v>1826</v>
      </c>
      <c r="B84" s="381" t="s">
        <v>434</v>
      </c>
      <c r="C84" s="382">
        <v>2000</v>
      </c>
      <c r="D84" s="383" t="s">
        <v>19</v>
      </c>
      <c r="E84" s="3051" t="s">
        <v>2938</v>
      </c>
      <c r="F84" s="42"/>
      <c r="G84" s="42"/>
      <c r="H84" s="1002"/>
      <c r="I84" s="310"/>
      <c r="J84" s="2012"/>
      <c r="K84" s="3355"/>
      <c r="L84" s="3016" t="s">
        <v>2872</v>
      </c>
      <c r="M84" s="3006">
        <f ca="1">IF(N69&gt;2000,N69*0.5%,IF(AND(N69&gt;1000,N69&lt;=2000),N69*0.6%,IF(AND(N69&gt;500,N69&lt;=1000),N69*0.7%,IF(AND(N69&gt;200,N69&lt;=500),N69*0.8%,IF(AND(N69&gt;100,N69&lt;=200),N69*0.9%,IF(AND(N69&gt;50,N69&lt;=100),N69*1%,IF(AND(N69&gt;20,N69&lt;=50),N69*1.5%,IF(AND(N69&gt;10,N69&lt;=20),N69*2%,IF(AND(N69&gt;1,N69&lt;=10),N69*2.5%)))))))))</f>
        <v>1317.125</v>
      </c>
      <c r="N84" s="53">
        <f t="shared" ref="N84:N85" ca="1" si="2">ROUND(M84,1)</f>
        <v>1317.1</v>
      </c>
      <c r="O84" s="2012" t="s">
        <v>2873</v>
      </c>
      <c r="P84" s="2012"/>
      <c r="Q84" s="2012"/>
      <c r="R84" s="2012"/>
      <c r="S84" s="2012"/>
      <c r="T84" s="2012"/>
      <c r="U84" s="2012"/>
      <c r="V84" s="2012"/>
    </row>
    <row r="85" spans="1:26" ht="13">
      <c r="A85" s="380" t="s">
        <v>1827</v>
      </c>
      <c r="B85" s="381" t="s">
        <v>435</v>
      </c>
      <c r="C85" s="384">
        <f ca="1">C81-C84</f>
        <v>167087</v>
      </c>
      <c r="D85" s="377" t="s">
        <v>19</v>
      </c>
      <c r="E85" s="378"/>
      <c r="F85" s="42"/>
      <c r="G85" s="42"/>
      <c r="H85" s="1002"/>
      <c r="I85" s="310"/>
      <c r="J85" s="2012"/>
      <c r="K85" s="3355"/>
      <c r="L85" s="3016" t="s">
        <v>2874</v>
      </c>
      <c r="M85" s="3006">
        <f ca="1">IF(N69&gt;1000,N69*0.1%,IF(AND(N69&gt;500,N69&lt;=1000),N69*0.5%,IF(AND(N69&gt;50,N69&lt;=500),N69*1%,IF(AND(N69&gt;1,N69&lt;=50),N69*1.5%))))</f>
        <v>263.42500000000001</v>
      </c>
      <c r="N85" s="53">
        <f t="shared" ca="1" si="2"/>
        <v>263.39999999999998</v>
      </c>
      <c r="O85" s="2012" t="s">
        <v>2873</v>
      </c>
      <c r="P85" s="2012"/>
      <c r="Q85" s="2012"/>
      <c r="R85" s="2012"/>
      <c r="S85" s="2012"/>
      <c r="T85" s="2012"/>
      <c r="U85" s="2012"/>
      <c r="V85" s="2012"/>
    </row>
    <row r="86" spans="1:26" ht="13.5" thickBot="1">
      <c r="A86" s="385" t="s">
        <v>1828</v>
      </c>
      <c r="B86" s="386" t="s">
        <v>436</v>
      </c>
      <c r="C86" s="387">
        <f ca="1">IF(C85&lt;=0,0,ROUND(C85*D86,0))</f>
        <v>10293</v>
      </c>
      <c r="D86" s="388">
        <f>'数据-取费表'!B41</f>
        <v>6.1600000000000002E-2</v>
      </c>
      <c r="E86" s="389"/>
      <c r="F86" s="42"/>
      <c r="G86" s="42"/>
      <c r="H86" s="1002"/>
      <c r="I86" s="310"/>
      <c r="J86" s="2012"/>
      <c r="K86" s="3355"/>
      <c r="L86" s="3016" t="s">
        <v>2875</v>
      </c>
      <c r="M86" s="3006">
        <f ca="1">N69*0.5%</f>
        <v>1317.125</v>
      </c>
      <c r="N86" s="53">
        <f ca="1">IF(M86&gt;0.5,0.5,ROUND(M86,0))</f>
        <v>0.5</v>
      </c>
      <c r="O86" s="2012" t="s">
        <v>2876</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55"/>
      <c r="L87" s="3016" t="s">
        <v>2877</v>
      </c>
      <c r="M87" s="3006">
        <f ca="1">IF(N69&gt;=10000,(8.25+(N69-10000)*0.01%),IF(AND(N69&gt;=8000,N69&lt;10000),(7.85+(N69-8000)*0.02%),IF(AND(N69&gt;=5000,N69&lt;8000),(6.65+(N69-5000)*0.04%),IF(AND(N69&gt;=2000,N69&lt;5000),(4.25+(PN69-2000)*0.08%),IF(AND(N69&gt;=1000,N69&lt;2000),(2.75+(N69-1000)*0.15%),IF(AND(N69&gt;=100,N69&lt;1000),(0.5+(N69-100)*0.25%),IF(AND(N69&gt;0,N69&lt;100),N69*0.5%)))))))</f>
        <v>33.592500000000001</v>
      </c>
      <c r="N87" s="53">
        <f ca="1">ROUND(M87*0.9,1)</f>
        <v>30.2</v>
      </c>
      <c r="O87" s="3009"/>
      <c r="P87" s="310"/>
      <c r="Q87" s="2012"/>
      <c r="R87" s="2012"/>
      <c r="S87" s="2012"/>
      <c r="T87" s="2012"/>
      <c r="U87" s="2012"/>
      <c r="V87" s="2012"/>
      <c r="W87" s="291"/>
      <c r="X87" s="291"/>
      <c r="Y87" s="291"/>
      <c r="Z87" s="291"/>
    </row>
    <row r="88" spans="1:26" s="1309" customFormat="1" ht="14.5" thickBot="1">
      <c r="A88" s="3337" t="s">
        <v>437</v>
      </c>
      <c r="B88" s="3338"/>
      <c r="C88" s="3338"/>
      <c r="D88" s="3338"/>
      <c r="E88" s="3338"/>
      <c r="F88" s="3338"/>
      <c r="G88" s="3338"/>
      <c r="H88" s="3338"/>
      <c r="I88" s="1310"/>
      <c r="J88" s="2020"/>
      <c r="K88" s="3355"/>
      <c r="L88" s="3016" t="s">
        <v>2878</v>
      </c>
      <c r="M88" s="3006">
        <f ca="1">IF(N69&gt;10000,N69*0.5%,IF(AND(N69&gt;5000,N69&lt;=10000),N69*1%,IF(AND(N69&gt;1000,N69&lt;=5000),N69*2%,IF(AND(N69&gt;200,N69&lt;=1000),N69*3%,N69*5%))))</f>
        <v>1317.125</v>
      </c>
      <c r="N88" s="53">
        <f ca="1">ROUND(M88,1)</f>
        <v>1317.1</v>
      </c>
      <c r="O88" s="3009"/>
      <c r="P88" s="11"/>
      <c r="Q88" s="2017"/>
      <c r="R88" s="2017"/>
      <c r="S88" s="2017"/>
      <c r="T88" s="2017"/>
      <c r="U88" s="2017"/>
      <c r="V88" s="2017"/>
      <c r="W88" s="2021"/>
      <c r="X88" s="2021"/>
      <c r="Y88" s="2021"/>
      <c r="Z88" s="2021"/>
    </row>
    <row r="89" spans="1:26" s="1309" customFormat="1" ht="14">
      <c r="A89" s="3335" t="s">
        <v>428</v>
      </c>
      <c r="B89" s="3336"/>
      <c r="C89" s="993"/>
      <c r="D89" s="993" t="s">
        <v>429</v>
      </c>
      <c r="E89" s="390" t="s">
        <v>438</v>
      </c>
      <c r="F89" s="391"/>
      <c r="G89" s="391"/>
      <c r="H89" s="392"/>
      <c r="I89" s="1311"/>
      <c r="J89" s="2022"/>
      <c r="K89" s="3355"/>
      <c r="L89" s="3016" t="s">
        <v>27</v>
      </c>
      <c r="M89" s="3007"/>
      <c r="N89" s="53">
        <f ca="1">ROUND(SUM(N83:N88),0)</f>
        <v>4245</v>
      </c>
      <c r="O89" s="3017">
        <f ca="1">N89/N69</f>
        <v>1.6114643636708739E-2</v>
      </c>
      <c r="P89" s="2017"/>
      <c r="Q89" s="2017"/>
      <c r="R89" s="2017"/>
      <c r="S89" s="2017"/>
      <c r="T89" s="2017"/>
      <c r="U89" s="2017"/>
      <c r="V89" s="2017"/>
      <c r="W89" s="2021"/>
      <c r="X89" s="2021"/>
      <c r="Y89" s="2021"/>
      <c r="Z89" s="2021"/>
    </row>
    <row r="90" spans="1:26" s="1309" customFormat="1" ht="14">
      <c r="A90" s="380" t="s">
        <v>1823</v>
      </c>
      <c r="B90" s="381" t="s">
        <v>439</v>
      </c>
      <c r="C90" s="384">
        <f ca="1">ROUND(D63/(1+'数据-取费表'!C42),0)</f>
        <v>169087</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
      <c r="A91" s="380" t="s">
        <v>1829</v>
      </c>
      <c r="B91" s="347" t="s">
        <v>440</v>
      </c>
      <c r="C91" s="384">
        <f ca="1">C92+C96</f>
        <v>3677</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6">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298" t="s">
        <v>447</v>
      </c>
      <c r="F94" s="3297"/>
      <c r="G94" s="3297"/>
      <c r="H94" s="3334"/>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1116</v>
      </c>
      <c r="D96" s="405">
        <f>'数据-取费表'!B43</f>
        <v>6.6000000000000008E-3</v>
      </c>
      <c r="E96" s="3326" t="s">
        <v>2426</v>
      </c>
      <c r="F96" s="3327"/>
      <c r="G96" s="3327"/>
      <c r="H96" s="3328"/>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
      <c r="A97" s="1601" t="s">
        <v>1835</v>
      </c>
      <c r="B97" s="381" t="s">
        <v>451</v>
      </c>
      <c r="C97" s="384">
        <f ca="1">C90-C91</f>
        <v>165410</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6">
      <c r="A98" s="1601" t="s">
        <v>1836</v>
      </c>
      <c r="B98" s="381" t="s">
        <v>452</v>
      </c>
      <c r="C98" s="406">
        <f ca="1">IF(C97&lt;=0,0,C97/C91)</f>
        <v>44.985042153929832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6.5" thickBot="1">
      <c r="A99" s="1602" t="s">
        <v>1837</v>
      </c>
      <c r="B99" s="386" t="s">
        <v>453</v>
      </c>
      <c r="C99" s="407">
        <f ca="1">ROUND(IF(C97&lt;=0,0,IF(C98&gt;=200%,C97*60%-C91*35%,IF(C98&gt;=100%,C97*50%-C91*15%,IF(C98&gt;=50%,C97*40%-C91*5%,IF(C98&lt;50%,C97*30%,0))))),0)</f>
        <v>97959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5" thickBot="1">
      <c r="A101" s="3337" t="s">
        <v>454</v>
      </c>
      <c r="B101" s="3338"/>
      <c r="C101" s="3338"/>
      <c r="D101" s="3338"/>
      <c r="E101" s="3338"/>
      <c r="F101" s="3338"/>
      <c r="G101" s="3338"/>
      <c r="H101" s="3338"/>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
      <c r="A102" s="3335" t="s">
        <v>428</v>
      </c>
      <c r="B102" s="3336"/>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
      <c r="A103" s="380" t="s">
        <v>1823</v>
      </c>
      <c r="B103" s="381" t="s">
        <v>439</v>
      </c>
      <c r="C103" s="384">
        <f ca="1">ROUND(D63/(1+'数据-取费表'!C42),0)</f>
        <v>169087</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
      <c r="A104" s="380" t="s">
        <v>1829</v>
      </c>
      <c r="B104" s="347" t="s">
        <v>440</v>
      </c>
      <c r="C104" s="384">
        <f ca="1">IF(H106="仅含出让金",C105+C108+C109+C110+C111+C112,C105+C109+C110+C111+C112)</f>
        <v>1806</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
      <c r="A106" s="394" t="s">
        <v>1831</v>
      </c>
      <c r="B106" s="375" t="s">
        <v>456</v>
      </c>
      <c r="C106" s="415">
        <v>555</v>
      </c>
      <c r="D106" s="405"/>
      <c r="E106" s="416" t="s">
        <v>457</v>
      </c>
      <c r="F106" s="985"/>
      <c r="G106" s="417" t="s">
        <v>458</v>
      </c>
      <c r="H106" s="418"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29" t="s">
        <v>462</v>
      </c>
      <c r="F109" s="3327"/>
      <c r="G109" s="3327"/>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29" t="s">
        <v>464</v>
      </c>
      <c r="F110" s="3327"/>
      <c r="G110" s="3327"/>
      <c r="H110" s="3328"/>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1116</v>
      </c>
      <c r="D111" s="405">
        <f>'数据-取费表'!B43</f>
        <v>6.6000000000000008E-3</v>
      </c>
      <c r="E111" s="3326" t="s">
        <v>2426</v>
      </c>
      <c r="F111" s="3327"/>
      <c r="G111" s="3327"/>
      <c r="H111" s="3328"/>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29" t="s">
        <v>2451</v>
      </c>
      <c r="F112" s="3327"/>
      <c r="G112" s="3327"/>
      <c r="H112" s="3328"/>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
      <c r="A113" s="1601" t="s">
        <v>1835</v>
      </c>
      <c r="B113" s="381" t="s">
        <v>451</v>
      </c>
      <c r="C113" s="384">
        <f ca="1">ROUND(C103-C104,0)</f>
        <v>167281</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6">
      <c r="A114" s="1601" t="s">
        <v>1836</v>
      </c>
      <c r="B114" s="381" t="s">
        <v>452</v>
      </c>
      <c r="C114" s="406">
        <f ca="1">IF(C113&lt;=0,0,C113/C104)</f>
        <v>92.625138427464009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6.5" thickBot="1">
      <c r="A115" s="1602" t="s">
        <v>1837</v>
      </c>
      <c r="B115" s="386" t="s">
        <v>453</v>
      </c>
      <c r="C115" s="407">
        <f ca="1">ROUND(IF(C113&lt;=0,0,IF(C114&gt;=200%,C113*60%-C104*35%,IF(C114&gt;=100%,C113*50%-C104*15%,IF(C114&gt;=50%,C113*40%-C104*5%,IF(C114&lt;50%,C113*30%,0))))),0)</f>
        <v>99737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328125" defaultRowHeight="12.5"/>
  <cols>
    <col min="1" max="1" width="10.08984375" style="2108" customWidth="1"/>
    <col min="2" max="2" width="25.81640625" style="2098" customWidth="1"/>
    <col min="3" max="3" width="10.36328125" style="2109" customWidth="1"/>
    <col min="4" max="4" width="12" style="2098" customWidth="1"/>
    <col min="5" max="5" width="9.453125" style="2108" customWidth="1"/>
    <col min="6" max="6" width="10.08984375" style="2098" customWidth="1"/>
    <col min="7" max="7" width="9.453125" style="2098" customWidth="1"/>
    <col min="8" max="8" width="10" style="2098" customWidth="1"/>
    <col min="9" max="11" width="9.453125" style="2098" customWidth="1"/>
    <col min="12" max="12" width="9" style="2098" customWidth="1"/>
    <col min="13" max="13" width="10.453125" style="2098" bestFit="1" customWidth="1"/>
    <col min="14" max="254" width="9" style="2098" customWidth="1"/>
    <col min="255" max="16384" width="6.6328125" style="2098"/>
  </cols>
  <sheetData>
    <row r="1" spans="1:41" s="2025" customFormat="1" ht="21">
      <c r="A1" s="420" t="s">
        <v>466</v>
      </c>
      <c r="B1" s="2763"/>
      <c r="C1" s="2088"/>
      <c r="D1" s="2088"/>
      <c r="E1" s="2088"/>
      <c r="F1" s="2088"/>
      <c r="G1" s="2088"/>
      <c r="H1" s="2088"/>
      <c r="I1" s="2088"/>
      <c r="J1" s="2088"/>
      <c r="K1" s="421">
        <f>MATCH(B1,'数据-取费表'!A6:A16,0)+5</f>
        <v>11</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2649</v>
      </c>
      <c r="B6" s="432"/>
      <c r="C6" s="1607">
        <f>SUM(C10:K10)</f>
        <v>0</v>
      </c>
      <c r="D6" s="2093"/>
      <c r="E6" s="2093"/>
      <c r="F6" s="2093"/>
      <c r="G6" s="2093"/>
      <c r="H6" s="2093"/>
      <c r="I6" s="2093"/>
      <c r="J6" s="2093"/>
      <c r="K6" s="2094"/>
    </row>
    <row r="7" spans="1:41" s="2097" customFormat="1" ht="14.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94801</v>
      </c>
      <c r="D13" s="450"/>
      <c r="E13" s="364"/>
      <c r="F13" s="451"/>
      <c r="G13" s="443"/>
      <c r="H13" s="446"/>
      <c r="I13" s="446"/>
      <c r="J13" s="446"/>
      <c r="K13" s="447"/>
    </row>
    <row r="14" spans="1:41" s="2100" customFormat="1" ht="13.5" customHeight="1">
      <c r="A14" s="1617" t="s">
        <v>1849</v>
      </c>
      <c r="B14" s="448" t="s">
        <v>480</v>
      </c>
      <c r="C14" s="53">
        <f ca="1">ROUND(C13*F14,0)</f>
        <v>4740</v>
      </c>
      <c r="D14" s="450"/>
      <c r="E14" s="364"/>
      <c r="F14" s="452">
        <f>'数据-取费表'!B33</f>
        <v>0.05</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1" customFormat="1" ht="13.5" customHeight="1">
      <c r="A16" s="1617" t="s">
        <v>1851</v>
      </c>
      <c r="B16" s="448" t="s">
        <v>484</v>
      </c>
      <c r="C16" s="53">
        <f ca="1">ROUND(D16*E16/10000,0)</f>
        <v>3792</v>
      </c>
      <c r="D16" s="450">
        <f ca="1">IF(B1="",'数据-汇总表'!E3,INDIRECT("'数据-取费表'!K"&amp;$K$1)+INDIRECT("'数据-取费表'!S"&amp;$K$1))</f>
        <v>189603.41999999995</v>
      </c>
      <c r="E16" s="53">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1422</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104755</v>
      </c>
      <c r="D18" s="460"/>
      <c r="E18" s="461"/>
      <c r="F18" s="461"/>
      <c r="G18" s="1322" t="s">
        <v>2430</v>
      </c>
      <c r="H18" s="446"/>
      <c r="I18" s="446"/>
      <c r="J18" s="446"/>
      <c r="K18" s="447"/>
    </row>
    <row r="19" spans="1:14" s="2103" customFormat="1" ht="13.5" customHeight="1">
      <c r="A19" s="1618" t="s">
        <v>1854</v>
      </c>
      <c r="B19" s="458" t="s">
        <v>493</v>
      </c>
      <c r="C19" s="459">
        <f ca="1">ROUND(C18*F19,0)</f>
        <v>2619</v>
      </c>
      <c r="D19" s="461"/>
      <c r="E19" s="461"/>
      <c r="F19" s="465">
        <f>'数据-取费表'!B37</f>
        <v>2.5000000000000001E-2</v>
      </c>
      <c r="G19" s="443" t="s">
        <v>503</v>
      </c>
      <c r="H19" s="446"/>
      <c r="I19" s="446"/>
      <c r="J19" s="446"/>
      <c r="K19" s="447"/>
      <c r="L19" s="2105"/>
      <c r="M19" s="2105"/>
      <c r="N19" s="2105"/>
    </row>
    <row r="20" spans="1:14" s="2103" customFormat="1" ht="13.5" customHeight="1">
      <c r="A20" s="1618" t="s">
        <v>1855</v>
      </c>
      <c r="B20" s="458" t="s">
        <v>504</v>
      </c>
      <c r="C20" s="2981">
        <f>F20</f>
        <v>2.5000000000000001E-2</v>
      </c>
      <c r="D20" s="468" t="s">
        <v>505</v>
      </c>
      <c r="E20" s="468"/>
      <c r="F20" s="485">
        <f>'数据-取费表'!B38</f>
        <v>2.5000000000000001E-2</v>
      </c>
      <c r="G20" s="1322" t="s">
        <v>506</v>
      </c>
      <c r="H20" s="446"/>
      <c r="I20" s="446"/>
      <c r="J20" s="446"/>
      <c r="K20" s="447"/>
      <c r="L20" s="2105"/>
      <c r="M20" s="2105"/>
      <c r="N20" s="2105"/>
    </row>
    <row r="21" spans="1:14" s="2105" customFormat="1" ht="13.5" customHeight="1">
      <c r="A21" s="1618" t="s">
        <v>1858</v>
      </c>
      <c r="B21" s="460" t="s">
        <v>494</v>
      </c>
      <c r="C21" s="469">
        <f ca="1">C22</f>
        <v>7741</v>
      </c>
      <c r="D21" s="466">
        <f ca="1">C23</f>
        <v>1.8E-3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2452</v>
      </c>
    </row>
    <row r="22" spans="1:14" s="2104" customFormat="1" ht="13.5" customHeight="1">
      <c r="A22" s="1617" t="s">
        <v>1848</v>
      </c>
      <c r="B22" s="1323" t="s">
        <v>2433</v>
      </c>
      <c r="C22" s="486">
        <f ca="1">ROUND(IF('数据-取费表'!B22&lt;=1,(C18+C19)*F21*'数据-取费表'!B20/2,(C18+C19)*(POWER((1+F21),'数据-取费表'!B20/2)-1)),0)</f>
        <v>7741</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1.8E-3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3" t="s">
        <v>2828</v>
      </c>
      <c r="C24" s="477">
        <f ca="1">C25</f>
        <v>22549</v>
      </c>
      <c r="D24" s="488">
        <f ca="1">C26</f>
        <v>5.3E-3</v>
      </c>
      <c r="E24" s="468" t="s">
        <v>507</v>
      </c>
      <c r="F24" s="478">
        <f ca="1">IF(B1="",'数据-取费表'!Q16,INDIRECT("'数据-取费表'!q"&amp;$K$1))</f>
        <v>0.21</v>
      </c>
      <c r="G24" s="443"/>
      <c r="H24" s="446"/>
      <c r="I24" s="446"/>
      <c r="J24" s="446"/>
      <c r="K24" s="447"/>
    </row>
    <row r="25" spans="1:14" s="2104" customFormat="1" ht="13.5" customHeight="1">
      <c r="A25" s="1617" t="s">
        <v>1848</v>
      </c>
      <c r="B25" s="1323" t="s">
        <v>2434</v>
      </c>
      <c r="C25" s="489">
        <f ca="1">ROUND((C18+C19)*F24,0)</f>
        <v>22549</v>
      </c>
      <c r="D25" s="471"/>
      <c r="E25" s="472"/>
      <c r="F25" s="479"/>
      <c r="G25" s="1321" t="s">
        <v>2431</v>
      </c>
      <c r="H25" s="456"/>
      <c r="I25" s="456"/>
      <c r="J25" s="456"/>
      <c r="K25" s="457"/>
    </row>
    <row r="26" spans="1:14" s="2104" customFormat="1" ht="13.5" customHeight="1">
      <c r="A26" s="1617" t="s">
        <v>1849</v>
      </c>
      <c r="B26" s="1323" t="s">
        <v>509</v>
      </c>
      <c r="C26" s="490">
        <f ca="1">ROUND(F20*F24,4)</f>
        <v>5.3E-3</v>
      </c>
      <c r="D26" s="471"/>
      <c r="E26" s="480"/>
      <c r="F26" s="479"/>
      <c r="G26" s="1321" t="s">
        <v>510</v>
      </c>
      <c r="H26" s="456"/>
      <c r="I26" s="456"/>
      <c r="J26" s="456"/>
      <c r="K26" s="457"/>
    </row>
    <row r="27" spans="1:14" s="2104" customFormat="1" ht="13.5" customHeight="1">
      <c r="A27" s="1621" t="s">
        <v>1867</v>
      </c>
      <c r="B27" s="458" t="s">
        <v>511</v>
      </c>
      <c r="C27" s="2982">
        <f>ROUND(F27/(1+'数据-取费表'!C42),4)</f>
        <v>5.8400000000000001E-2</v>
      </c>
      <c r="D27" s="461" t="s">
        <v>2826</v>
      </c>
      <c r="E27" s="461"/>
      <c r="F27" s="465">
        <f>'数据-取费表'!B41</f>
        <v>6.1600000000000002E-2</v>
      </c>
      <c r="G27" s="1944" t="s">
        <v>2289</v>
      </c>
      <c r="H27" s="446"/>
      <c r="I27" s="446"/>
      <c r="J27" s="446"/>
      <c r="K27" s="447"/>
    </row>
    <row r="28" spans="1:14" s="2105" customFormat="1" ht="13.5" customHeight="1">
      <c r="A28" s="1621" t="s">
        <v>1868</v>
      </c>
      <c r="B28" s="475" t="s">
        <v>512</v>
      </c>
      <c r="C28" s="469">
        <f ca="1">ROUND((C18+C19+C21+C24)/(1-C20-D21-D24-C27),0)</f>
        <v>151362</v>
      </c>
      <c r="D28" s="476"/>
      <c r="E28" s="468"/>
      <c r="F28" s="470"/>
      <c r="G28" s="1322" t="s">
        <v>2432</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6.1600000000000002E-2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
    </sheetView>
  </sheetViews>
  <sheetFormatPr defaultColWidth="9" defaultRowHeight="14"/>
  <cols>
    <col min="1" max="1" width="3.453125" style="1639" customWidth="1"/>
    <col min="2" max="2" width="10.81640625" style="1639" customWidth="1"/>
    <col min="3" max="4" width="11.6328125" style="1639" customWidth="1"/>
    <col min="5" max="5" width="6.6328125" style="1639" customWidth="1"/>
    <col min="6" max="16384" width="9" style="1639"/>
  </cols>
  <sheetData>
    <row r="36" spans="1:9">
      <c r="A36" s="1638" t="s">
        <v>1901</v>
      </c>
      <c r="B36" s="1638" t="s">
        <v>1902</v>
      </c>
    </row>
    <row r="37" spans="1:9" ht="28.5" customHeight="1">
      <c r="A37" s="1638"/>
      <c r="B37" s="3206" t="str">
        <f>项目基本情况!B1</f>
        <v>出让国有建设用地使用权抵押价格预评估</v>
      </c>
      <c r="C37" s="3206"/>
      <c r="D37" s="3206"/>
      <c r="E37" s="3206"/>
      <c r="F37" s="3206"/>
      <c r="G37" s="3206"/>
      <c r="H37" s="3206"/>
      <c r="I37" s="3206"/>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ht="13.5">
      <c r="B46" s="1638" t="str">
        <f>项目基本情况!K4</f>
        <v>土地估价师、土地估价师</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8" zoomScale="80" zoomScaleNormal="95" zoomScaleSheetLayoutView="80" workbookViewId="0">
      <selection activeCell="M19" sqref="M19"/>
    </sheetView>
  </sheetViews>
  <sheetFormatPr defaultColWidth="9" defaultRowHeight="14"/>
  <cols>
    <col min="1" max="1" width="15.6328125" style="1332" customWidth="1"/>
    <col min="2" max="2" width="15.81640625" style="1332" customWidth="1"/>
    <col min="3" max="3" width="15.1796875" style="1332" customWidth="1"/>
    <col min="4" max="4" width="12.1796875" style="1332" customWidth="1"/>
    <col min="5" max="5" width="16.08984375" style="1332" customWidth="1"/>
    <col min="6" max="6" width="12.1796875" style="1332" customWidth="1"/>
    <col min="7" max="7" width="15.6328125" style="1332" customWidth="1"/>
    <col min="8" max="8" width="12.1796875" style="1332" customWidth="1"/>
    <col min="9" max="9" width="15.6328125" style="1332" customWidth="1"/>
    <col min="10" max="10" width="12.1796875" style="1332" customWidth="1"/>
    <col min="11" max="11" width="12.1796875" style="1338" customWidth="1"/>
    <col min="12" max="12" width="12.1796875" style="1339" customWidth="1"/>
    <col min="13" max="15" width="12.1796875" style="1332" customWidth="1"/>
    <col min="16" max="16" width="4.81640625" style="1332" customWidth="1"/>
    <col min="17" max="17" width="19.453125" style="1332" customWidth="1"/>
    <col min="18" max="22" width="6.08984375" style="1332" customWidth="1"/>
    <col min="23" max="23" width="5.81640625" style="1332" customWidth="1"/>
    <col min="24" max="24" width="4.1796875" style="1332" customWidth="1"/>
    <col min="25" max="25" width="3.453125" style="1332" customWidth="1"/>
    <col min="26" max="26" width="19.81640625" style="1332" customWidth="1"/>
    <col min="27" max="28" width="9.3632812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280099</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14773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28710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1914</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
      <c r="A6" s="511" t="s">
        <v>521</v>
      </c>
      <c r="B6" s="512"/>
      <c r="C6" s="3380" t="s">
        <v>522</v>
      </c>
      <c r="D6" s="3381"/>
      <c r="E6" s="3380" t="s">
        <v>523</v>
      </c>
      <c r="F6" s="3381"/>
      <c r="G6" s="3380" t="s">
        <v>524</v>
      </c>
      <c r="H6" s="3381"/>
      <c r="I6" s="3380" t="s">
        <v>525</v>
      </c>
      <c r="J6" s="3381"/>
      <c r="K6" s="513" t="s">
        <v>526</v>
      </c>
      <c r="L6" s="2117"/>
      <c r="M6" s="2116"/>
      <c r="N6" s="2116"/>
      <c r="O6" s="2118"/>
      <c r="P6" s="3382" t="s">
        <v>527</v>
      </c>
      <c r="Q6" s="3383"/>
      <c r="R6" s="3388" t="s">
        <v>523</v>
      </c>
      <c r="S6" s="3389"/>
      <c r="T6" s="3388" t="s">
        <v>524</v>
      </c>
      <c r="U6" s="3389"/>
      <c r="V6" s="3375" t="s">
        <v>525</v>
      </c>
      <c r="W6" s="3375"/>
      <c r="X6" s="1552"/>
      <c r="Y6" s="3388" t="s">
        <v>527</v>
      </c>
      <c r="Z6" s="3389"/>
      <c r="AA6" s="3377" t="s">
        <v>523</v>
      </c>
      <c r="AB6" s="3378" t="s">
        <v>524</v>
      </c>
      <c r="AC6" s="3377" t="s">
        <v>525</v>
      </c>
    </row>
    <row r="7" spans="1:30" ht="35.5" customHeight="1">
      <c r="A7" s="514"/>
      <c r="B7" s="515"/>
      <c r="C7" s="3396" t="s">
        <v>2927</v>
      </c>
      <c r="D7" s="3397"/>
      <c r="E7" s="3396" t="str">
        <f>土地案例!A5</f>
        <v>朝阳区金盏乡楼梓庄村1113-602地块</v>
      </c>
      <c r="F7" s="3397"/>
      <c r="G7" s="3396" t="str">
        <f>土地案例!A7</f>
        <v>朝阳区金盏乡楼梓庄村1113-603地块</v>
      </c>
      <c r="H7" s="3397"/>
      <c r="I7" s="3396" t="str">
        <f>土地案例!A8</f>
        <v>朝阳区金盏乡楼梓庄村1113-604地块</v>
      </c>
      <c r="J7" s="3397"/>
      <c r="K7" s="513"/>
      <c r="L7" s="2117"/>
      <c r="M7" s="2116"/>
      <c r="N7" s="2116"/>
      <c r="O7" s="2118"/>
      <c r="P7" s="3384"/>
      <c r="Q7" s="3385"/>
      <c r="R7" s="3390"/>
      <c r="S7" s="3391"/>
      <c r="T7" s="3390"/>
      <c r="U7" s="3391"/>
      <c r="V7" s="3375"/>
      <c r="W7" s="3375"/>
      <c r="X7" s="1552"/>
      <c r="Y7" s="3390"/>
      <c r="Z7" s="3391"/>
      <c r="AA7" s="3378"/>
      <c r="AB7" s="3378"/>
      <c r="AC7" s="3378"/>
    </row>
    <row r="8" spans="1:30" ht="20.5" thickBot="1">
      <c r="A8" s="514"/>
      <c r="B8" s="515"/>
      <c r="C8" s="3398" t="s">
        <v>2931</v>
      </c>
      <c r="D8" s="3399"/>
      <c r="E8" s="3398" t="s">
        <v>2931</v>
      </c>
      <c r="F8" s="3399"/>
      <c r="G8" s="3394" t="s">
        <v>2931</v>
      </c>
      <c r="H8" s="3395"/>
      <c r="I8" s="3394" t="s">
        <v>2931</v>
      </c>
      <c r="J8" s="3395"/>
      <c r="K8" s="513" t="s">
        <v>528</v>
      </c>
      <c r="L8" s="2117"/>
      <c r="M8" s="2116"/>
      <c r="N8" s="2116"/>
      <c r="O8" s="2118"/>
      <c r="P8" s="3386"/>
      <c r="Q8" s="3387"/>
      <c r="R8" s="3390"/>
      <c r="S8" s="3391"/>
      <c r="T8" s="3392"/>
      <c r="U8" s="3393"/>
      <c r="V8" s="3375"/>
      <c r="W8" s="3375"/>
      <c r="X8" s="1552"/>
      <c r="Y8" s="3392"/>
      <c r="Z8" s="3393"/>
      <c r="AA8" s="3379"/>
      <c r="AB8" s="3379"/>
      <c r="AC8" s="3379"/>
    </row>
    <row r="9" spans="1:30" s="1215" customFormat="1" ht="20.5" thickBot="1">
      <c r="A9" s="2866"/>
      <c r="B9" s="2873" t="s">
        <v>529</v>
      </c>
      <c r="C9" s="2865">
        <f>'数据-取费表'!B2</f>
        <v>43873</v>
      </c>
      <c r="D9" s="519">
        <v>100</v>
      </c>
      <c r="E9" s="520" t="str">
        <f>土地案例!G5</f>
        <v>2017-04-14</v>
      </c>
      <c r="F9" s="521">
        <f>SUMIF(72:72,YEAR(E9)&amp;"-"&amp;INT((MONTH(E9)+2)/3),73:73)</f>
        <v>94.5</v>
      </c>
      <c r="G9" s="522" t="str">
        <f>土地案例!G7</f>
        <v>2017-03-30</v>
      </c>
      <c r="H9" s="519">
        <f>SUMIF(72:72,YEAR(G9)&amp;"-"&amp;INT((MONTH(G9)+2)/3),73:73)</f>
        <v>94</v>
      </c>
      <c r="I9" s="522" t="str">
        <f>土地案例!G8</f>
        <v>2017-03-30</v>
      </c>
      <c r="J9" s="519">
        <f>SUMIF(72:72,YEAR(I9)&amp;"-"&amp;INT((MONTH(I9)+2)/3),73:73)</f>
        <v>94</v>
      </c>
      <c r="K9" s="523"/>
      <c r="L9" s="2119"/>
      <c r="M9" s="2116"/>
      <c r="N9" s="2116"/>
      <c r="O9" s="2120"/>
      <c r="P9" s="3405" t="s">
        <v>530</v>
      </c>
      <c r="Q9" s="3407"/>
      <c r="R9" s="1553" t="s">
        <v>8</v>
      </c>
      <c r="S9" s="1554">
        <f t="shared" ref="S9:S17" si="0">F9</f>
        <v>94.5</v>
      </c>
      <c r="T9" s="1553" t="s">
        <v>8</v>
      </c>
      <c r="U9" s="1554">
        <f t="shared" ref="U9:U17" si="1">H9</f>
        <v>94</v>
      </c>
      <c r="V9" s="1553" t="s">
        <v>8</v>
      </c>
      <c r="W9" s="1554">
        <f t="shared" ref="W9:W17" si="2">J9</f>
        <v>94</v>
      </c>
      <c r="X9" s="1555"/>
      <c r="Y9" s="3405" t="s">
        <v>530</v>
      </c>
      <c r="Z9" s="3406"/>
      <c r="AA9" s="1556">
        <f>D9/F9</f>
        <v>1.0582010582010581</v>
      </c>
      <c r="AB9" s="1556">
        <f>D9/H9</f>
        <v>1.0638297872340425</v>
      </c>
      <c r="AC9" s="1556">
        <f>D9/J9</f>
        <v>1.0638297872340425</v>
      </c>
    </row>
    <row r="10" spans="1:30" s="1215" customFormat="1" ht="20.5" thickBot="1">
      <c r="A10" s="2867"/>
      <c r="B10" s="2874"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9"/>
      <c r="M10" s="2116"/>
      <c r="N10" s="2116"/>
      <c r="O10" s="2120"/>
      <c r="P10" s="3405" t="s">
        <v>533</v>
      </c>
      <c r="Q10" s="3406"/>
      <c r="R10" s="1553" t="s">
        <v>8</v>
      </c>
      <c r="S10" s="1554">
        <f t="shared" si="0"/>
        <v>100</v>
      </c>
      <c r="T10" s="1553" t="s">
        <v>8</v>
      </c>
      <c r="U10" s="1554">
        <f t="shared" si="1"/>
        <v>100</v>
      </c>
      <c r="V10" s="1553" t="s">
        <v>8</v>
      </c>
      <c r="W10" s="1554">
        <f t="shared" si="2"/>
        <v>100</v>
      </c>
      <c r="X10" s="1555"/>
      <c r="Y10" s="3405" t="s">
        <v>533</v>
      </c>
      <c r="Z10" s="3406"/>
      <c r="AA10" s="1556">
        <f t="shared" ref="AA10:AA47" si="3">D10/F10</f>
        <v>1</v>
      </c>
      <c r="AB10" s="1556">
        <f t="shared" ref="AB10:AB47" si="4">D10/H10</f>
        <v>1</v>
      </c>
      <c r="AC10" s="1556">
        <f t="shared" ref="AC10:AC47" si="5">D10/J10</f>
        <v>1</v>
      </c>
    </row>
    <row r="11" spans="1:30" s="1215" customFormat="1" ht="20">
      <c r="A11" s="2868"/>
      <c r="B11" s="2875" t="s">
        <v>2753</v>
      </c>
      <c r="C11" s="2862" t="s">
        <v>3077</v>
      </c>
      <c r="D11" s="253">
        <v>100</v>
      </c>
      <c r="E11" s="2862" t="s">
        <v>3077</v>
      </c>
      <c r="F11" s="253">
        <f>SUMIF(77:77,E11,78:78)-SUMIF(77:77,C11,78:78)+100</f>
        <v>100</v>
      </c>
      <c r="G11" s="2862" t="s">
        <v>3077</v>
      </c>
      <c r="H11" s="253">
        <f>SUMIF(77:77,G11,78:78)-SUMIF(77:77,C11,78:78)+100</f>
        <v>100</v>
      </c>
      <c r="I11" s="2862" t="s">
        <v>3077</v>
      </c>
      <c r="J11" s="253">
        <f>SUMIF(77:77,I11,78:78)-SUMIF(77:77,C11,78:78)+100</f>
        <v>100</v>
      </c>
      <c r="K11" s="523"/>
      <c r="L11" s="2119"/>
      <c r="M11" s="2116"/>
      <c r="N11" s="2116"/>
      <c r="O11" s="2121"/>
      <c r="P11" s="3374" t="s">
        <v>535</v>
      </c>
      <c r="Q11" s="1146" t="str">
        <f t="shared" ref="Q11:Q17" si="6">B11</f>
        <v>用途</v>
      </c>
      <c r="R11" s="1553" t="s">
        <v>8</v>
      </c>
      <c r="S11" s="1554">
        <f t="shared" si="0"/>
        <v>100</v>
      </c>
      <c r="T11" s="1553" t="s">
        <v>8</v>
      </c>
      <c r="U11" s="1554">
        <f t="shared" si="1"/>
        <v>100</v>
      </c>
      <c r="V11" s="1553" t="s">
        <v>8</v>
      </c>
      <c r="W11" s="1554">
        <f t="shared" si="2"/>
        <v>100</v>
      </c>
      <c r="X11" s="1555"/>
      <c r="Y11" s="3320" t="s">
        <v>536</v>
      </c>
      <c r="Z11" s="1145" t="str">
        <f t="shared" ref="Z11:Z17" si="7">Q11</f>
        <v>用途</v>
      </c>
      <c r="AA11" s="1556">
        <f t="shared" si="3"/>
        <v>1</v>
      </c>
      <c r="AB11" s="1556">
        <f t="shared" si="4"/>
        <v>1</v>
      </c>
      <c r="AC11" s="1556">
        <f t="shared" si="5"/>
        <v>1</v>
      </c>
    </row>
    <row r="12" spans="1:30" s="1333" customFormat="1" ht="28">
      <c r="A12" s="2869"/>
      <c r="B12" s="2874" t="s">
        <v>2754</v>
      </c>
      <c r="C12" s="909">
        <f>项目基本情况!F19</f>
        <v>41.1</v>
      </c>
      <c r="D12" s="254">
        <v>100</v>
      </c>
      <c r="E12" s="528" t="s">
        <v>3079</v>
      </c>
      <c r="F12" s="254">
        <f>ROUND(100/'数据-取费表'!G16,0)</f>
        <v>106</v>
      </c>
      <c r="G12" s="529" t="s">
        <v>3079</v>
      </c>
      <c r="H12" s="254">
        <f>ROUND(100/'数据-取费表'!G16,0)</f>
        <v>106</v>
      </c>
      <c r="I12" s="529" t="s">
        <v>3079</v>
      </c>
      <c r="J12" s="254">
        <f>ROUND(100/'数据-取费表'!G16,0)</f>
        <v>106</v>
      </c>
      <c r="K12" s="530"/>
      <c r="L12" s="2122"/>
      <c r="M12" s="2116"/>
      <c r="N12" s="2116"/>
      <c r="O12" s="2123"/>
      <c r="P12" s="3374"/>
      <c r="Q12" s="1146" t="str">
        <f t="shared" si="6"/>
        <v>土地使用年限（年）</v>
      </c>
      <c r="R12" s="1553" t="s">
        <v>8</v>
      </c>
      <c r="S12" s="1554">
        <f t="shared" si="0"/>
        <v>106</v>
      </c>
      <c r="T12" s="1553" t="s">
        <v>8</v>
      </c>
      <c r="U12" s="1554">
        <f t="shared" si="1"/>
        <v>106</v>
      </c>
      <c r="V12" s="1553" t="s">
        <v>8</v>
      </c>
      <c r="W12" s="1554">
        <f t="shared" si="2"/>
        <v>106</v>
      </c>
      <c r="X12" s="1555"/>
      <c r="Y12" s="3320"/>
      <c r="Z12" s="1145" t="str">
        <f t="shared" si="7"/>
        <v>土地使用年限（年）</v>
      </c>
      <c r="AA12" s="1556">
        <f t="shared" si="3"/>
        <v>0.94339622641509435</v>
      </c>
      <c r="AB12" s="1556">
        <f t="shared" si="4"/>
        <v>0.94339622641509435</v>
      </c>
      <c r="AC12" s="1556">
        <f t="shared" si="5"/>
        <v>0.94339622641509435</v>
      </c>
    </row>
    <row r="13" spans="1:30" ht="20">
      <c r="A13" s="2870"/>
      <c r="B13" s="2874" t="s">
        <v>2755</v>
      </c>
      <c r="C13" s="533">
        <f>'数据-汇总表'!I6</f>
        <v>0.97</v>
      </c>
      <c r="D13" s="254">
        <v>100</v>
      </c>
      <c r="E13" s="532">
        <f>土地案例!E5</f>
        <v>3</v>
      </c>
      <c r="F13" s="254">
        <f>LOOKUP(E13,82:82,83:83)-LOOKUP(C13,82:82,83:83)+100</f>
        <v>91</v>
      </c>
      <c r="G13" s="533">
        <f>土地案例!E7</f>
        <v>2</v>
      </c>
      <c r="H13" s="254">
        <f>LOOKUP(G13,82:82,83:83)-LOOKUP(C13,82:82,83:83)+100</f>
        <v>94</v>
      </c>
      <c r="I13" s="532">
        <f>土地案例!E8</f>
        <v>2</v>
      </c>
      <c r="J13" s="254">
        <f>LOOKUP(I13,82:82,83:83)-LOOKUP(C13,82:82,83:83)+100</f>
        <v>94</v>
      </c>
      <c r="K13" s="534">
        <v>3</v>
      </c>
      <c r="L13" s="2124"/>
      <c r="M13" s="2116"/>
      <c r="N13" s="2116"/>
      <c r="O13" s="2125"/>
      <c r="P13" s="3374"/>
      <c r="Q13" s="1146" t="str">
        <f t="shared" si="6"/>
        <v>容积率</v>
      </c>
      <c r="R13" s="1553" t="s">
        <v>8</v>
      </c>
      <c r="S13" s="1554">
        <f t="shared" si="0"/>
        <v>91</v>
      </c>
      <c r="T13" s="1553" t="s">
        <v>8</v>
      </c>
      <c r="U13" s="1554">
        <f t="shared" si="1"/>
        <v>94</v>
      </c>
      <c r="V13" s="1553" t="s">
        <v>8</v>
      </c>
      <c r="W13" s="1554">
        <f t="shared" si="2"/>
        <v>94</v>
      </c>
      <c r="X13" s="1555"/>
      <c r="Y13" s="3320"/>
      <c r="Z13" s="1145" t="str">
        <f t="shared" si="7"/>
        <v>容积率</v>
      </c>
      <c r="AA13" s="1556">
        <f t="shared" si="3"/>
        <v>1.098901098901099</v>
      </c>
      <c r="AB13" s="1556">
        <f t="shared" si="4"/>
        <v>1.0638297872340425</v>
      </c>
      <c r="AC13" s="1556">
        <f t="shared" si="5"/>
        <v>1.0638297872340425</v>
      </c>
    </row>
    <row r="14" spans="1:30" s="1215" customFormat="1" ht="20" hidden="1">
      <c r="A14" s="2867"/>
      <c r="B14" s="2876" t="s">
        <v>2756</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374"/>
      <c r="Q14" s="1146" t="str">
        <f t="shared" si="6"/>
        <v>配建</v>
      </c>
      <c r="R14" s="1553" t="s">
        <v>8</v>
      </c>
      <c r="S14" s="1554">
        <f t="shared" si="0"/>
        <v>100</v>
      </c>
      <c r="T14" s="1553" t="s">
        <v>8</v>
      </c>
      <c r="U14" s="1554">
        <f t="shared" si="1"/>
        <v>100</v>
      </c>
      <c r="V14" s="1553" t="s">
        <v>8</v>
      </c>
      <c r="W14" s="1554">
        <f t="shared" si="2"/>
        <v>100</v>
      </c>
      <c r="X14" s="1555"/>
      <c r="Y14" s="3320"/>
      <c r="Z14" s="1145" t="str">
        <f t="shared" si="7"/>
        <v>配建</v>
      </c>
      <c r="AA14" s="1556">
        <f>D14/F14</f>
        <v>1</v>
      </c>
      <c r="AB14" s="1556">
        <f>D14/H14</f>
        <v>1</v>
      </c>
      <c r="AC14" s="1556">
        <f>D14/J14</f>
        <v>1</v>
      </c>
    </row>
    <row r="15" spans="1:30" ht="20" hidden="1">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74"/>
      <c r="Q15" s="1146">
        <f t="shared" si="6"/>
        <v>111</v>
      </c>
      <c r="R15" s="1553" t="s">
        <v>8</v>
      </c>
      <c r="S15" s="1554">
        <f t="shared" si="0"/>
        <v>100</v>
      </c>
      <c r="T15" s="1553" t="s">
        <v>8</v>
      </c>
      <c r="U15" s="1554">
        <f t="shared" si="1"/>
        <v>100</v>
      </c>
      <c r="V15" s="1553" t="s">
        <v>8</v>
      </c>
      <c r="W15" s="1554">
        <f t="shared" si="2"/>
        <v>100</v>
      </c>
      <c r="X15" s="1555"/>
      <c r="Y15" s="3320"/>
      <c r="Z15" s="1145">
        <f t="shared" si="7"/>
        <v>111</v>
      </c>
      <c r="AA15" s="1556">
        <f>D15/F15</f>
        <v>1</v>
      </c>
      <c r="AB15" s="1556">
        <f>D15/H15</f>
        <v>1</v>
      </c>
      <c r="AC15" s="1556">
        <f>D15/J15</f>
        <v>1</v>
      </c>
    </row>
    <row r="16" spans="1:30" ht="20.5" hidden="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74"/>
      <c r="Q16" s="1146">
        <f t="shared" si="6"/>
        <v>111</v>
      </c>
      <c r="R16" s="1553" t="s">
        <v>8</v>
      </c>
      <c r="S16" s="1554">
        <f t="shared" si="0"/>
        <v>100</v>
      </c>
      <c r="T16" s="1553" t="s">
        <v>8</v>
      </c>
      <c r="U16" s="1554">
        <f t="shared" si="1"/>
        <v>100</v>
      </c>
      <c r="V16" s="1553" t="s">
        <v>8</v>
      </c>
      <c r="W16" s="1554">
        <f t="shared" si="2"/>
        <v>100</v>
      </c>
      <c r="X16" s="1555"/>
      <c r="Y16" s="3320"/>
      <c r="Z16" s="1145">
        <f t="shared" si="7"/>
        <v>111</v>
      </c>
      <c r="AA16" s="1556">
        <f>D16/F16</f>
        <v>1</v>
      </c>
      <c r="AB16" s="1556">
        <f>D16/H16</f>
        <v>1</v>
      </c>
      <c r="AC16" s="1556">
        <f>D16/J16</f>
        <v>1</v>
      </c>
    </row>
    <row r="17" spans="1:29" ht="98" hidden="1">
      <c r="A17" s="2864"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6"/>
      <c r="M17" s="2116"/>
      <c r="N17" s="2116"/>
      <c r="O17" s="2125"/>
      <c r="P17" s="3408" t="s">
        <v>540</v>
      </c>
      <c r="Q17" s="1557" t="str">
        <f t="shared" si="6"/>
        <v>居住社区成熟度</v>
      </c>
      <c r="R17" s="1558" t="s">
        <v>8</v>
      </c>
      <c r="S17" s="1559">
        <f t="shared" si="0"/>
        <v>100</v>
      </c>
      <c r="T17" s="1558" t="s">
        <v>8</v>
      </c>
      <c r="U17" s="1559">
        <f t="shared" si="1"/>
        <v>100</v>
      </c>
      <c r="V17" s="1558" t="s">
        <v>8</v>
      </c>
      <c r="W17" s="1559">
        <f t="shared" si="2"/>
        <v>100</v>
      </c>
      <c r="X17" s="1552"/>
      <c r="Y17" s="3408" t="s">
        <v>540</v>
      </c>
      <c r="Z17" s="1560" t="str">
        <f t="shared" si="7"/>
        <v>居住社区成熟度</v>
      </c>
      <c r="AA17" s="1561">
        <f t="shared" si="3"/>
        <v>1</v>
      </c>
      <c r="AB17" s="1561">
        <f t="shared" si="4"/>
        <v>1</v>
      </c>
      <c r="AC17" s="1561">
        <f t="shared" si="5"/>
        <v>1</v>
      </c>
    </row>
    <row r="18" spans="1:29" ht="20" hidden="1">
      <c r="A18" s="531"/>
      <c r="B18" s="552"/>
      <c r="C18" s="553"/>
      <c r="D18" s="556"/>
      <c r="E18" s="557"/>
      <c r="F18" s="554"/>
      <c r="G18" s="555"/>
      <c r="H18" s="558"/>
      <c r="I18" s="557"/>
      <c r="J18" s="554"/>
      <c r="K18" s="530"/>
      <c r="L18" s="2126"/>
      <c r="M18" s="2116"/>
      <c r="N18" s="2116"/>
      <c r="O18" s="2125"/>
      <c r="P18" s="3409"/>
      <c r="Q18" s="1557"/>
      <c r="R18" s="1558"/>
      <c r="S18" s="1559"/>
      <c r="T18" s="1558"/>
      <c r="U18" s="1559"/>
      <c r="V18" s="1558"/>
      <c r="W18" s="1559"/>
      <c r="X18" s="1552"/>
      <c r="Y18" s="3409"/>
      <c r="Z18" s="1560"/>
      <c r="AA18" s="1561">
        <v>1</v>
      </c>
      <c r="AB18" s="1561">
        <v>1</v>
      </c>
      <c r="AC18" s="1561">
        <v>1</v>
      </c>
    </row>
    <row r="19" spans="1:29" ht="70">
      <c r="A19" s="531"/>
      <c r="B19" s="559" t="s">
        <v>541</v>
      </c>
      <c r="C19" s="560" t="str">
        <f>估价对象房地状况!C16</f>
        <v>估价对象位于XX商圈，周边商业氛围成熟，人流量大，商业繁华度好</v>
      </c>
      <c r="D19" s="562">
        <v>100</v>
      </c>
      <c r="E19" s="563"/>
      <c r="F19" s="558">
        <f>SUMIF(92:92,E20,93:93)-SUMIF(92:92,C20,93:93)+100</f>
        <v>99</v>
      </c>
      <c r="G19" s="561"/>
      <c r="H19" s="564">
        <f>SUMIF(92:92,G20,93:93)-SUMIF(92:92,C20,93:93)+100</f>
        <v>99</v>
      </c>
      <c r="I19" s="563"/>
      <c r="J19" s="564">
        <f>SUMIF(92:92,I20,93:93)-SUMIF(92:92,C20,93:93)+100</f>
        <v>99</v>
      </c>
      <c r="K19" s="534">
        <v>1</v>
      </c>
      <c r="L19" s="2126"/>
      <c r="M19" s="2116"/>
      <c r="N19" s="2116"/>
      <c r="O19" s="2125"/>
      <c r="P19" s="3409"/>
      <c r="Q19" s="1557" t="str">
        <f>B19</f>
        <v>商业繁华度</v>
      </c>
      <c r="R19" s="1558" t="s">
        <v>8</v>
      </c>
      <c r="S19" s="1559">
        <f>F19</f>
        <v>99</v>
      </c>
      <c r="T19" s="1558" t="s">
        <v>8</v>
      </c>
      <c r="U19" s="1559">
        <f>H19</f>
        <v>99</v>
      </c>
      <c r="V19" s="1558" t="s">
        <v>8</v>
      </c>
      <c r="W19" s="1559">
        <f>J19</f>
        <v>99</v>
      </c>
      <c r="X19" s="1552"/>
      <c r="Y19" s="3409"/>
      <c r="Z19" s="1560" t="str">
        <f>Q19</f>
        <v>商业繁华度</v>
      </c>
      <c r="AA19" s="1561">
        <f t="shared" si="3"/>
        <v>1.0101010101010102</v>
      </c>
      <c r="AB19" s="1561">
        <f t="shared" si="4"/>
        <v>1.0101010101010102</v>
      </c>
      <c r="AC19" s="1561">
        <f t="shared" si="5"/>
        <v>1.0101010101010102</v>
      </c>
    </row>
    <row r="20" spans="1:29" ht="20">
      <c r="A20" s="531"/>
      <c r="B20" s="565"/>
      <c r="C20" s="566" t="s">
        <v>3080</v>
      </c>
      <c r="D20" s="562"/>
      <c r="E20" s="568" t="s">
        <v>3081</v>
      </c>
      <c r="F20" s="558"/>
      <c r="G20" s="568" t="s">
        <v>3081</v>
      </c>
      <c r="H20" s="554"/>
      <c r="I20" s="568" t="s">
        <v>3081</v>
      </c>
      <c r="J20" s="554"/>
      <c r="K20" s="530"/>
      <c r="L20" s="2126"/>
      <c r="M20" s="2116"/>
      <c r="N20" s="2116"/>
      <c r="O20" s="2125"/>
      <c r="P20" s="3409"/>
      <c r="Q20" s="1557"/>
      <c r="R20" s="1558"/>
      <c r="S20" s="1559"/>
      <c r="T20" s="1558"/>
      <c r="U20" s="1559"/>
      <c r="V20" s="1558"/>
      <c r="W20" s="1559"/>
      <c r="X20" s="1552"/>
      <c r="Y20" s="3409"/>
      <c r="Z20" s="1560"/>
      <c r="AA20" s="1561">
        <v>1</v>
      </c>
      <c r="AB20" s="1561">
        <v>1</v>
      </c>
      <c r="AC20" s="1561">
        <v>1</v>
      </c>
    </row>
    <row r="21" spans="1:29" ht="84">
      <c r="A21" s="531"/>
      <c r="B21" s="559" t="s">
        <v>542</v>
      </c>
      <c r="C21" s="560" t="str">
        <f>估价对象房地状况!C17</f>
        <v>估价对象位于XX商圈，周边办公楼项目较多，入驻率高，办公集聚程度较好</v>
      </c>
      <c r="D21" s="570">
        <v>100</v>
      </c>
      <c r="E21" s="571"/>
      <c r="F21" s="564">
        <f>SUMIF(94:94,E22,95:95)-SUMIF(94:94,C22,95:95)+100</f>
        <v>99</v>
      </c>
      <c r="G21" s="569"/>
      <c r="H21" s="558">
        <f>SUMIF(94:94,G22,95:95)-SUMIF(94:94,C22,95:95)+100</f>
        <v>99</v>
      </c>
      <c r="I21" s="571"/>
      <c r="J21" s="558">
        <f>SUMIF(94:94,I22,95:95)-SUMIF(94:94,C22,95:95)+100</f>
        <v>99</v>
      </c>
      <c r="K21" s="534">
        <v>1</v>
      </c>
      <c r="L21" s="2126"/>
      <c r="M21" s="2116"/>
      <c r="N21" s="2116"/>
      <c r="O21" s="2125"/>
      <c r="P21" s="3409"/>
      <c r="Q21" s="1557" t="str">
        <f>B21</f>
        <v>办公集聚程度</v>
      </c>
      <c r="R21" s="1558" t="s">
        <v>8</v>
      </c>
      <c r="S21" s="1559">
        <f>F21</f>
        <v>99</v>
      </c>
      <c r="T21" s="1558" t="s">
        <v>8</v>
      </c>
      <c r="U21" s="1559">
        <f>H21</f>
        <v>99</v>
      </c>
      <c r="V21" s="1558" t="s">
        <v>8</v>
      </c>
      <c r="W21" s="1559">
        <f>J21</f>
        <v>99</v>
      </c>
      <c r="X21" s="1552"/>
      <c r="Y21" s="3409"/>
      <c r="Z21" s="1560" t="str">
        <f>Q21</f>
        <v>办公集聚程度</v>
      </c>
      <c r="AA21" s="1561">
        <f t="shared" si="3"/>
        <v>1.0101010101010102</v>
      </c>
      <c r="AB21" s="1561">
        <f t="shared" si="4"/>
        <v>1.0101010101010102</v>
      </c>
      <c r="AC21" s="1561">
        <f t="shared" si="5"/>
        <v>1.0101010101010102</v>
      </c>
    </row>
    <row r="22" spans="1:29" ht="20">
      <c r="A22" s="531"/>
      <c r="B22" s="565"/>
      <c r="C22" s="553" t="s">
        <v>3080</v>
      </c>
      <c r="D22" s="556"/>
      <c r="E22" s="568" t="s">
        <v>3081</v>
      </c>
      <c r="F22" s="554"/>
      <c r="G22" s="568" t="s">
        <v>3081</v>
      </c>
      <c r="H22" s="554"/>
      <c r="I22" s="568" t="s">
        <v>3081</v>
      </c>
      <c r="J22" s="554"/>
      <c r="K22" s="530"/>
      <c r="L22" s="2126"/>
      <c r="M22" s="2116"/>
      <c r="N22" s="2116"/>
      <c r="O22" s="2125"/>
      <c r="P22" s="3409"/>
      <c r="Q22" s="1557"/>
      <c r="R22" s="1558"/>
      <c r="S22" s="1559"/>
      <c r="T22" s="1558"/>
      <c r="U22" s="1559"/>
      <c r="V22" s="1558"/>
      <c r="W22" s="1559"/>
      <c r="X22" s="1552"/>
      <c r="Y22" s="3409"/>
      <c r="Z22" s="1560"/>
      <c r="AA22" s="1561">
        <v>1</v>
      </c>
      <c r="AB22" s="1561">
        <v>1</v>
      </c>
      <c r="AC22" s="1561">
        <v>1</v>
      </c>
    </row>
    <row r="23" spans="1:29" ht="84">
      <c r="A23" s="531"/>
      <c r="B23" s="559" t="s">
        <v>543</v>
      </c>
      <c r="C23" s="572" t="str">
        <f>估价对象房地状况!C18</f>
        <v>估价对象周边道路状况、公共交通通达情况、停车便捷程度，综合评价交通便捷度较好</v>
      </c>
      <c r="D23" s="562">
        <v>100</v>
      </c>
      <c r="E23" s="563"/>
      <c r="F23" s="564">
        <f>SUMIF(96:96,E24,97:97)-SUMIF(96:96,C24,97:97)+100</f>
        <v>99</v>
      </c>
      <c r="G23" s="561"/>
      <c r="H23" s="558">
        <f>SUMIF(96:96,G24,97:97)-SUMIF(96:96,C24,97:97)+100</f>
        <v>99</v>
      </c>
      <c r="I23" s="563"/>
      <c r="J23" s="558">
        <f>SUMIF(96:96,I24,97:97)-SUMIF(96:96,C24,97:97)+100</f>
        <v>99</v>
      </c>
      <c r="K23" s="534">
        <v>1</v>
      </c>
      <c r="L23" s="2126"/>
      <c r="M23" s="2116"/>
      <c r="N23" s="2116"/>
      <c r="O23" s="2125"/>
      <c r="P23" s="3409"/>
      <c r="Q23" s="1557" t="str">
        <f>B23</f>
        <v>交通便捷度</v>
      </c>
      <c r="R23" s="1558" t="s">
        <v>8</v>
      </c>
      <c r="S23" s="1559">
        <f>F23</f>
        <v>99</v>
      </c>
      <c r="T23" s="1558" t="s">
        <v>8</v>
      </c>
      <c r="U23" s="1559">
        <f>H23</f>
        <v>99</v>
      </c>
      <c r="V23" s="1558" t="s">
        <v>8</v>
      </c>
      <c r="W23" s="1559">
        <f>J23</f>
        <v>99</v>
      </c>
      <c r="X23" s="1552"/>
      <c r="Y23" s="3409"/>
      <c r="Z23" s="1560" t="str">
        <f>Q23</f>
        <v>交通便捷度</v>
      </c>
      <c r="AA23" s="1561">
        <f t="shared" si="3"/>
        <v>1.0101010101010102</v>
      </c>
      <c r="AB23" s="1561">
        <f t="shared" si="4"/>
        <v>1.0101010101010102</v>
      </c>
      <c r="AC23" s="1561">
        <f t="shared" si="5"/>
        <v>1.0101010101010102</v>
      </c>
    </row>
    <row r="24" spans="1:29" ht="20">
      <c r="A24" s="531"/>
      <c r="B24" s="577"/>
      <c r="C24" s="553" t="s">
        <v>3080</v>
      </c>
      <c r="D24" s="556"/>
      <c r="E24" s="557" t="s">
        <v>3081</v>
      </c>
      <c r="F24" s="554"/>
      <c r="G24" s="555" t="s">
        <v>3081</v>
      </c>
      <c r="H24" s="554"/>
      <c r="I24" s="557" t="s">
        <v>3081</v>
      </c>
      <c r="J24" s="554"/>
      <c r="K24" s="530"/>
      <c r="L24" s="2126"/>
      <c r="M24" s="2116"/>
      <c r="N24" s="2116"/>
      <c r="O24" s="2125"/>
      <c r="P24" s="3409"/>
      <c r="Q24" s="1557"/>
      <c r="R24" s="1558"/>
      <c r="S24" s="1559"/>
      <c r="T24" s="1558"/>
      <c r="U24" s="1559"/>
      <c r="V24" s="1558"/>
      <c r="W24" s="1559"/>
      <c r="X24" s="1552"/>
      <c r="Y24" s="3409"/>
      <c r="Z24" s="1560"/>
      <c r="AA24" s="1561">
        <v>1</v>
      </c>
      <c r="AB24" s="1561">
        <v>1</v>
      </c>
      <c r="AC24" s="1561">
        <v>1</v>
      </c>
    </row>
    <row r="25" spans="1:29" ht="2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26"/>
      <c r="M25" s="2116"/>
      <c r="N25" s="2116"/>
      <c r="O25" s="2125"/>
      <c r="P25" s="3409"/>
      <c r="Q25" s="1557" t="str">
        <f t="shared" ref="Q25:Q39" si="8">B25</f>
        <v>区域土地利用方向</v>
      </c>
      <c r="R25" s="1558" t="s">
        <v>8</v>
      </c>
      <c r="S25" s="1559">
        <f>F25</f>
        <v>100</v>
      </c>
      <c r="T25" s="1558" t="s">
        <v>8</v>
      </c>
      <c r="U25" s="1559">
        <f>H25</f>
        <v>100</v>
      </c>
      <c r="V25" s="1558" t="s">
        <v>8</v>
      </c>
      <c r="W25" s="1559">
        <f>J25</f>
        <v>100</v>
      </c>
      <c r="X25" s="1552"/>
      <c r="Y25" s="3409"/>
      <c r="Z25" s="1560" t="str">
        <f>Q25</f>
        <v>区域土地利用方向</v>
      </c>
      <c r="AA25" s="1561">
        <f t="shared" si="3"/>
        <v>1</v>
      </c>
      <c r="AB25" s="1561">
        <f t="shared" si="4"/>
        <v>1</v>
      </c>
      <c r="AC25" s="1561">
        <f t="shared" si="5"/>
        <v>1</v>
      </c>
    </row>
    <row r="26" spans="1:29" ht="20">
      <c r="A26" s="514"/>
      <c r="B26" s="1006"/>
      <c r="C26" s="553" t="s">
        <v>3080</v>
      </c>
      <c r="D26" s="556"/>
      <c r="E26" s="557" t="s">
        <v>3080</v>
      </c>
      <c r="F26" s="554"/>
      <c r="G26" s="555" t="s">
        <v>3080</v>
      </c>
      <c r="H26" s="554"/>
      <c r="I26" s="557" t="s">
        <v>3080</v>
      </c>
      <c r="J26" s="554"/>
      <c r="K26" s="530"/>
      <c r="L26" s="2126"/>
      <c r="M26" s="2116"/>
      <c r="N26" s="2116"/>
      <c r="O26" s="2125"/>
      <c r="P26" s="3409"/>
      <c r="Q26" s="1557"/>
      <c r="R26" s="1558"/>
      <c r="S26" s="1559"/>
      <c r="T26" s="1558"/>
      <c r="U26" s="1559"/>
      <c r="V26" s="1558"/>
      <c r="W26" s="1559"/>
      <c r="X26" s="1552"/>
      <c r="Y26" s="3409"/>
      <c r="Z26" s="1560"/>
      <c r="AA26" s="1561"/>
      <c r="AB26" s="1561"/>
      <c r="AC26" s="1561"/>
    </row>
    <row r="27" spans="1:29" ht="56">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1</v>
      </c>
      <c r="L27" s="2126"/>
      <c r="M27" s="2116"/>
      <c r="N27" s="2116"/>
      <c r="O27" s="2125"/>
      <c r="P27" s="3409"/>
      <c r="Q27" s="1557" t="str">
        <f t="shared" si="8"/>
        <v>自然及人文环境状况</v>
      </c>
      <c r="R27" s="1558" t="s">
        <v>8</v>
      </c>
      <c r="S27" s="1559">
        <f>F27</f>
        <v>100</v>
      </c>
      <c r="T27" s="1558" t="s">
        <v>8</v>
      </c>
      <c r="U27" s="1559">
        <f>H27</f>
        <v>100</v>
      </c>
      <c r="V27" s="1558" t="s">
        <v>8</v>
      </c>
      <c r="W27" s="1559">
        <f>J27</f>
        <v>100</v>
      </c>
      <c r="X27" s="1552"/>
      <c r="Y27" s="3409"/>
      <c r="Z27" s="1560" t="str">
        <f>Q27</f>
        <v>自然及人文环境状况</v>
      </c>
      <c r="AA27" s="1561">
        <f t="shared" si="3"/>
        <v>1</v>
      </c>
      <c r="AB27" s="1561">
        <f t="shared" si="4"/>
        <v>1</v>
      </c>
      <c r="AC27" s="1561">
        <f t="shared" si="5"/>
        <v>1</v>
      </c>
    </row>
    <row r="28" spans="1:29" ht="20">
      <c r="A28" s="514"/>
      <c r="B28" s="565"/>
      <c r="C28" s="553" t="s">
        <v>3081</v>
      </c>
      <c r="D28" s="556"/>
      <c r="E28" s="575" t="s">
        <v>3081</v>
      </c>
      <c r="F28" s="554"/>
      <c r="G28" s="553" t="s">
        <v>3081</v>
      </c>
      <c r="H28" s="554"/>
      <c r="I28" s="575" t="s">
        <v>3081</v>
      </c>
      <c r="J28" s="554"/>
      <c r="K28" s="530"/>
      <c r="L28" s="2126"/>
      <c r="M28" s="2116"/>
      <c r="N28" s="2116"/>
      <c r="O28" s="2125"/>
      <c r="P28" s="3409"/>
      <c r="Q28" s="1557"/>
      <c r="R28" s="1558"/>
      <c r="S28" s="1559"/>
      <c r="T28" s="1558"/>
      <c r="U28" s="1559"/>
      <c r="V28" s="1558"/>
      <c r="W28" s="1559"/>
      <c r="X28" s="1552"/>
      <c r="Y28" s="3409"/>
      <c r="Z28" s="1560"/>
      <c r="AA28" s="1561">
        <v>1</v>
      </c>
      <c r="AB28" s="1561">
        <v>1</v>
      </c>
      <c r="AC28" s="1561">
        <v>1</v>
      </c>
    </row>
    <row r="29" spans="1:29" s="1215" customFormat="1" ht="42">
      <c r="A29" s="576"/>
      <c r="B29" s="2554" t="s">
        <v>2546</v>
      </c>
      <c r="C29" s="572" t="str">
        <f>估价对象房地状况!C21</f>
        <v>估价对象所在区域公共配套设施齐备情况</v>
      </c>
      <c r="D29" s="562">
        <v>100</v>
      </c>
      <c r="E29" s="563"/>
      <c r="F29" s="558">
        <f>SUMIF(102:102,E30,103:103)-SUMIF(102:102,C30,103:103)+100</f>
        <v>99</v>
      </c>
      <c r="G29" s="561"/>
      <c r="H29" s="558">
        <f>SUMIF(102:102,G30,103:103)-SUMIF(102:102,C30,103:103)+100</f>
        <v>99</v>
      </c>
      <c r="I29" s="563"/>
      <c r="J29" s="558">
        <f>SUMIF(102:102,I30,103:103)-SUMIF(102:102,C30,103:103)+100</f>
        <v>99</v>
      </c>
      <c r="K29" s="534">
        <v>1</v>
      </c>
      <c r="L29" s="2119"/>
      <c r="M29" s="2116"/>
      <c r="N29" s="2116"/>
      <c r="O29" s="2121"/>
      <c r="P29" s="3409"/>
      <c r="Q29" s="1146" t="str">
        <f t="shared" si="8"/>
        <v>公共配套设施</v>
      </c>
      <c r="R29" s="1553" t="s">
        <v>8</v>
      </c>
      <c r="S29" s="1554">
        <f>F29</f>
        <v>99</v>
      </c>
      <c r="T29" s="1553" t="s">
        <v>8</v>
      </c>
      <c r="U29" s="1554">
        <f>H29</f>
        <v>99</v>
      </c>
      <c r="V29" s="1553" t="s">
        <v>8</v>
      </c>
      <c r="W29" s="1554">
        <f>J29</f>
        <v>99</v>
      </c>
      <c r="X29" s="1555"/>
      <c r="Y29" s="3409"/>
      <c r="Z29" s="1145" t="str">
        <f>Q29</f>
        <v>公共配套设施</v>
      </c>
      <c r="AA29" s="1561">
        <f>D29/F29</f>
        <v>1.0101010101010102</v>
      </c>
      <c r="AB29" s="1561">
        <f>D29/H29</f>
        <v>1.0101010101010102</v>
      </c>
      <c r="AC29" s="1561">
        <f>D29/J29</f>
        <v>1.0101010101010102</v>
      </c>
    </row>
    <row r="30" spans="1:29" s="1215" customFormat="1" ht="20">
      <c r="A30" s="576"/>
      <c r="B30" s="565"/>
      <c r="C30" s="578" t="s">
        <v>3080</v>
      </c>
      <c r="D30" s="556"/>
      <c r="E30" s="575" t="s">
        <v>3081</v>
      </c>
      <c r="F30" s="554"/>
      <c r="G30" s="553" t="s">
        <v>3081</v>
      </c>
      <c r="H30" s="554"/>
      <c r="I30" s="575" t="s">
        <v>3081</v>
      </c>
      <c r="J30" s="554"/>
      <c r="K30" s="530"/>
      <c r="L30" s="2119"/>
      <c r="M30" s="2116"/>
      <c r="N30" s="2116"/>
      <c r="O30" s="2121"/>
      <c r="P30" s="3409"/>
      <c r="Q30" s="1146"/>
      <c r="R30" s="1553"/>
      <c r="S30" s="1554"/>
      <c r="T30" s="1553"/>
      <c r="U30" s="1554"/>
      <c r="V30" s="1553"/>
      <c r="W30" s="1554"/>
      <c r="X30" s="1555"/>
      <c r="Y30" s="3409"/>
      <c r="Z30" s="1145"/>
      <c r="AA30" s="1561">
        <v>1</v>
      </c>
      <c r="AB30" s="1561">
        <v>1</v>
      </c>
      <c r="AC30" s="1561">
        <v>1</v>
      </c>
    </row>
    <row r="31" spans="1:29" s="1215" customFormat="1" ht="28">
      <c r="A31" s="576"/>
      <c r="B31" s="2554"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9"/>
      <c r="M31" s="2116"/>
      <c r="N31" s="2116"/>
      <c r="O31" s="2121"/>
      <c r="P31" s="3409"/>
      <c r="Q31" s="2541" t="str">
        <f t="shared" ref="Q31" si="9">B31</f>
        <v>基础设施水平</v>
      </c>
      <c r="R31" s="1553" t="s">
        <v>8</v>
      </c>
      <c r="S31" s="1554">
        <f>F31</f>
        <v>100</v>
      </c>
      <c r="T31" s="1553" t="s">
        <v>8</v>
      </c>
      <c r="U31" s="1554">
        <f>H31</f>
        <v>100</v>
      </c>
      <c r="V31" s="1553" t="s">
        <v>8</v>
      </c>
      <c r="W31" s="1554">
        <f>J31</f>
        <v>100</v>
      </c>
      <c r="X31" s="1555"/>
      <c r="Y31" s="3409"/>
      <c r="Z31" s="2538" t="str">
        <f>Q31</f>
        <v>基础设施水平</v>
      </c>
      <c r="AA31" s="1561">
        <f>D31/F31</f>
        <v>1</v>
      </c>
      <c r="AB31" s="1561">
        <f>D31/H31</f>
        <v>1</v>
      </c>
      <c r="AC31" s="1561">
        <f>D31/J31</f>
        <v>1</v>
      </c>
    </row>
    <row r="32" spans="1:29" s="1215" customFormat="1" ht="20.5" thickBot="1">
      <c r="A32" s="576"/>
      <c r="B32" s="565"/>
      <c r="C32" s="578" t="s">
        <v>3082</v>
      </c>
      <c r="D32" s="556"/>
      <c r="E32" s="2555" t="s">
        <v>3082</v>
      </c>
      <c r="F32" s="554"/>
      <c r="G32" s="578" t="s">
        <v>3082</v>
      </c>
      <c r="H32" s="554"/>
      <c r="I32" s="578" t="s">
        <v>3082</v>
      </c>
      <c r="J32" s="554"/>
      <c r="K32" s="530"/>
      <c r="L32" s="2119"/>
      <c r="M32" s="2116"/>
      <c r="N32" s="2116"/>
      <c r="O32" s="2121"/>
      <c r="P32" s="3409"/>
      <c r="Q32" s="2541"/>
      <c r="R32" s="1553"/>
      <c r="S32" s="1554"/>
      <c r="T32" s="1553"/>
      <c r="U32" s="1554"/>
      <c r="V32" s="1553"/>
      <c r="W32" s="1554"/>
      <c r="X32" s="1555"/>
      <c r="Y32" s="3409"/>
      <c r="Z32" s="2538"/>
      <c r="AA32" s="1561">
        <v>1</v>
      </c>
      <c r="AB32" s="1561">
        <v>1</v>
      </c>
      <c r="AC32" s="1561">
        <v>1</v>
      </c>
    </row>
    <row r="33" spans="1:29" ht="20.5" hidden="1" thickBot="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0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9"/>
      <c r="Z33" s="1560" t="str">
        <f t="shared" ref="Z33:Z47" si="13">Q33</f>
        <v>临街状况</v>
      </c>
      <c r="AA33" s="1561">
        <f t="shared" si="3"/>
        <v>1</v>
      </c>
      <c r="AB33" s="1561">
        <f t="shared" si="4"/>
        <v>1</v>
      </c>
      <c r="AC33" s="1561">
        <f t="shared" si="5"/>
        <v>1</v>
      </c>
    </row>
    <row r="34" spans="1:29" ht="28"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09"/>
      <c r="Q34" s="1557" t="str">
        <f t="shared" si="8"/>
        <v>毗邻道路的类型与等级</v>
      </c>
      <c r="R34" s="1558" t="s">
        <v>8</v>
      </c>
      <c r="S34" s="1559">
        <f t="shared" si="10"/>
        <v>100</v>
      </c>
      <c r="T34" s="1558" t="s">
        <v>8</v>
      </c>
      <c r="U34" s="1559">
        <f t="shared" si="11"/>
        <v>100</v>
      </c>
      <c r="V34" s="1558" t="s">
        <v>8</v>
      </c>
      <c r="W34" s="1559">
        <f t="shared" si="12"/>
        <v>100</v>
      </c>
      <c r="X34" s="1552"/>
      <c r="Y34" s="3409"/>
      <c r="Z34" s="1560" t="str">
        <f t="shared" si="13"/>
        <v>毗邻道路的类型与等级</v>
      </c>
      <c r="AA34" s="1561">
        <f t="shared" si="3"/>
        <v>1</v>
      </c>
      <c r="AB34" s="1561">
        <f t="shared" si="4"/>
        <v>1</v>
      </c>
      <c r="AC34" s="1561">
        <f t="shared" si="5"/>
        <v>1</v>
      </c>
    </row>
    <row r="35" spans="1:29" ht="20.5" hidden="1" thickBot="1">
      <c r="A35" s="531"/>
      <c r="B35" s="565"/>
      <c r="C35" s="553"/>
      <c r="D35" s="556"/>
      <c r="E35" s="575"/>
      <c r="F35" s="554"/>
      <c r="G35" s="553"/>
      <c r="H35" s="554"/>
      <c r="I35" s="575"/>
      <c r="J35" s="554"/>
      <c r="K35" s="580"/>
      <c r="L35" s="2126"/>
      <c r="M35" s="2116"/>
      <c r="N35" s="2116"/>
      <c r="O35" s="2125"/>
      <c r="P35" s="3409"/>
      <c r="Q35" s="1557"/>
      <c r="R35" s="1558"/>
      <c r="S35" s="1559"/>
      <c r="T35" s="1558"/>
      <c r="U35" s="1559"/>
      <c r="V35" s="1558"/>
      <c r="W35" s="1559"/>
      <c r="X35" s="1552"/>
      <c r="Y35" s="3409"/>
      <c r="Z35" s="1560"/>
      <c r="AA35" s="1561">
        <v>1</v>
      </c>
      <c r="AB35" s="1561">
        <v>1</v>
      </c>
      <c r="AC35" s="1561">
        <v>1</v>
      </c>
    </row>
    <row r="36" spans="1:29" ht="20"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09"/>
      <c r="Q36" s="1557" t="str">
        <f t="shared" si="8"/>
        <v>土地级别</v>
      </c>
      <c r="R36" s="1558" t="s">
        <v>8</v>
      </c>
      <c r="S36" s="1559">
        <f t="shared" si="10"/>
        <v>100</v>
      </c>
      <c r="T36" s="1558" t="s">
        <v>8</v>
      </c>
      <c r="U36" s="1559">
        <f t="shared" si="11"/>
        <v>100</v>
      </c>
      <c r="V36" s="1558" t="s">
        <v>8</v>
      </c>
      <c r="W36" s="1559">
        <f t="shared" si="12"/>
        <v>100</v>
      </c>
      <c r="X36" s="1552"/>
      <c r="Y36" s="3409"/>
      <c r="Z36" s="1560" t="str">
        <f t="shared" si="13"/>
        <v>土地级别</v>
      </c>
      <c r="AA36" s="1561">
        <f t="shared" si="3"/>
        <v>1</v>
      </c>
      <c r="AB36" s="1561">
        <f t="shared" si="4"/>
        <v>1</v>
      </c>
      <c r="AC36" s="1561">
        <f t="shared" si="5"/>
        <v>1</v>
      </c>
    </row>
    <row r="37" spans="1:29" ht="20"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09"/>
      <c r="Q37" s="1557">
        <f t="shared" si="8"/>
        <v>111</v>
      </c>
      <c r="R37" s="1558" t="s">
        <v>8</v>
      </c>
      <c r="S37" s="1559">
        <f t="shared" si="10"/>
        <v>100</v>
      </c>
      <c r="T37" s="1558" t="s">
        <v>8</v>
      </c>
      <c r="U37" s="1559">
        <f t="shared" si="11"/>
        <v>100</v>
      </c>
      <c r="V37" s="1558" t="s">
        <v>8</v>
      </c>
      <c r="W37" s="1559">
        <f t="shared" si="12"/>
        <v>100</v>
      </c>
      <c r="X37" s="1552"/>
      <c r="Y37" s="3409"/>
      <c r="Z37" s="1560">
        <f t="shared" si="13"/>
        <v>111</v>
      </c>
      <c r="AA37" s="1561">
        <f t="shared" si="3"/>
        <v>1</v>
      </c>
      <c r="AB37" s="1561">
        <f t="shared" si="4"/>
        <v>1</v>
      </c>
      <c r="AC37" s="1561">
        <f t="shared" si="5"/>
        <v>1</v>
      </c>
    </row>
    <row r="38" spans="1:29" ht="20"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10" t="s">
        <v>550</v>
      </c>
      <c r="Q38" s="1557">
        <f t="shared" si="8"/>
        <v>111</v>
      </c>
      <c r="R38" s="1558" t="s">
        <v>8</v>
      </c>
      <c r="S38" s="1559">
        <f t="shared" si="10"/>
        <v>100</v>
      </c>
      <c r="T38" s="1558" t="s">
        <v>8</v>
      </c>
      <c r="U38" s="1559">
        <f t="shared" si="11"/>
        <v>100</v>
      </c>
      <c r="V38" s="1558" t="s">
        <v>8</v>
      </c>
      <c r="W38" s="1559">
        <f t="shared" si="12"/>
        <v>100</v>
      </c>
      <c r="X38" s="1552"/>
      <c r="Y38" s="3411" t="s">
        <v>550</v>
      </c>
      <c r="Z38" s="1560">
        <f t="shared" si="13"/>
        <v>111</v>
      </c>
      <c r="AA38" s="1561">
        <f t="shared" si="3"/>
        <v>1</v>
      </c>
      <c r="AB38" s="1561">
        <f t="shared" si="4"/>
        <v>1</v>
      </c>
      <c r="AC38" s="1561">
        <f t="shared" si="5"/>
        <v>1</v>
      </c>
    </row>
    <row r="39" spans="1:29" s="1334" customFormat="1" ht="20.5"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11"/>
      <c r="Q39" s="1557">
        <f t="shared" si="8"/>
        <v>111</v>
      </c>
      <c r="R39" s="1562" t="s">
        <v>8</v>
      </c>
      <c r="S39" s="1563">
        <f t="shared" si="10"/>
        <v>100</v>
      </c>
      <c r="T39" s="1562" t="s">
        <v>8</v>
      </c>
      <c r="U39" s="1563">
        <f t="shared" si="11"/>
        <v>100</v>
      </c>
      <c r="V39" s="1562" t="s">
        <v>8</v>
      </c>
      <c r="W39" s="1563">
        <f t="shared" si="12"/>
        <v>100</v>
      </c>
      <c r="X39" s="1564"/>
      <c r="Y39" s="3411"/>
      <c r="Z39" s="1565">
        <f t="shared" si="13"/>
        <v>111</v>
      </c>
      <c r="AA39" s="1561">
        <f t="shared" si="3"/>
        <v>1</v>
      </c>
      <c r="AB39" s="1561">
        <f t="shared" si="4"/>
        <v>1</v>
      </c>
      <c r="AC39" s="1561">
        <f t="shared" si="5"/>
        <v>1</v>
      </c>
    </row>
    <row r="40" spans="1:29" ht="20">
      <c r="A40" s="2861" t="s">
        <v>2752</v>
      </c>
      <c r="B40" s="594" t="s">
        <v>552</v>
      </c>
      <c r="C40" s="595">
        <f>'数据-汇总表'!D3</f>
        <v>97560.5</v>
      </c>
      <c r="D40" s="596">
        <v>100</v>
      </c>
      <c r="E40" s="595">
        <f>土地案例!C5</f>
        <v>39744.120000000003</v>
      </c>
      <c r="F40" s="596">
        <f>LOOKUP(E40,119:119,120:120)-LOOKUP(C40,119:119,120:120)+100</f>
        <v>100</v>
      </c>
      <c r="G40" s="595">
        <f>土地案例!C7</f>
        <v>46165.91</v>
      </c>
      <c r="H40" s="596">
        <f>LOOKUP(G40,119:119,120:120)-LOOKUP(C40,119:119,120:120)+100</f>
        <v>100</v>
      </c>
      <c r="I40" s="597">
        <f>土地案例!C8</f>
        <v>38100</v>
      </c>
      <c r="J40" s="596">
        <f>LOOKUP(I40,119:119,120:120)-LOOKUP(C40,119:119,120:120)+100</f>
        <v>100</v>
      </c>
      <c r="K40" s="580"/>
      <c r="L40" s="2126"/>
      <c r="M40" s="2116"/>
      <c r="N40" s="2116"/>
      <c r="O40" s="2125"/>
      <c r="P40" s="3411"/>
      <c r="Q40" s="1557" t="str">
        <f>B40</f>
        <v>宗地面积</v>
      </c>
      <c r="R40" s="1558" t="s">
        <v>8</v>
      </c>
      <c r="S40" s="1559">
        <f t="shared" si="10"/>
        <v>100</v>
      </c>
      <c r="T40" s="1558" t="s">
        <v>8</v>
      </c>
      <c r="U40" s="1559">
        <f t="shared" si="11"/>
        <v>100</v>
      </c>
      <c r="V40" s="1558" t="s">
        <v>8</v>
      </c>
      <c r="W40" s="1559">
        <f t="shared" si="12"/>
        <v>100</v>
      </c>
      <c r="X40" s="1552"/>
      <c r="Y40" s="3411"/>
      <c r="Z40" s="1560" t="str">
        <f t="shared" si="13"/>
        <v>宗地面积</v>
      </c>
      <c r="AA40" s="1561">
        <f t="shared" si="3"/>
        <v>1</v>
      </c>
      <c r="AB40" s="1561">
        <f t="shared" si="4"/>
        <v>1</v>
      </c>
      <c r="AC40" s="1561">
        <f t="shared" si="5"/>
        <v>1</v>
      </c>
    </row>
    <row r="41" spans="1:29" ht="20">
      <c r="A41" s="593"/>
      <c r="B41" s="526" t="s">
        <v>553</v>
      </c>
      <c r="C41" s="598" t="s">
        <v>3096</v>
      </c>
      <c r="D41" s="539">
        <v>100</v>
      </c>
      <c r="E41" s="598" t="s">
        <v>3096</v>
      </c>
      <c r="F41" s="539">
        <f>SUMIF(121:121,E41,122:122)-SUMIF(121:121,C41,122:122)+100</f>
        <v>100</v>
      </c>
      <c r="G41" s="598" t="s">
        <v>3096</v>
      </c>
      <c r="H41" s="539">
        <f>SUMIF(121:121,G41,122:122)-SUMIF(121:121,C41,122:122)+100</f>
        <v>100</v>
      </c>
      <c r="I41" s="598" t="s">
        <v>3096</v>
      </c>
      <c r="J41" s="539">
        <f>SUMIF(121:121,I41,122:122)-SUMIF(121:121,C41,122:122)+100</f>
        <v>100</v>
      </c>
      <c r="K41" s="583">
        <v>1</v>
      </c>
      <c r="L41" s="2126"/>
      <c r="M41" s="2116"/>
      <c r="N41" s="2116"/>
      <c r="O41" s="2125"/>
      <c r="P41" s="3411"/>
      <c r="Q41" s="1557" t="str">
        <f t="shared" ref="Q41:Q47" si="14">B41</f>
        <v>宗地形状</v>
      </c>
      <c r="R41" s="1558" t="s">
        <v>8</v>
      </c>
      <c r="S41" s="1559">
        <f t="shared" si="10"/>
        <v>100</v>
      </c>
      <c r="T41" s="1558" t="s">
        <v>8</v>
      </c>
      <c r="U41" s="1559">
        <f t="shared" si="11"/>
        <v>100</v>
      </c>
      <c r="V41" s="1558" t="s">
        <v>8</v>
      </c>
      <c r="W41" s="1559">
        <f t="shared" si="12"/>
        <v>100</v>
      </c>
      <c r="X41" s="1552"/>
      <c r="Y41" s="3411"/>
      <c r="Z41" s="1560" t="str">
        <f t="shared" si="13"/>
        <v>宗地形状</v>
      </c>
      <c r="AA41" s="1561">
        <f t="shared" si="3"/>
        <v>1</v>
      </c>
      <c r="AB41" s="1561">
        <f t="shared" si="4"/>
        <v>1</v>
      </c>
      <c r="AC41" s="1561">
        <f t="shared" si="5"/>
        <v>1</v>
      </c>
    </row>
    <row r="42" spans="1:29" ht="20">
      <c r="A42" s="593"/>
      <c r="B42" s="526" t="s">
        <v>554</v>
      </c>
      <c r="C42" s="598" t="s">
        <v>3097</v>
      </c>
      <c r="D42" s="539">
        <v>100</v>
      </c>
      <c r="E42" s="598" t="s">
        <v>3097</v>
      </c>
      <c r="F42" s="539">
        <f>SUMIF(123:123,E42,124:124)-SUMIF(123:123,C42,124:124)+100</f>
        <v>100</v>
      </c>
      <c r="G42" s="598" t="s">
        <v>3097</v>
      </c>
      <c r="H42" s="539">
        <f>SUMIF(123:123,G42,124:124)-SUMIF(123:123,C42,124:124)+100</f>
        <v>100</v>
      </c>
      <c r="I42" s="598" t="s">
        <v>3097</v>
      </c>
      <c r="J42" s="539">
        <f>SUMIF(123:123,I42,124:124)-SUMIF(123:123,C42,124:124)+100</f>
        <v>100</v>
      </c>
      <c r="K42" s="583">
        <v>1</v>
      </c>
      <c r="L42" s="2126"/>
      <c r="M42" s="2116"/>
      <c r="N42" s="2116"/>
      <c r="O42" s="2125"/>
      <c r="P42" s="3411"/>
      <c r="Q42" s="1557" t="str">
        <f t="shared" si="14"/>
        <v>临街宽度及深度</v>
      </c>
      <c r="R42" s="1558" t="s">
        <v>8</v>
      </c>
      <c r="S42" s="1559">
        <f t="shared" si="10"/>
        <v>100</v>
      </c>
      <c r="T42" s="1558" t="s">
        <v>8</v>
      </c>
      <c r="U42" s="1559">
        <f t="shared" si="11"/>
        <v>100</v>
      </c>
      <c r="V42" s="1558" t="s">
        <v>8</v>
      </c>
      <c r="W42" s="1559">
        <f t="shared" si="12"/>
        <v>100</v>
      </c>
      <c r="X42" s="1552"/>
      <c r="Y42" s="3411"/>
      <c r="Z42" s="1560" t="str">
        <f t="shared" si="13"/>
        <v>临街宽度及深度</v>
      </c>
      <c r="AA42" s="1561">
        <f t="shared" si="3"/>
        <v>1</v>
      </c>
      <c r="AB42" s="1561">
        <f t="shared" si="4"/>
        <v>1</v>
      </c>
      <c r="AC42" s="1561">
        <f t="shared" si="5"/>
        <v>1</v>
      </c>
    </row>
    <row r="43" spans="1:29" s="1215" customFormat="1" ht="20">
      <c r="A43" s="599"/>
      <c r="B43" s="1879" t="s">
        <v>2422</v>
      </c>
      <c r="C43" s="600" t="s">
        <v>3082</v>
      </c>
      <c r="D43" s="254">
        <v>100</v>
      </c>
      <c r="E43" s="600" t="s">
        <v>3098</v>
      </c>
      <c r="F43" s="539">
        <f>SUMIF(125:125,E43,126:126)-SUMIF(125:125,C43,126:126)+100</f>
        <v>99</v>
      </c>
      <c r="G43" s="600" t="s">
        <v>3098</v>
      </c>
      <c r="H43" s="539">
        <f>SUMIF(125:125,G43,126:126)-SUMIF(125:125,C43,126:126)+100</f>
        <v>99</v>
      </c>
      <c r="I43" s="600" t="s">
        <v>3098</v>
      </c>
      <c r="J43" s="539">
        <f>SUMIF(125:125,I43,126:126)-SUMIF(125:125,C43,126:126)+100</f>
        <v>99</v>
      </c>
      <c r="K43" s="583">
        <v>1</v>
      </c>
      <c r="L43" s="2119"/>
      <c r="M43" s="2116"/>
      <c r="N43" s="2116"/>
      <c r="O43" s="2121"/>
      <c r="P43" s="3411"/>
      <c r="Q43" s="1557" t="str">
        <f t="shared" si="14"/>
        <v>宗地开发程度</v>
      </c>
      <c r="R43" s="1553" t="s">
        <v>8</v>
      </c>
      <c r="S43" s="1554">
        <f t="shared" si="10"/>
        <v>99</v>
      </c>
      <c r="T43" s="1553" t="s">
        <v>8</v>
      </c>
      <c r="U43" s="1554">
        <f t="shared" si="11"/>
        <v>99</v>
      </c>
      <c r="V43" s="1553" t="s">
        <v>8</v>
      </c>
      <c r="W43" s="1554">
        <f t="shared" si="12"/>
        <v>99</v>
      </c>
      <c r="X43" s="1555"/>
      <c r="Y43" s="3411"/>
      <c r="Z43" s="1145" t="str">
        <f t="shared" si="13"/>
        <v>宗地开发程度</v>
      </c>
      <c r="AA43" s="1556">
        <f t="shared" si="3"/>
        <v>1.0101010101010102</v>
      </c>
      <c r="AB43" s="1556">
        <f t="shared" si="4"/>
        <v>1.0101010101010102</v>
      </c>
      <c r="AC43" s="1556">
        <f t="shared" si="5"/>
        <v>1.0101010101010102</v>
      </c>
    </row>
    <row r="44" spans="1:29" ht="20.5" thickBot="1">
      <c r="A44" s="593"/>
      <c r="B44" s="526" t="s">
        <v>555</v>
      </c>
      <c r="C44" s="598" t="s">
        <v>3080</v>
      </c>
      <c r="D44" s="539">
        <v>100</v>
      </c>
      <c r="E44" s="598" t="s">
        <v>3080</v>
      </c>
      <c r="F44" s="539">
        <f>SUMIF(127:127,E44,128:128)-SUMIF(127:127,C44,128:128)+100</f>
        <v>100</v>
      </c>
      <c r="G44" s="598" t="s">
        <v>3080</v>
      </c>
      <c r="H44" s="539">
        <f>SUMIF(127:127,G44,128:128)-SUMIF(127:127,C44,128:128)+100</f>
        <v>100</v>
      </c>
      <c r="I44" s="598" t="s">
        <v>3080</v>
      </c>
      <c r="J44" s="539">
        <f>SUMIF(127:127,I44,128:128)-SUMIF(127:127,C44,128:128)+100</f>
        <v>100</v>
      </c>
      <c r="K44" s="583">
        <v>1</v>
      </c>
      <c r="L44" s="2126"/>
      <c r="M44" s="2116"/>
      <c r="N44" s="2116"/>
      <c r="O44" s="2125"/>
      <c r="P44" s="3411" t="s">
        <v>550</v>
      </c>
      <c r="Q44" s="1557" t="str">
        <f t="shared" si="14"/>
        <v>工程地质条件</v>
      </c>
      <c r="R44" s="1558" t="s">
        <v>8</v>
      </c>
      <c r="S44" s="1559">
        <f t="shared" si="10"/>
        <v>100</v>
      </c>
      <c r="T44" s="1558" t="s">
        <v>8</v>
      </c>
      <c r="U44" s="1559">
        <f t="shared" si="11"/>
        <v>100</v>
      </c>
      <c r="V44" s="1558" t="s">
        <v>8</v>
      </c>
      <c r="W44" s="1559">
        <f t="shared" si="12"/>
        <v>100</v>
      </c>
      <c r="X44" s="1552"/>
      <c r="Y44" s="3411" t="s">
        <v>550</v>
      </c>
      <c r="Z44" s="1560" t="str">
        <f t="shared" si="13"/>
        <v>工程地质条件</v>
      </c>
      <c r="AA44" s="1561">
        <f t="shared" si="3"/>
        <v>1</v>
      </c>
      <c r="AB44" s="1561">
        <f t="shared" si="4"/>
        <v>1</v>
      </c>
      <c r="AC44" s="1561">
        <f t="shared" si="5"/>
        <v>1</v>
      </c>
    </row>
    <row r="45" spans="1:29" ht="20"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11"/>
      <c r="Q45" s="1557">
        <f t="shared" si="14"/>
        <v>111</v>
      </c>
      <c r="R45" s="1558" t="s">
        <v>8</v>
      </c>
      <c r="S45" s="1559">
        <f t="shared" si="10"/>
        <v>100</v>
      </c>
      <c r="T45" s="1558" t="s">
        <v>8</v>
      </c>
      <c r="U45" s="1559">
        <f t="shared" si="11"/>
        <v>100</v>
      </c>
      <c r="V45" s="1558" t="s">
        <v>8</v>
      </c>
      <c r="W45" s="1559">
        <f t="shared" si="12"/>
        <v>100</v>
      </c>
      <c r="X45" s="1552"/>
      <c r="Y45" s="3411"/>
      <c r="Z45" s="1560">
        <f t="shared" si="13"/>
        <v>111</v>
      </c>
      <c r="AA45" s="1561">
        <f t="shared" si="3"/>
        <v>1</v>
      </c>
      <c r="AB45" s="1561">
        <f t="shared" si="4"/>
        <v>1</v>
      </c>
      <c r="AC45" s="1561">
        <f t="shared" si="5"/>
        <v>1</v>
      </c>
    </row>
    <row r="46" spans="1:29" ht="20"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11"/>
      <c r="Q46" s="1557">
        <f t="shared" si="14"/>
        <v>111</v>
      </c>
      <c r="R46" s="1558" t="s">
        <v>8</v>
      </c>
      <c r="S46" s="1559">
        <f t="shared" si="10"/>
        <v>100</v>
      </c>
      <c r="T46" s="1558" t="s">
        <v>8</v>
      </c>
      <c r="U46" s="1559">
        <f t="shared" si="11"/>
        <v>100</v>
      </c>
      <c r="V46" s="1558" t="s">
        <v>8</v>
      </c>
      <c r="W46" s="1559">
        <f t="shared" si="12"/>
        <v>100</v>
      </c>
      <c r="X46" s="1552"/>
      <c r="Y46" s="3411"/>
      <c r="Z46" s="1560">
        <f t="shared" si="13"/>
        <v>111</v>
      </c>
      <c r="AA46" s="1561">
        <f t="shared" si="3"/>
        <v>1</v>
      </c>
      <c r="AB46" s="1561">
        <f t="shared" si="4"/>
        <v>1</v>
      </c>
      <c r="AC46" s="1561">
        <f t="shared" si="5"/>
        <v>1</v>
      </c>
    </row>
    <row r="47" spans="1:29" s="1334" customFormat="1" ht="20.5"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11"/>
      <c r="Q47" s="1557">
        <f t="shared" si="14"/>
        <v>111</v>
      </c>
      <c r="R47" s="1562" t="s">
        <v>8</v>
      </c>
      <c r="S47" s="1563">
        <f t="shared" si="10"/>
        <v>100</v>
      </c>
      <c r="T47" s="1562" t="s">
        <v>8</v>
      </c>
      <c r="U47" s="1563">
        <f t="shared" si="11"/>
        <v>100</v>
      </c>
      <c r="V47" s="1562" t="s">
        <v>8</v>
      </c>
      <c r="W47" s="1563">
        <f t="shared" si="12"/>
        <v>100</v>
      </c>
      <c r="X47" s="1564"/>
      <c r="Y47" s="3411"/>
      <c r="Z47" s="1565">
        <f t="shared" si="13"/>
        <v>111</v>
      </c>
      <c r="AA47" s="1561">
        <f t="shared" si="3"/>
        <v>1</v>
      </c>
      <c r="AB47" s="1561">
        <f t="shared" si="4"/>
        <v>1</v>
      </c>
      <c r="AC47" s="1561">
        <f t="shared" si="5"/>
        <v>1</v>
      </c>
    </row>
    <row r="48" spans="1:29" ht="20">
      <c r="A48" s="606" t="s">
        <v>556</v>
      </c>
      <c r="B48" s="607" t="s">
        <v>3017</v>
      </c>
      <c r="C48" s="608" t="s">
        <v>1</v>
      </c>
      <c r="D48" s="609"/>
      <c r="E48" s="610">
        <f>ROUND(土地案例!J5,0)</f>
        <v>24490</v>
      </c>
      <c r="F48" s="611"/>
      <c r="G48" s="612">
        <f>ROUND(土地案例!J7,0)</f>
        <v>24369</v>
      </c>
      <c r="H48" s="613"/>
      <c r="I48" s="610">
        <f>ROUND(土地案例!J8,0)</f>
        <v>26772</v>
      </c>
      <c r="J48" s="613"/>
      <c r="K48" s="1335"/>
      <c r="L48" s="2128"/>
      <c r="M48" s="2116"/>
      <c r="N48" s="2116"/>
      <c r="O48" s="2129"/>
      <c r="P48" s="3374" t="str">
        <f>A48</f>
        <v>成交单价</v>
      </c>
      <c r="Q48" s="3374"/>
      <c r="R48" s="3375">
        <f>E48</f>
        <v>24490</v>
      </c>
      <c r="S48" s="3375"/>
      <c r="T48" s="3375">
        <f>G48</f>
        <v>24369</v>
      </c>
      <c r="U48" s="3375"/>
      <c r="V48" s="3375">
        <f>I48</f>
        <v>26772</v>
      </c>
      <c r="W48" s="3375"/>
      <c r="X48" s="1544"/>
      <c r="Y48" s="1566"/>
      <c r="Z48" s="1544"/>
      <c r="AA48" s="1544"/>
      <c r="AB48" s="1544"/>
      <c r="AC48" s="1544"/>
    </row>
    <row r="49" spans="1:29" ht="20.5" thickBot="1">
      <c r="A49" s="614" t="s">
        <v>2690</v>
      </c>
      <c r="B49" s="615"/>
      <c r="C49" s="616">
        <f>R50</f>
        <v>28556</v>
      </c>
      <c r="D49" s="617"/>
      <c r="E49" s="616">
        <f>R49</f>
        <v>28251</v>
      </c>
      <c r="F49" s="618"/>
      <c r="G49" s="619">
        <f>T49</f>
        <v>27359</v>
      </c>
      <c r="H49" s="617"/>
      <c r="I49" s="616">
        <f>V49</f>
        <v>30057</v>
      </c>
      <c r="J49" s="617"/>
      <c r="K49" s="1336"/>
      <c r="L49" s="2128"/>
      <c r="M49" s="2116"/>
      <c r="N49" s="2116"/>
      <c r="O49" s="2129"/>
      <c r="P49" s="3374" t="str">
        <f>A49</f>
        <v>比较价格（元/平方米）</v>
      </c>
      <c r="Q49" s="3374"/>
      <c r="R49" s="3376">
        <f>ROUND(PRODUCT(R48,AA9:AA47),0)</f>
        <v>28251</v>
      </c>
      <c r="S49" s="3376"/>
      <c r="T49" s="3376">
        <f>ROUND(PRODUCT(T48,AB9:AB47),0)</f>
        <v>27359</v>
      </c>
      <c r="U49" s="3376"/>
      <c r="V49" s="3376">
        <f>ROUND(PRODUCT(V48,AC9:AC47),0)</f>
        <v>30057</v>
      </c>
      <c r="W49" s="3376"/>
      <c r="X49" s="1544"/>
      <c r="Y49" s="1544"/>
      <c r="Z49" s="1544"/>
      <c r="AA49" s="1544"/>
      <c r="AB49" s="1544"/>
      <c r="AC49" s="1544"/>
    </row>
    <row r="50" spans="1:29" ht="20.5" thickBot="1">
      <c r="A50" s="620" t="s">
        <v>2933</v>
      </c>
      <c r="B50" s="621"/>
      <c r="C50" s="622">
        <f>R50</f>
        <v>28556</v>
      </c>
      <c r="D50" s="622"/>
      <c r="E50" s="622"/>
      <c r="F50" s="622"/>
      <c r="G50" s="622"/>
      <c r="H50" s="622"/>
      <c r="I50" s="622"/>
      <c r="J50" s="622"/>
      <c r="K50" s="1337"/>
      <c r="L50" s="2128"/>
      <c r="M50" s="2116"/>
      <c r="N50" s="2116"/>
      <c r="O50" s="2129"/>
      <c r="P50" s="3371" t="str">
        <f>A50</f>
        <v>估价对象XX用房的比较价格（楼面单价，元/平方米）</v>
      </c>
      <c r="Q50" s="3372"/>
      <c r="R50" s="3373">
        <f>ROUND(AVERAGE(R49:V49),0)</f>
        <v>28556</v>
      </c>
      <c r="S50" s="3373"/>
      <c r="T50" s="3373"/>
      <c r="U50" s="3373"/>
      <c r="V50" s="3373"/>
      <c r="W50" s="3373"/>
      <c r="X50" s="1544"/>
      <c r="Y50" s="1544"/>
      <c r="Z50" s="1544"/>
      <c r="AA50" s="1544"/>
      <c r="AB50" s="1544"/>
      <c r="AC50" s="1544"/>
    </row>
    <row r="51" spans="1:29" ht="20">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0.15357288689260917</v>
      </c>
      <c r="F53" s="626" t="str">
        <f>IF(OR(E53&gt;=0.3,E53&lt;=-0.3),"超过30%","")</f>
        <v/>
      </c>
      <c r="G53" s="625">
        <f>IF(G48&lt;G49,G49/G48-1,G48/G49-1)</f>
        <v>0.12269686897287535</v>
      </c>
      <c r="H53" s="626" t="str">
        <f>IF(OR(G53&gt;=0.3,G53&lt;=-0.3),"超过30%","")</f>
        <v/>
      </c>
      <c r="I53" s="625">
        <f>IF(I48&lt;I49,I49/I48-1,I48/I49-1)</f>
        <v>0.12270282384580899</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3.260353083080525E-2</v>
      </c>
      <c r="F54" s="626" t="str">
        <f>IF(OR(E54&gt;=0.2,E54&lt;=-0.2),"超过20%","")</f>
        <v/>
      </c>
      <c r="G54" s="625">
        <f>IF(G49&lt;I49,I49/G49-1,G49/I49-1)</f>
        <v>9.8614715450126011E-2</v>
      </c>
      <c r="H54" s="626" t="str">
        <f>IF(OR(G54&gt;=0.2,G54&lt;=-0.2),"超过20%","")</f>
        <v/>
      </c>
      <c r="I54" s="625">
        <f>IF(I49&lt;E49,E49/I49-1,I49/E49-1)</f>
        <v>6.3926940639269514E-2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4.9653247978989068E-3</v>
      </c>
      <c r="F55" s="626" t="str">
        <f>IF(OR(E55&gt;=0.3,E55&lt;=-0.3),"超过30%","")</f>
        <v/>
      </c>
      <c r="G55" s="625">
        <f>IF(G48&lt;I48,I48/G48-1,G48/I48-1)</f>
        <v>9.8608888341745748E-2</v>
      </c>
      <c r="H55" s="626" t="str">
        <f>IF(OR(G55&gt;=0.3,G55&lt;=-0.3),"超过30%","")</f>
        <v/>
      </c>
      <c r="I55" s="625">
        <f>IF(I48&lt;E48,E48/I48-1,I48/E48-1)</f>
        <v>9.3180890159248575E-2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0.5"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2291</v>
      </c>
      <c r="E57" s="630" t="s">
        <v>562</v>
      </c>
      <c r="F57" s="631" t="s">
        <v>563</v>
      </c>
      <c r="G57" s="3400" t="s">
        <v>2279</v>
      </c>
      <c r="H57" s="3401"/>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
      <c r="A58" s="632" t="s">
        <v>564</v>
      </c>
      <c r="B58" s="633">
        <f>C50</f>
        <v>28556</v>
      </c>
      <c r="C58" s="634">
        <v>1</v>
      </c>
      <c r="D58" s="2212">
        <v>1</v>
      </c>
      <c r="E58" s="634">
        <f>'数据-汇总表'!E8+'数据-汇总表'!E9</f>
        <v>94475.31</v>
      </c>
      <c r="F58" s="635">
        <f t="shared" ref="F58:F67" si="15">ROUND(B58*E58/10000,0)</f>
        <v>269784</v>
      </c>
      <c r="G58" s="3402"/>
      <c r="H58" s="340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
      <c r="A59" s="636" t="s">
        <v>565</v>
      </c>
      <c r="B59" s="637">
        <f>ROUND($C$50*C59*D59,0)</f>
        <v>4997</v>
      </c>
      <c r="C59" s="377">
        <f t="shared" ref="C59:C67" si="16">IF($C$57="北京市系数",I59,J59)</f>
        <v>0.7</v>
      </c>
      <c r="D59" s="2213">
        <v>0.25</v>
      </c>
      <c r="E59" s="638">
        <v>0</v>
      </c>
      <c r="F59" s="635">
        <f t="shared" si="15"/>
        <v>0</v>
      </c>
      <c r="G59" s="3404" t="s">
        <v>2280</v>
      </c>
      <c r="H59" s="1932" t="str">
        <f>项目基本情况!B43</f>
        <v>六级</v>
      </c>
      <c r="I59" s="1541">
        <f>SUMIF(修正!$A$45:$A$56,H59,修正!B45:B56)</f>
        <v>0.7</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
      <c r="A60" s="636" t="s">
        <v>566</v>
      </c>
      <c r="B60" s="637">
        <f t="shared" ref="B60:B67" si="17">ROUND($C$50*C60*D60,0)</f>
        <v>2856</v>
      </c>
      <c r="C60" s="377">
        <f t="shared" si="16"/>
        <v>0.4</v>
      </c>
      <c r="D60" s="2213">
        <v>0.25</v>
      </c>
      <c r="E60" s="638">
        <v>0</v>
      </c>
      <c r="F60" s="635">
        <f t="shared" si="15"/>
        <v>0</v>
      </c>
      <c r="G60" s="3404"/>
      <c r="H60" s="1932" t="str">
        <f>项目基本情况!B43</f>
        <v>六级</v>
      </c>
      <c r="I60" s="1541">
        <f>SUMIF(修正!$A$45:$A$56,H60,修正!C45:C56)</f>
        <v>0.4</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
      <c r="A61" s="636" t="s">
        <v>567</v>
      </c>
      <c r="B61" s="637">
        <f t="shared" si="17"/>
        <v>1999</v>
      </c>
      <c r="C61" s="377">
        <f t="shared" si="16"/>
        <v>0.28000000000000003</v>
      </c>
      <c r="D61" s="2213">
        <v>0.25</v>
      </c>
      <c r="E61" s="638">
        <v>0</v>
      </c>
      <c r="F61" s="635">
        <f t="shared" si="15"/>
        <v>0</v>
      </c>
      <c r="G61" s="3404"/>
      <c r="H61" s="1932" t="str">
        <f>项目基本情况!B43</f>
        <v>六级</v>
      </c>
      <c r="I61" s="1541">
        <f>SUMIF(修正!$A$45:$A$56,H61,修正!D45:D56)</f>
        <v>0.28000000000000003</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
      <c r="A62" s="636" t="s">
        <v>568</v>
      </c>
      <c r="B62" s="637">
        <f t="shared" si="17"/>
        <v>1785</v>
      </c>
      <c r="C62" s="377">
        <f t="shared" si="16"/>
        <v>0.25</v>
      </c>
      <c r="D62" s="2213">
        <v>0.25</v>
      </c>
      <c r="E62" s="638">
        <v>0</v>
      </c>
      <c r="F62" s="635">
        <f t="shared" si="15"/>
        <v>0</v>
      </c>
      <c r="G62" s="3404"/>
      <c r="H62" s="1932" t="str">
        <f>项目基本情况!B43</f>
        <v>六级</v>
      </c>
      <c r="I62" s="1541">
        <f>SUMIF(修正!$A$45:$A$56,H62,修正!E45:E56)</f>
        <v>0.25</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
      <c r="A63" s="2315" t="s">
        <v>2326</v>
      </c>
      <c r="B63" s="637">
        <f t="shared" si="17"/>
        <v>1785</v>
      </c>
      <c r="C63" s="377">
        <f t="shared" si="16"/>
        <v>0.25</v>
      </c>
      <c r="D63" s="2213">
        <v>0.25</v>
      </c>
      <c r="E63" s="640">
        <f>'数据-汇总表'!E11</f>
        <v>25926.73</v>
      </c>
      <c r="F63" s="635">
        <f t="shared" si="15"/>
        <v>4628</v>
      </c>
      <c r="G63" s="1929" t="s">
        <v>2281</v>
      </c>
      <c r="H63" s="1932" t="str">
        <f>项目基本情况!C43</f>
        <v>六级</v>
      </c>
      <c r="I63" s="1541">
        <f>SUMIF(修正!$A$45:$A$56,H63,修正!F45:F56)</f>
        <v>0.25</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
      <c r="A64" s="636" t="s">
        <v>569</v>
      </c>
      <c r="B64" s="637">
        <f t="shared" si="17"/>
        <v>1785</v>
      </c>
      <c r="C64" s="377">
        <f t="shared" si="16"/>
        <v>0.25</v>
      </c>
      <c r="D64" s="2213">
        <v>0.25</v>
      </c>
      <c r="E64" s="640">
        <f>'数据-汇总表'!E12</f>
        <v>148.72</v>
      </c>
      <c r="F64" s="635">
        <f t="shared" si="15"/>
        <v>27</v>
      </c>
      <c r="G64" s="1930" t="s">
        <v>1677</v>
      </c>
      <c r="H64" s="1928" t="str">
        <f>IF(G64="商业",项目基本情况!B43,IF(G64="办公",项目基本情况!C43,IF(G64="住宅",项目基本情况!D43,项目基本情况!E43)))</f>
        <v>六级</v>
      </c>
      <c r="I64" s="1541">
        <f>SUMIF(修正!$A$45:$A$56,H64,修正!G45:G56)</f>
        <v>0.25</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
      <c r="A65" s="636" t="s">
        <v>570</v>
      </c>
      <c r="B65" s="637">
        <f t="shared" si="17"/>
        <v>1428</v>
      </c>
      <c r="C65" s="377">
        <f t="shared" si="16"/>
        <v>0.2</v>
      </c>
      <c r="D65" s="2213">
        <v>0.25</v>
      </c>
      <c r="E65" s="640">
        <f>'数据-汇总表'!E13</f>
        <v>39638.61</v>
      </c>
      <c r="F65" s="635">
        <f t="shared" si="15"/>
        <v>5660</v>
      </c>
      <c r="G65" s="1930" t="s">
        <v>923</v>
      </c>
      <c r="H65" s="1928" t="str">
        <f>IF(G65="商业",项目基本情况!B43,IF(G65="办公",项目基本情况!C43,IF(G65="住宅",项目基本情况!D43,项目基本情况!E43)))</f>
        <v>六级</v>
      </c>
      <c r="I65" s="1541">
        <f>SUMIF(修正!$A$45:$A$56,H65,修正!H45:H56)</f>
        <v>0.2</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
      <c r="A66" s="636" t="s">
        <v>571</v>
      </c>
      <c r="B66" s="637">
        <f t="shared" si="17"/>
        <v>1428</v>
      </c>
      <c r="C66" s="377">
        <f t="shared" si="16"/>
        <v>0.2</v>
      </c>
      <c r="D66" s="2213">
        <v>0.25</v>
      </c>
      <c r="E66" s="640">
        <f>'数据-汇总表'!E14</f>
        <v>0</v>
      </c>
      <c r="F66" s="635">
        <f t="shared" si="15"/>
        <v>0</v>
      </c>
      <c r="G66" s="1929" t="s">
        <v>2280</v>
      </c>
      <c r="H66" s="1932" t="str">
        <f>项目基本情况!B43</f>
        <v>六级</v>
      </c>
      <c r="I66" s="1541">
        <f>SUMIF(修正!$A$45:$A$56,H66,修正!H45:H56)</f>
        <v>0.2</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1428</v>
      </c>
      <c r="C67" s="377">
        <f t="shared" si="16"/>
        <v>0.2</v>
      </c>
      <c r="D67" s="2213">
        <v>0.25</v>
      </c>
      <c r="E67" s="640">
        <f>'数据-汇总表'!E15</f>
        <v>0</v>
      </c>
      <c r="F67" s="635">
        <f t="shared" si="15"/>
        <v>0</v>
      </c>
      <c r="G67" s="1931" t="s">
        <v>2281</v>
      </c>
      <c r="H67" s="1933" t="str">
        <f>项目基本情况!C43</f>
        <v>六级</v>
      </c>
      <c r="I67" s="1541">
        <f>SUMIF(修正!$A$45:$A$56,H67,修正!H45:H56)</f>
        <v>0.2</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1" t="s">
        <v>573</v>
      </c>
      <c r="B68" s="642" t="s">
        <v>17</v>
      </c>
      <c r="C68" s="642" t="s">
        <v>18</v>
      </c>
      <c r="D68" s="642" t="s">
        <v>2292</v>
      </c>
      <c r="E68" s="642">
        <f>IF(B48="楼面地价",SUM(E58:E67),'数据-汇总表'!D3)</f>
        <v>160189.37</v>
      </c>
      <c r="F68" s="643">
        <f>IF(B48="楼面地价",SUM(F58:F67),ROUND(C50*E68/10000,0))</f>
        <v>280099</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8">EDATE(D70,-3)</f>
        <v>43678</v>
      </c>
      <c r="F70" s="2753">
        <f t="shared" si="18"/>
        <v>43586</v>
      </c>
      <c r="G70" s="2753">
        <f t="shared" si="18"/>
        <v>43497</v>
      </c>
      <c r="H70" s="2753">
        <f t="shared" si="18"/>
        <v>43405</v>
      </c>
      <c r="I70" s="2753">
        <f t="shared" si="18"/>
        <v>43313</v>
      </c>
      <c r="J70" s="2753">
        <f t="shared" si="18"/>
        <v>43221</v>
      </c>
      <c r="K70" s="2753">
        <f t="shared" si="18"/>
        <v>43132</v>
      </c>
      <c r="L70" s="2753">
        <f t="shared" si="18"/>
        <v>43040</v>
      </c>
      <c r="M70" s="2753">
        <f t="shared" si="18"/>
        <v>42948</v>
      </c>
      <c r="N70" s="2753">
        <f t="shared" si="18"/>
        <v>42856</v>
      </c>
      <c r="O70" s="2129"/>
      <c r="P70" s="2129"/>
      <c r="Q70" s="2129"/>
      <c r="R70" s="2129"/>
      <c r="S70" s="2129"/>
      <c r="T70" s="2129"/>
      <c r="U70" s="2129"/>
      <c r="V70" s="2129"/>
      <c r="W70" s="2129"/>
      <c r="X70" s="2129"/>
      <c r="Y70" s="2129"/>
      <c r="Z70" s="2129"/>
      <c r="AA70" s="2129"/>
      <c r="AB70" s="2129"/>
      <c r="AC70" s="2129"/>
    </row>
    <row r="71" spans="1:29" ht="21.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c r="A72" s="2531" t="s">
        <v>2530</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t="s">
        <v>3076</v>
      </c>
      <c r="P72" s="2144"/>
      <c r="Q72" s="2145"/>
      <c r="R72" s="2145"/>
      <c r="S72" s="2145"/>
      <c r="T72" s="2145"/>
      <c r="U72" s="2145"/>
      <c r="V72" s="2145"/>
      <c r="W72" s="2145"/>
      <c r="X72" s="2145"/>
      <c r="Y72" s="2145"/>
      <c r="Z72" s="2145"/>
      <c r="AA72" s="2145"/>
      <c r="AB72" s="2145"/>
      <c r="AC72" s="2145"/>
    </row>
    <row r="73" spans="1:29" s="1215" customFormat="1" ht="27" customHeight="1">
      <c r="A73" s="2760" t="s">
        <v>2644</v>
      </c>
      <c r="B73" s="478" t="str">
        <f>"北京市平均增长率"&amp;TEXT(SUMIF(基准地价!N21:N25,A73,基准地价!P21:P25),"0.00%")</f>
        <v>北京市平均增长率1.92%</v>
      </c>
      <c r="C73" s="893">
        <v>100</v>
      </c>
      <c r="D73" s="729">
        <v>99.5</v>
      </c>
      <c r="E73" s="729">
        <f>D73-0.5</f>
        <v>99</v>
      </c>
      <c r="F73" s="729">
        <f t="shared" ref="F73:N73" si="20">E73-0.5</f>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6">
        <v>94</v>
      </c>
      <c r="P73" s="2142"/>
      <c r="Q73" s="1977"/>
      <c r="R73" s="1977"/>
      <c r="S73" s="1977"/>
      <c r="T73" s="1977"/>
      <c r="U73" s="1977"/>
      <c r="V73" s="1977"/>
      <c r="W73" s="1977"/>
      <c r="X73" s="1977"/>
      <c r="Y73" s="1977"/>
      <c r="Z73" s="1977"/>
      <c r="AA73" s="1977"/>
      <c r="AB73" s="1977"/>
      <c r="AC73" s="1977"/>
    </row>
    <row r="74" spans="1:29" s="1215" customFormat="1" ht="15" customHeight="1" thickBot="1">
      <c r="A74" s="2751" t="s">
        <v>2643</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4.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82" t="s">
        <v>3078</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8.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4.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4.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4.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50"/>
      <c r="O83" s="2150"/>
      <c r="P83" s="2149"/>
      <c r="Q83" s="2142"/>
      <c r="R83" s="2129"/>
      <c r="S83" s="2129"/>
      <c r="T83" s="2129"/>
      <c r="U83" s="2129"/>
      <c r="V83" s="2129"/>
      <c r="W83" s="2129"/>
      <c r="X83" s="2129"/>
      <c r="Y83" s="2129"/>
      <c r="Z83" s="2129"/>
      <c r="AA83" s="2129"/>
      <c r="AB83" s="2129"/>
      <c r="AC83" s="2129"/>
    </row>
    <row r="84" spans="1:29" s="1334" customFormat="1" ht="14.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4.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4.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4.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4.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4.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4.5" thickBot="1">
      <c r="A91" s="668"/>
      <c r="B91" s="677"/>
      <c r="C91" s="678">
        <v>100</v>
      </c>
      <c r="D91" s="678">
        <f>C91-$K17</f>
        <v>100</v>
      </c>
      <c r="E91" s="678">
        <f>D91-$K17</f>
        <v>100</v>
      </c>
      <c r="F91" s="678">
        <f>E91-$K17</f>
        <v>100</v>
      </c>
      <c r="G91" s="678">
        <f>F91-$K17</f>
        <v>100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4.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4.5" thickBot="1">
      <c r="A93" s="668"/>
      <c r="B93" s="677"/>
      <c r="C93" s="678">
        <v>100</v>
      </c>
      <c r="D93" s="678">
        <f>C93-$K19</f>
        <v>99</v>
      </c>
      <c r="E93" s="678">
        <f>D93-$K19</f>
        <v>98</v>
      </c>
      <c r="F93" s="678">
        <f>E93-$K19</f>
        <v>97</v>
      </c>
      <c r="G93" s="678">
        <f>F93-$K19</f>
        <v>96</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4.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4.5" thickBot="1">
      <c r="A95" s="668"/>
      <c r="B95" s="677"/>
      <c r="C95" s="678">
        <v>100</v>
      </c>
      <c r="D95" s="678">
        <f>C95-$K21</f>
        <v>99</v>
      </c>
      <c r="E95" s="678">
        <f>D95-$K21</f>
        <v>98</v>
      </c>
      <c r="F95" s="678">
        <f>E95-$K21</f>
        <v>97</v>
      </c>
      <c r="G95" s="678">
        <f>F95-$K21</f>
        <v>96</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4.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4.5" thickBot="1">
      <c r="A97" s="668"/>
      <c r="B97" s="677"/>
      <c r="C97" s="678">
        <v>100</v>
      </c>
      <c r="D97" s="678">
        <f>C97-$K23</f>
        <v>99</v>
      </c>
      <c r="E97" s="678">
        <f>D97-$K23</f>
        <v>98</v>
      </c>
      <c r="F97" s="678">
        <f>E97-$K23</f>
        <v>97</v>
      </c>
      <c r="G97" s="678">
        <f>F97-$K23</f>
        <v>96</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8.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4.5" thickBot="1">
      <c r="A99" s="708"/>
      <c r="B99" s="677"/>
      <c r="C99" s="711">
        <v>100</v>
      </c>
      <c r="D99" s="678">
        <f>C99-$K25</f>
        <v>99</v>
      </c>
      <c r="E99" s="678">
        <f>D99-$K25</f>
        <v>98</v>
      </c>
      <c r="F99" s="678">
        <f>E99-$K25</f>
        <v>97</v>
      </c>
      <c r="G99" s="678">
        <f>F99-$K25</f>
        <v>96</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8.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4.5" thickBot="1">
      <c r="A101" s="708"/>
      <c r="B101" s="677"/>
      <c r="C101" s="678">
        <v>100</v>
      </c>
      <c r="D101" s="678">
        <f>C101-$K27</f>
        <v>99</v>
      </c>
      <c r="E101" s="678">
        <f>D101-$K27</f>
        <v>98</v>
      </c>
      <c r="F101" s="678">
        <f>E101-$K27</f>
        <v>97</v>
      </c>
      <c r="G101" s="678">
        <f>F101-$K27</f>
        <v>96</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4.5" thickTop="1">
      <c r="A102" s="686"/>
      <c r="B102" s="1880" t="s">
        <v>2546</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4.5"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4.5" thickTop="1">
      <c r="A104" s="686"/>
      <c r="B104" s="2560" t="s">
        <v>2548</v>
      </c>
      <c r="C104" s="2561" t="s">
        <v>2549</v>
      </c>
      <c r="D104" s="2561" t="s">
        <v>2550</v>
      </c>
      <c r="E104" s="2561" t="s">
        <v>2551</v>
      </c>
      <c r="F104" s="2561" t="s">
        <v>2552</v>
      </c>
      <c r="G104" s="2561" t="s">
        <v>2553</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4.5" thickBot="1">
      <c r="A105" s="686"/>
      <c r="B105" s="680"/>
      <c r="C105" s="678">
        <v>100</v>
      </c>
      <c r="D105" s="678">
        <f>C105-$K31</f>
        <v>99</v>
      </c>
      <c r="E105" s="678">
        <f>D105-$K31</f>
        <v>98</v>
      </c>
      <c r="F105" s="678">
        <f>E105-$K31</f>
        <v>97</v>
      </c>
      <c r="G105" s="678">
        <f>F105-$K31</f>
        <v>96</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4.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4.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8.5"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4.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4.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4.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4.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4.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4.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4.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4.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
      <c r="A118" s="663" t="s">
        <v>551</v>
      </c>
      <c r="B118" s="664" t="s">
        <v>593</v>
      </c>
      <c r="C118" s="703" t="str">
        <f t="shared" ref="C118:L118" si="26">C119&amp;"(含)"&amp;"-"&amp;D119</f>
        <v>0(含)-30000</v>
      </c>
      <c r="D118" s="703" t="str">
        <f t="shared" si="26"/>
        <v>30000(含)-60000</v>
      </c>
      <c r="E118" s="703" t="str">
        <f t="shared" si="26"/>
        <v>60000(含)-90000</v>
      </c>
      <c r="F118" s="703" t="str">
        <f t="shared" si="26"/>
        <v>90000(含)-120000</v>
      </c>
      <c r="G118" s="703" t="str">
        <f t="shared" si="26"/>
        <v>120000(含)-</v>
      </c>
      <c r="H118" s="703" t="str">
        <f t="shared" si="26"/>
        <v>(含)-</v>
      </c>
      <c r="I118" s="703"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8"/>
      <c r="B119" s="680"/>
      <c r="C119" s="729">
        <v>0</v>
      </c>
      <c r="D119" s="729">
        <v>30000</v>
      </c>
      <c r="E119" s="729">
        <v>60000</v>
      </c>
      <c r="F119" s="729">
        <v>90000</v>
      </c>
      <c r="G119" s="729">
        <v>120000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5" thickBot="1">
      <c r="A120" s="668"/>
      <c r="B120" s="677"/>
      <c r="C120" s="699">
        <v>98</v>
      </c>
      <c r="D120" s="725">
        <v>99</v>
      </c>
      <c r="E120" s="725">
        <v>100</v>
      </c>
      <c r="F120" s="725">
        <v>99</v>
      </c>
      <c r="G120" s="725">
        <v>98</v>
      </c>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4.5" thickTop="1">
      <c r="A121" s="734"/>
      <c r="B121" s="672" t="s">
        <v>594</v>
      </c>
      <c r="C121" s="3183" t="s">
        <v>3083</v>
      </c>
      <c r="D121" s="3183" t="s">
        <v>3084</v>
      </c>
      <c r="E121" s="3183" t="s">
        <v>3085</v>
      </c>
      <c r="F121" s="3183" t="s">
        <v>3086</v>
      </c>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4.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50"/>
      <c r="O122" s="2150"/>
      <c r="P122" s="2149"/>
      <c r="Q122" s="2142"/>
      <c r="R122" s="2129"/>
      <c r="S122" s="2129"/>
      <c r="T122" s="2129"/>
      <c r="U122" s="2129"/>
      <c r="V122" s="2129"/>
      <c r="W122" s="2129"/>
      <c r="X122" s="2129"/>
      <c r="Y122" s="2129"/>
      <c r="Z122" s="2129"/>
      <c r="AA122" s="2129"/>
      <c r="AB122" s="2129"/>
      <c r="AC122" s="2129"/>
    </row>
    <row r="123" spans="1:29" ht="14.5" thickTop="1">
      <c r="A123" s="734"/>
      <c r="B123" s="672" t="s">
        <v>595</v>
      </c>
      <c r="C123" s="3184" t="s">
        <v>3087</v>
      </c>
      <c r="D123" s="3184" t="s">
        <v>3088</v>
      </c>
      <c r="E123" s="3184" t="s">
        <v>3089</v>
      </c>
      <c r="F123" s="3183" t="s">
        <v>3090</v>
      </c>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4.5"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4.5" thickTop="1">
      <c r="A125" s="727"/>
      <c r="B125" s="1880" t="s">
        <v>2423</v>
      </c>
      <c r="C125" s="3184" t="s">
        <v>1982</v>
      </c>
      <c r="D125" s="3184" t="s">
        <v>1981</v>
      </c>
      <c r="E125" s="3184" t="s">
        <v>1980</v>
      </c>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4.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51"/>
      <c r="O126" s="2151"/>
      <c r="P126" s="2152"/>
      <c r="Q126" s="2153"/>
      <c r="R126" s="2154"/>
      <c r="S126" s="2154"/>
      <c r="T126" s="2154"/>
      <c r="U126" s="2154"/>
      <c r="V126" s="2154"/>
      <c r="W126" s="2154"/>
      <c r="X126" s="2154"/>
      <c r="Y126" s="2154"/>
      <c r="Z126" s="2154"/>
      <c r="AA126" s="2154"/>
      <c r="AB126" s="2154"/>
      <c r="AC126" s="2154"/>
    </row>
    <row r="127" spans="1:29" ht="14.5" thickTop="1">
      <c r="A127" s="734"/>
      <c r="B127" s="672" t="s">
        <v>596</v>
      </c>
      <c r="C127" s="3184" t="s">
        <v>3091</v>
      </c>
      <c r="D127" s="3184" t="s">
        <v>3092</v>
      </c>
      <c r="E127" s="3183" t="s">
        <v>3093</v>
      </c>
      <c r="F127" s="3183" t="s">
        <v>3094</v>
      </c>
      <c r="G127" s="3183" t="s">
        <v>3095</v>
      </c>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4.5"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50"/>
      <c r="O128" s="2150"/>
      <c r="P128" s="2149"/>
      <c r="Q128" s="2142"/>
      <c r="R128" s="2129"/>
      <c r="S128" s="2129"/>
      <c r="T128" s="2129"/>
      <c r="U128" s="2129"/>
      <c r="V128" s="2129"/>
      <c r="W128" s="2129"/>
      <c r="X128" s="2129"/>
      <c r="Y128" s="2129"/>
      <c r="Z128" s="2129"/>
      <c r="AA128" s="2129"/>
      <c r="AB128" s="2129"/>
      <c r="AC128" s="2129"/>
    </row>
    <row r="129" spans="1:29" ht="14.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4.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4.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4.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4.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4.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L16"/>
  <sheetViews>
    <sheetView workbookViewId="0">
      <selection activeCell="I30" sqref="I30"/>
    </sheetView>
  </sheetViews>
  <sheetFormatPr defaultRowHeight="14"/>
  <cols>
    <col min="1" max="1" width="40.1796875" style="2893" customWidth="1"/>
    <col min="2" max="2" width="13.36328125" style="2893" customWidth="1"/>
    <col min="3" max="3" width="11.1796875" style="2893" customWidth="1"/>
    <col min="4" max="4" width="10.6328125" style="2893" customWidth="1"/>
    <col min="5" max="5" width="7.08984375" style="2893" customWidth="1"/>
    <col min="6" max="6" width="9" style="2893" customWidth="1"/>
    <col min="7" max="7" width="10.1796875" style="2893" customWidth="1"/>
    <col min="8" max="8" width="8.1796875" style="2893" customWidth="1"/>
    <col min="9" max="9" width="9.90625" style="2893" customWidth="1"/>
    <col min="10" max="10" width="11.08984375" style="2893" customWidth="1"/>
    <col min="11" max="11" width="7.08984375" style="2893" customWidth="1"/>
    <col min="12" max="12" width="16.1796875" style="2893" customWidth="1"/>
    <col min="13" max="254" width="8.81640625" style="2893"/>
    <col min="255" max="255" width="82.1796875" style="2893" customWidth="1"/>
    <col min="256" max="256" width="7.08984375" style="2893" customWidth="1"/>
    <col min="257" max="257" width="13.36328125" style="2893" customWidth="1"/>
    <col min="258" max="259" width="15.90625" style="2893" customWidth="1"/>
    <col min="260" max="260" width="7.08984375" style="2893" customWidth="1"/>
    <col min="261" max="261" width="9" style="2893" customWidth="1"/>
    <col min="262" max="262" width="10.1796875" style="2893" customWidth="1"/>
    <col min="263" max="264" width="12.08984375" style="2893" customWidth="1"/>
    <col min="265" max="265" width="16.36328125" style="2893" customWidth="1"/>
    <col min="266" max="266" width="7.08984375" style="2893" customWidth="1"/>
    <col min="267" max="267" width="100.90625" style="2893" customWidth="1"/>
    <col min="268" max="268" width="9" style="2893" customWidth="1"/>
    <col min="269" max="510" width="8.81640625" style="2893"/>
    <col min="511" max="511" width="82.1796875" style="2893" customWidth="1"/>
    <col min="512" max="512" width="7.08984375" style="2893" customWidth="1"/>
    <col min="513" max="513" width="13.36328125" style="2893" customWidth="1"/>
    <col min="514" max="515" width="15.90625" style="2893" customWidth="1"/>
    <col min="516" max="516" width="7.08984375" style="2893" customWidth="1"/>
    <col min="517" max="517" width="9" style="2893" customWidth="1"/>
    <col min="518" max="518" width="10.1796875" style="2893" customWidth="1"/>
    <col min="519" max="520" width="12.08984375" style="2893" customWidth="1"/>
    <col min="521" max="521" width="16.36328125" style="2893" customWidth="1"/>
    <col min="522" max="522" width="7.08984375" style="2893" customWidth="1"/>
    <col min="523" max="523" width="100.90625" style="2893" customWidth="1"/>
    <col min="524" max="524" width="9" style="2893" customWidth="1"/>
    <col min="525" max="766" width="8.81640625" style="2893"/>
    <col min="767" max="767" width="82.1796875" style="2893" customWidth="1"/>
    <col min="768" max="768" width="7.08984375" style="2893" customWidth="1"/>
    <col min="769" max="769" width="13.36328125" style="2893" customWidth="1"/>
    <col min="770" max="771" width="15.90625" style="2893" customWidth="1"/>
    <col min="772" max="772" width="7.08984375" style="2893" customWidth="1"/>
    <col min="773" max="773" width="9" style="2893" customWidth="1"/>
    <col min="774" max="774" width="10.1796875" style="2893" customWidth="1"/>
    <col min="775" max="776" width="12.08984375" style="2893" customWidth="1"/>
    <col min="777" max="777" width="16.36328125" style="2893" customWidth="1"/>
    <col min="778" max="778" width="7.08984375" style="2893" customWidth="1"/>
    <col min="779" max="779" width="100.90625" style="2893" customWidth="1"/>
    <col min="780" max="780" width="9" style="2893" customWidth="1"/>
    <col min="781" max="1022" width="8.81640625" style="2893"/>
    <col min="1023" max="1023" width="82.1796875" style="2893" customWidth="1"/>
    <col min="1024" max="1024" width="7.08984375" style="2893" customWidth="1"/>
    <col min="1025" max="1025" width="13.36328125" style="2893" customWidth="1"/>
    <col min="1026" max="1027" width="15.90625" style="2893" customWidth="1"/>
    <col min="1028" max="1028" width="7.08984375" style="2893" customWidth="1"/>
    <col min="1029" max="1029" width="9" style="2893" customWidth="1"/>
    <col min="1030" max="1030" width="10.1796875" style="2893" customWidth="1"/>
    <col min="1031" max="1032" width="12.08984375" style="2893" customWidth="1"/>
    <col min="1033" max="1033" width="16.36328125" style="2893" customWidth="1"/>
    <col min="1034" max="1034" width="7.08984375" style="2893" customWidth="1"/>
    <col min="1035" max="1035" width="100.90625" style="2893" customWidth="1"/>
    <col min="1036" max="1036" width="9" style="2893" customWidth="1"/>
    <col min="1037" max="1278" width="8.81640625" style="2893"/>
    <col min="1279" max="1279" width="82.1796875" style="2893" customWidth="1"/>
    <col min="1280" max="1280" width="7.08984375" style="2893" customWidth="1"/>
    <col min="1281" max="1281" width="13.36328125" style="2893" customWidth="1"/>
    <col min="1282" max="1283" width="15.90625" style="2893" customWidth="1"/>
    <col min="1284" max="1284" width="7.08984375" style="2893" customWidth="1"/>
    <col min="1285" max="1285" width="9" style="2893" customWidth="1"/>
    <col min="1286" max="1286" width="10.1796875" style="2893" customWidth="1"/>
    <col min="1287" max="1288" width="12.08984375" style="2893" customWidth="1"/>
    <col min="1289" max="1289" width="16.36328125" style="2893" customWidth="1"/>
    <col min="1290" max="1290" width="7.08984375" style="2893" customWidth="1"/>
    <col min="1291" max="1291" width="100.90625" style="2893" customWidth="1"/>
    <col min="1292" max="1292" width="9" style="2893" customWidth="1"/>
    <col min="1293" max="1534" width="8.81640625" style="2893"/>
    <col min="1535" max="1535" width="82.1796875" style="2893" customWidth="1"/>
    <col min="1536" max="1536" width="7.08984375" style="2893" customWidth="1"/>
    <col min="1537" max="1537" width="13.36328125" style="2893" customWidth="1"/>
    <col min="1538" max="1539" width="15.90625" style="2893" customWidth="1"/>
    <col min="1540" max="1540" width="7.08984375" style="2893" customWidth="1"/>
    <col min="1541" max="1541" width="9" style="2893" customWidth="1"/>
    <col min="1542" max="1542" width="10.1796875" style="2893" customWidth="1"/>
    <col min="1543" max="1544" width="12.08984375" style="2893" customWidth="1"/>
    <col min="1545" max="1545" width="16.36328125" style="2893" customWidth="1"/>
    <col min="1546" max="1546" width="7.08984375" style="2893" customWidth="1"/>
    <col min="1547" max="1547" width="100.90625" style="2893" customWidth="1"/>
    <col min="1548" max="1548" width="9" style="2893" customWidth="1"/>
    <col min="1549" max="1790" width="8.81640625" style="2893"/>
    <col min="1791" max="1791" width="82.1796875" style="2893" customWidth="1"/>
    <col min="1792" max="1792" width="7.08984375" style="2893" customWidth="1"/>
    <col min="1793" max="1793" width="13.36328125" style="2893" customWidth="1"/>
    <col min="1794" max="1795" width="15.90625" style="2893" customWidth="1"/>
    <col min="1796" max="1796" width="7.08984375" style="2893" customWidth="1"/>
    <col min="1797" max="1797" width="9" style="2893" customWidth="1"/>
    <col min="1798" max="1798" width="10.1796875" style="2893" customWidth="1"/>
    <col min="1799" max="1800" width="12.08984375" style="2893" customWidth="1"/>
    <col min="1801" max="1801" width="16.36328125" style="2893" customWidth="1"/>
    <col min="1802" max="1802" width="7.08984375" style="2893" customWidth="1"/>
    <col min="1803" max="1803" width="100.90625" style="2893" customWidth="1"/>
    <col min="1804" max="1804" width="9" style="2893" customWidth="1"/>
    <col min="1805" max="2046" width="8.81640625" style="2893"/>
    <col min="2047" max="2047" width="82.1796875" style="2893" customWidth="1"/>
    <col min="2048" max="2048" width="7.08984375" style="2893" customWidth="1"/>
    <col min="2049" max="2049" width="13.36328125" style="2893" customWidth="1"/>
    <col min="2050" max="2051" width="15.90625" style="2893" customWidth="1"/>
    <col min="2052" max="2052" width="7.08984375" style="2893" customWidth="1"/>
    <col min="2053" max="2053" width="9" style="2893" customWidth="1"/>
    <col min="2054" max="2054" width="10.1796875" style="2893" customWidth="1"/>
    <col min="2055" max="2056" width="12.08984375" style="2893" customWidth="1"/>
    <col min="2057" max="2057" width="16.36328125" style="2893" customWidth="1"/>
    <col min="2058" max="2058" width="7.08984375" style="2893" customWidth="1"/>
    <col min="2059" max="2059" width="100.90625" style="2893" customWidth="1"/>
    <col min="2060" max="2060" width="9" style="2893" customWidth="1"/>
    <col min="2061" max="2302" width="8.81640625" style="2893"/>
    <col min="2303" max="2303" width="82.1796875" style="2893" customWidth="1"/>
    <col min="2304" max="2304" width="7.08984375" style="2893" customWidth="1"/>
    <col min="2305" max="2305" width="13.36328125" style="2893" customWidth="1"/>
    <col min="2306" max="2307" width="15.90625" style="2893" customWidth="1"/>
    <col min="2308" max="2308" width="7.08984375" style="2893" customWidth="1"/>
    <col min="2309" max="2309" width="9" style="2893" customWidth="1"/>
    <col min="2310" max="2310" width="10.1796875" style="2893" customWidth="1"/>
    <col min="2311" max="2312" width="12.08984375" style="2893" customWidth="1"/>
    <col min="2313" max="2313" width="16.36328125" style="2893" customWidth="1"/>
    <col min="2314" max="2314" width="7.08984375" style="2893" customWidth="1"/>
    <col min="2315" max="2315" width="100.90625" style="2893" customWidth="1"/>
    <col min="2316" max="2316" width="9" style="2893" customWidth="1"/>
    <col min="2317" max="2558" width="8.81640625" style="2893"/>
    <col min="2559" max="2559" width="82.1796875" style="2893" customWidth="1"/>
    <col min="2560" max="2560" width="7.08984375" style="2893" customWidth="1"/>
    <col min="2561" max="2561" width="13.36328125" style="2893" customWidth="1"/>
    <col min="2562" max="2563" width="15.90625" style="2893" customWidth="1"/>
    <col min="2564" max="2564" width="7.08984375" style="2893" customWidth="1"/>
    <col min="2565" max="2565" width="9" style="2893" customWidth="1"/>
    <col min="2566" max="2566" width="10.1796875" style="2893" customWidth="1"/>
    <col min="2567" max="2568" width="12.08984375" style="2893" customWidth="1"/>
    <col min="2569" max="2569" width="16.36328125" style="2893" customWidth="1"/>
    <col min="2570" max="2570" width="7.08984375" style="2893" customWidth="1"/>
    <col min="2571" max="2571" width="100.90625" style="2893" customWidth="1"/>
    <col min="2572" max="2572" width="9" style="2893" customWidth="1"/>
    <col min="2573" max="2814" width="8.81640625" style="2893"/>
    <col min="2815" max="2815" width="82.1796875" style="2893" customWidth="1"/>
    <col min="2816" max="2816" width="7.08984375" style="2893" customWidth="1"/>
    <col min="2817" max="2817" width="13.36328125" style="2893" customWidth="1"/>
    <col min="2818" max="2819" width="15.90625" style="2893" customWidth="1"/>
    <col min="2820" max="2820" width="7.08984375" style="2893" customWidth="1"/>
    <col min="2821" max="2821" width="9" style="2893" customWidth="1"/>
    <col min="2822" max="2822" width="10.1796875" style="2893" customWidth="1"/>
    <col min="2823" max="2824" width="12.08984375" style="2893" customWidth="1"/>
    <col min="2825" max="2825" width="16.36328125" style="2893" customWidth="1"/>
    <col min="2826" max="2826" width="7.08984375" style="2893" customWidth="1"/>
    <col min="2827" max="2827" width="100.90625" style="2893" customWidth="1"/>
    <col min="2828" max="2828" width="9" style="2893" customWidth="1"/>
    <col min="2829" max="3070" width="8.81640625" style="2893"/>
    <col min="3071" max="3071" width="82.1796875" style="2893" customWidth="1"/>
    <col min="3072" max="3072" width="7.08984375" style="2893" customWidth="1"/>
    <col min="3073" max="3073" width="13.36328125" style="2893" customWidth="1"/>
    <col min="3074" max="3075" width="15.90625" style="2893" customWidth="1"/>
    <col min="3076" max="3076" width="7.08984375" style="2893" customWidth="1"/>
    <col min="3077" max="3077" width="9" style="2893" customWidth="1"/>
    <col min="3078" max="3078" width="10.1796875" style="2893" customWidth="1"/>
    <col min="3079" max="3080" width="12.08984375" style="2893" customWidth="1"/>
    <col min="3081" max="3081" width="16.36328125" style="2893" customWidth="1"/>
    <col min="3082" max="3082" width="7.08984375" style="2893" customWidth="1"/>
    <col min="3083" max="3083" width="100.90625" style="2893" customWidth="1"/>
    <col min="3084" max="3084" width="9" style="2893" customWidth="1"/>
    <col min="3085" max="3326" width="8.81640625" style="2893"/>
    <col min="3327" max="3327" width="82.1796875" style="2893" customWidth="1"/>
    <col min="3328" max="3328" width="7.08984375" style="2893" customWidth="1"/>
    <col min="3329" max="3329" width="13.36328125" style="2893" customWidth="1"/>
    <col min="3330" max="3331" width="15.90625" style="2893" customWidth="1"/>
    <col min="3332" max="3332" width="7.08984375" style="2893" customWidth="1"/>
    <col min="3333" max="3333" width="9" style="2893" customWidth="1"/>
    <col min="3334" max="3334" width="10.1796875" style="2893" customWidth="1"/>
    <col min="3335" max="3336" width="12.08984375" style="2893" customWidth="1"/>
    <col min="3337" max="3337" width="16.36328125" style="2893" customWidth="1"/>
    <col min="3338" max="3338" width="7.08984375" style="2893" customWidth="1"/>
    <col min="3339" max="3339" width="100.90625" style="2893" customWidth="1"/>
    <col min="3340" max="3340" width="9" style="2893" customWidth="1"/>
    <col min="3341" max="3582" width="8.81640625" style="2893"/>
    <col min="3583" max="3583" width="82.1796875" style="2893" customWidth="1"/>
    <col min="3584" max="3584" width="7.08984375" style="2893" customWidth="1"/>
    <col min="3585" max="3585" width="13.36328125" style="2893" customWidth="1"/>
    <col min="3586" max="3587" width="15.90625" style="2893" customWidth="1"/>
    <col min="3588" max="3588" width="7.08984375" style="2893" customWidth="1"/>
    <col min="3589" max="3589" width="9" style="2893" customWidth="1"/>
    <col min="3590" max="3590" width="10.1796875" style="2893" customWidth="1"/>
    <col min="3591" max="3592" width="12.08984375" style="2893" customWidth="1"/>
    <col min="3593" max="3593" width="16.36328125" style="2893" customWidth="1"/>
    <col min="3594" max="3594" width="7.08984375" style="2893" customWidth="1"/>
    <col min="3595" max="3595" width="100.90625" style="2893" customWidth="1"/>
    <col min="3596" max="3596" width="9" style="2893" customWidth="1"/>
    <col min="3597" max="3838" width="8.81640625" style="2893"/>
    <col min="3839" max="3839" width="82.1796875" style="2893" customWidth="1"/>
    <col min="3840" max="3840" width="7.08984375" style="2893" customWidth="1"/>
    <col min="3841" max="3841" width="13.36328125" style="2893" customWidth="1"/>
    <col min="3842" max="3843" width="15.90625" style="2893" customWidth="1"/>
    <col min="3844" max="3844" width="7.08984375" style="2893" customWidth="1"/>
    <col min="3845" max="3845" width="9" style="2893" customWidth="1"/>
    <col min="3846" max="3846" width="10.1796875" style="2893" customWidth="1"/>
    <col min="3847" max="3848" width="12.08984375" style="2893" customWidth="1"/>
    <col min="3849" max="3849" width="16.36328125" style="2893" customWidth="1"/>
    <col min="3850" max="3850" width="7.08984375" style="2893" customWidth="1"/>
    <col min="3851" max="3851" width="100.90625" style="2893" customWidth="1"/>
    <col min="3852" max="3852" width="9" style="2893" customWidth="1"/>
    <col min="3853" max="4094" width="8.81640625" style="2893"/>
    <col min="4095" max="4095" width="82.1796875" style="2893" customWidth="1"/>
    <col min="4096" max="4096" width="7.08984375" style="2893" customWidth="1"/>
    <col min="4097" max="4097" width="13.36328125" style="2893" customWidth="1"/>
    <col min="4098" max="4099" width="15.90625" style="2893" customWidth="1"/>
    <col min="4100" max="4100" width="7.08984375" style="2893" customWidth="1"/>
    <col min="4101" max="4101" width="9" style="2893" customWidth="1"/>
    <col min="4102" max="4102" width="10.1796875" style="2893" customWidth="1"/>
    <col min="4103" max="4104" width="12.08984375" style="2893" customWidth="1"/>
    <col min="4105" max="4105" width="16.36328125" style="2893" customWidth="1"/>
    <col min="4106" max="4106" width="7.08984375" style="2893" customWidth="1"/>
    <col min="4107" max="4107" width="100.90625" style="2893" customWidth="1"/>
    <col min="4108" max="4108" width="9" style="2893" customWidth="1"/>
    <col min="4109" max="4350" width="8.81640625" style="2893"/>
    <col min="4351" max="4351" width="82.1796875" style="2893" customWidth="1"/>
    <col min="4352" max="4352" width="7.08984375" style="2893" customWidth="1"/>
    <col min="4353" max="4353" width="13.36328125" style="2893" customWidth="1"/>
    <col min="4354" max="4355" width="15.90625" style="2893" customWidth="1"/>
    <col min="4356" max="4356" width="7.08984375" style="2893" customWidth="1"/>
    <col min="4357" max="4357" width="9" style="2893" customWidth="1"/>
    <col min="4358" max="4358" width="10.1796875" style="2893" customWidth="1"/>
    <col min="4359" max="4360" width="12.08984375" style="2893" customWidth="1"/>
    <col min="4361" max="4361" width="16.36328125" style="2893" customWidth="1"/>
    <col min="4362" max="4362" width="7.08984375" style="2893" customWidth="1"/>
    <col min="4363" max="4363" width="100.90625" style="2893" customWidth="1"/>
    <col min="4364" max="4364" width="9" style="2893" customWidth="1"/>
    <col min="4365" max="4606" width="8.81640625" style="2893"/>
    <col min="4607" max="4607" width="82.1796875" style="2893" customWidth="1"/>
    <col min="4608" max="4608" width="7.08984375" style="2893" customWidth="1"/>
    <col min="4609" max="4609" width="13.36328125" style="2893" customWidth="1"/>
    <col min="4610" max="4611" width="15.90625" style="2893" customWidth="1"/>
    <col min="4612" max="4612" width="7.08984375" style="2893" customWidth="1"/>
    <col min="4613" max="4613" width="9" style="2893" customWidth="1"/>
    <col min="4614" max="4614" width="10.1796875" style="2893" customWidth="1"/>
    <col min="4615" max="4616" width="12.08984375" style="2893" customWidth="1"/>
    <col min="4617" max="4617" width="16.36328125" style="2893" customWidth="1"/>
    <col min="4618" max="4618" width="7.08984375" style="2893" customWidth="1"/>
    <col min="4619" max="4619" width="100.90625" style="2893" customWidth="1"/>
    <col min="4620" max="4620" width="9" style="2893" customWidth="1"/>
    <col min="4621" max="4862" width="8.81640625" style="2893"/>
    <col min="4863" max="4863" width="82.1796875" style="2893" customWidth="1"/>
    <col min="4864" max="4864" width="7.08984375" style="2893" customWidth="1"/>
    <col min="4865" max="4865" width="13.36328125" style="2893" customWidth="1"/>
    <col min="4866" max="4867" width="15.90625" style="2893" customWidth="1"/>
    <col min="4868" max="4868" width="7.08984375" style="2893" customWidth="1"/>
    <col min="4869" max="4869" width="9" style="2893" customWidth="1"/>
    <col min="4870" max="4870" width="10.1796875" style="2893" customWidth="1"/>
    <col min="4871" max="4872" width="12.08984375" style="2893" customWidth="1"/>
    <col min="4873" max="4873" width="16.36328125" style="2893" customWidth="1"/>
    <col min="4874" max="4874" width="7.08984375" style="2893" customWidth="1"/>
    <col min="4875" max="4875" width="100.90625" style="2893" customWidth="1"/>
    <col min="4876" max="4876" width="9" style="2893" customWidth="1"/>
    <col min="4877" max="5118" width="8.81640625" style="2893"/>
    <col min="5119" max="5119" width="82.1796875" style="2893" customWidth="1"/>
    <col min="5120" max="5120" width="7.08984375" style="2893" customWidth="1"/>
    <col min="5121" max="5121" width="13.36328125" style="2893" customWidth="1"/>
    <col min="5122" max="5123" width="15.90625" style="2893" customWidth="1"/>
    <col min="5124" max="5124" width="7.08984375" style="2893" customWidth="1"/>
    <col min="5125" max="5125" width="9" style="2893" customWidth="1"/>
    <col min="5126" max="5126" width="10.1796875" style="2893" customWidth="1"/>
    <col min="5127" max="5128" width="12.08984375" style="2893" customWidth="1"/>
    <col min="5129" max="5129" width="16.36328125" style="2893" customWidth="1"/>
    <col min="5130" max="5130" width="7.08984375" style="2893" customWidth="1"/>
    <col min="5131" max="5131" width="100.90625" style="2893" customWidth="1"/>
    <col min="5132" max="5132" width="9" style="2893" customWidth="1"/>
    <col min="5133" max="5374" width="8.81640625" style="2893"/>
    <col min="5375" max="5375" width="82.1796875" style="2893" customWidth="1"/>
    <col min="5376" max="5376" width="7.08984375" style="2893" customWidth="1"/>
    <col min="5377" max="5377" width="13.36328125" style="2893" customWidth="1"/>
    <col min="5378" max="5379" width="15.90625" style="2893" customWidth="1"/>
    <col min="5380" max="5380" width="7.08984375" style="2893" customWidth="1"/>
    <col min="5381" max="5381" width="9" style="2893" customWidth="1"/>
    <col min="5382" max="5382" width="10.1796875" style="2893" customWidth="1"/>
    <col min="5383" max="5384" width="12.08984375" style="2893" customWidth="1"/>
    <col min="5385" max="5385" width="16.36328125" style="2893" customWidth="1"/>
    <col min="5386" max="5386" width="7.08984375" style="2893" customWidth="1"/>
    <col min="5387" max="5387" width="100.90625" style="2893" customWidth="1"/>
    <col min="5388" max="5388" width="9" style="2893" customWidth="1"/>
    <col min="5389" max="5630" width="8.81640625" style="2893"/>
    <col min="5631" max="5631" width="82.1796875" style="2893" customWidth="1"/>
    <col min="5632" max="5632" width="7.08984375" style="2893" customWidth="1"/>
    <col min="5633" max="5633" width="13.36328125" style="2893" customWidth="1"/>
    <col min="5634" max="5635" width="15.90625" style="2893" customWidth="1"/>
    <col min="5636" max="5636" width="7.08984375" style="2893" customWidth="1"/>
    <col min="5637" max="5637" width="9" style="2893" customWidth="1"/>
    <col min="5638" max="5638" width="10.1796875" style="2893" customWidth="1"/>
    <col min="5639" max="5640" width="12.08984375" style="2893" customWidth="1"/>
    <col min="5641" max="5641" width="16.36328125" style="2893" customWidth="1"/>
    <col min="5642" max="5642" width="7.08984375" style="2893" customWidth="1"/>
    <col min="5643" max="5643" width="100.90625" style="2893" customWidth="1"/>
    <col min="5644" max="5644" width="9" style="2893" customWidth="1"/>
    <col min="5645" max="5886" width="8.81640625" style="2893"/>
    <col min="5887" max="5887" width="82.1796875" style="2893" customWidth="1"/>
    <col min="5888" max="5888" width="7.08984375" style="2893" customWidth="1"/>
    <col min="5889" max="5889" width="13.36328125" style="2893" customWidth="1"/>
    <col min="5890" max="5891" width="15.90625" style="2893" customWidth="1"/>
    <col min="5892" max="5892" width="7.08984375" style="2893" customWidth="1"/>
    <col min="5893" max="5893" width="9" style="2893" customWidth="1"/>
    <col min="5894" max="5894" width="10.1796875" style="2893" customWidth="1"/>
    <col min="5895" max="5896" width="12.08984375" style="2893" customWidth="1"/>
    <col min="5897" max="5897" width="16.36328125" style="2893" customWidth="1"/>
    <col min="5898" max="5898" width="7.08984375" style="2893" customWidth="1"/>
    <col min="5899" max="5899" width="100.90625" style="2893" customWidth="1"/>
    <col min="5900" max="5900" width="9" style="2893" customWidth="1"/>
    <col min="5901" max="6142" width="8.81640625" style="2893"/>
    <col min="6143" max="6143" width="82.1796875" style="2893" customWidth="1"/>
    <col min="6144" max="6144" width="7.08984375" style="2893" customWidth="1"/>
    <col min="6145" max="6145" width="13.36328125" style="2893" customWidth="1"/>
    <col min="6146" max="6147" width="15.90625" style="2893" customWidth="1"/>
    <col min="6148" max="6148" width="7.08984375" style="2893" customWidth="1"/>
    <col min="6149" max="6149" width="9" style="2893" customWidth="1"/>
    <col min="6150" max="6150" width="10.1796875" style="2893" customWidth="1"/>
    <col min="6151" max="6152" width="12.08984375" style="2893" customWidth="1"/>
    <col min="6153" max="6153" width="16.36328125" style="2893" customWidth="1"/>
    <col min="6154" max="6154" width="7.08984375" style="2893" customWidth="1"/>
    <col min="6155" max="6155" width="100.90625" style="2893" customWidth="1"/>
    <col min="6156" max="6156" width="9" style="2893" customWidth="1"/>
    <col min="6157" max="6398" width="8.81640625" style="2893"/>
    <col min="6399" max="6399" width="82.1796875" style="2893" customWidth="1"/>
    <col min="6400" max="6400" width="7.08984375" style="2893" customWidth="1"/>
    <col min="6401" max="6401" width="13.36328125" style="2893" customWidth="1"/>
    <col min="6402" max="6403" width="15.90625" style="2893" customWidth="1"/>
    <col min="6404" max="6404" width="7.08984375" style="2893" customWidth="1"/>
    <col min="6405" max="6405" width="9" style="2893" customWidth="1"/>
    <col min="6406" max="6406" width="10.1796875" style="2893" customWidth="1"/>
    <col min="6407" max="6408" width="12.08984375" style="2893" customWidth="1"/>
    <col min="6409" max="6409" width="16.36328125" style="2893" customWidth="1"/>
    <col min="6410" max="6410" width="7.08984375" style="2893" customWidth="1"/>
    <col min="6411" max="6411" width="100.90625" style="2893" customWidth="1"/>
    <col min="6412" max="6412" width="9" style="2893" customWidth="1"/>
    <col min="6413" max="6654" width="8.81640625" style="2893"/>
    <col min="6655" max="6655" width="82.1796875" style="2893" customWidth="1"/>
    <col min="6656" max="6656" width="7.08984375" style="2893" customWidth="1"/>
    <col min="6657" max="6657" width="13.36328125" style="2893" customWidth="1"/>
    <col min="6658" max="6659" width="15.90625" style="2893" customWidth="1"/>
    <col min="6660" max="6660" width="7.08984375" style="2893" customWidth="1"/>
    <col min="6661" max="6661" width="9" style="2893" customWidth="1"/>
    <col min="6662" max="6662" width="10.1796875" style="2893" customWidth="1"/>
    <col min="6663" max="6664" width="12.08984375" style="2893" customWidth="1"/>
    <col min="6665" max="6665" width="16.36328125" style="2893" customWidth="1"/>
    <col min="6666" max="6666" width="7.08984375" style="2893" customWidth="1"/>
    <col min="6667" max="6667" width="100.90625" style="2893" customWidth="1"/>
    <col min="6668" max="6668" width="9" style="2893" customWidth="1"/>
    <col min="6669" max="6910" width="8.81640625" style="2893"/>
    <col min="6911" max="6911" width="82.1796875" style="2893" customWidth="1"/>
    <col min="6912" max="6912" width="7.08984375" style="2893" customWidth="1"/>
    <col min="6913" max="6913" width="13.36328125" style="2893" customWidth="1"/>
    <col min="6914" max="6915" width="15.90625" style="2893" customWidth="1"/>
    <col min="6916" max="6916" width="7.08984375" style="2893" customWidth="1"/>
    <col min="6917" max="6917" width="9" style="2893" customWidth="1"/>
    <col min="6918" max="6918" width="10.1796875" style="2893" customWidth="1"/>
    <col min="6919" max="6920" width="12.08984375" style="2893" customWidth="1"/>
    <col min="6921" max="6921" width="16.36328125" style="2893" customWidth="1"/>
    <col min="6922" max="6922" width="7.08984375" style="2893" customWidth="1"/>
    <col min="6923" max="6923" width="100.90625" style="2893" customWidth="1"/>
    <col min="6924" max="6924" width="9" style="2893" customWidth="1"/>
    <col min="6925" max="7166" width="8.81640625" style="2893"/>
    <col min="7167" max="7167" width="82.1796875" style="2893" customWidth="1"/>
    <col min="7168" max="7168" width="7.08984375" style="2893" customWidth="1"/>
    <col min="7169" max="7169" width="13.36328125" style="2893" customWidth="1"/>
    <col min="7170" max="7171" width="15.90625" style="2893" customWidth="1"/>
    <col min="7172" max="7172" width="7.08984375" style="2893" customWidth="1"/>
    <col min="7173" max="7173" width="9" style="2893" customWidth="1"/>
    <col min="7174" max="7174" width="10.1796875" style="2893" customWidth="1"/>
    <col min="7175" max="7176" width="12.08984375" style="2893" customWidth="1"/>
    <col min="7177" max="7177" width="16.36328125" style="2893" customWidth="1"/>
    <col min="7178" max="7178" width="7.08984375" style="2893" customWidth="1"/>
    <col min="7179" max="7179" width="100.90625" style="2893" customWidth="1"/>
    <col min="7180" max="7180" width="9" style="2893" customWidth="1"/>
    <col min="7181" max="7422" width="8.81640625" style="2893"/>
    <col min="7423" max="7423" width="82.1796875" style="2893" customWidth="1"/>
    <col min="7424" max="7424" width="7.08984375" style="2893" customWidth="1"/>
    <col min="7425" max="7425" width="13.36328125" style="2893" customWidth="1"/>
    <col min="7426" max="7427" width="15.90625" style="2893" customWidth="1"/>
    <col min="7428" max="7428" width="7.08984375" style="2893" customWidth="1"/>
    <col min="7429" max="7429" width="9" style="2893" customWidth="1"/>
    <col min="7430" max="7430" width="10.1796875" style="2893" customWidth="1"/>
    <col min="7431" max="7432" width="12.08984375" style="2893" customWidth="1"/>
    <col min="7433" max="7433" width="16.36328125" style="2893" customWidth="1"/>
    <col min="7434" max="7434" width="7.08984375" style="2893" customWidth="1"/>
    <col min="7435" max="7435" width="100.90625" style="2893" customWidth="1"/>
    <col min="7436" max="7436" width="9" style="2893" customWidth="1"/>
    <col min="7437" max="7678" width="8.81640625" style="2893"/>
    <col min="7679" max="7679" width="82.1796875" style="2893" customWidth="1"/>
    <col min="7680" max="7680" width="7.08984375" style="2893" customWidth="1"/>
    <col min="7681" max="7681" width="13.36328125" style="2893" customWidth="1"/>
    <col min="7682" max="7683" width="15.90625" style="2893" customWidth="1"/>
    <col min="7684" max="7684" width="7.08984375" style="2893" customWidth="1"/>
    <col min="7685" max="7685" width="9" style="2893" customWidth="1"/>
    <col min="7686" max="7686" width="10.1796875" style="2893" customWidth="1"/>
    <col min="7687" max="7688" width="12.08984375" style="2893" customWidth="1"/>
    <col min="7689" max="7689" width="16.36328125" style="2893" customWidth="1"/>
    <col min="7690" max="7690" width="7.08984375" style="2893" customWidth="1"/>
    <col min="7691" max="7691" width="100.90625" style="2893" customWidth="1"/>
    <col min="7692" max="7692" width="9" style="2893" customWidth="1"/>
    <col min="7693" max="7934" width="8.81640625" style="2893"/>
    <col min="7935" max="7935" width="82.1796875" style="2893" customWidth="1"/>
    <col min="7936" max="7936" width="7.08984375" style="2893" customWidth="1"/>
    <col min="7937" max="7937" width="13.36328125" style="2893" customWidth="1"/>
    <col min="7938" max="7939" width="15.90625" style="2893" customWidth="1"/>
    <col min="7940" max="7940" width="7.08984375" style="2893" customWidth="1"/>
    <col min="7941" max="7941" width="9" style="2893" customWidth="1"/>
    <col min="7942" max="7942" width="10.1796875" style="2893" customWidth="1"/>
    <col min="7943" max="7944" width="12.08984375" style="2893" customWidth="1"/>
    <col min="7945" max="7945" width="16.36328125" style="2893" customWidth="1"/>
    <col min="7946" max="7946" width="7.08984375" style="2893" customWidth="1"/>
    <col min="7947" max="7947" width="100.90625" style="2893" customWidth="1"/>
    <col min="7948" max="7948" width="9" style="2893" customWidth="1"/>
    <col min="7949" max="8190" width="8.81640625" style="2893"/>
    <col min="8191" max="8191" width="82.1796875" style="2893" customWidth="1"/>
    <col min="8192" max="8192" width="7.08984375" style="2893" customWidth="1"/>
    <col min="8193" max="8193" width="13.36328125" style="2893" customWidth="1"/>
    <col min="8194" max="8195" width="15.90625" style="2893" customWidth="1"/>
    <col min="8196" max="8196" width="7.08984375" style="2893" customWidth="1"/>
    <col min="8197" max="8197" width="9" style="2893" customWidth="1"/>
    <col min="8198" max="8198" width="10.1796875" style="2893" customWidth="1"/>
    <col min="8199" max="8200" width="12.08984375" style="2893" customWidth="1"/>
    <col min="8201" max="8201" width="16.36328125" style="2893" customWidth="1"/>
    <col min="8202" max="8202" width="7.08984375" style="2893" customWidth="1"/>
    <col min="8203" max="8203" width="100.90625" style="2893" customWidth="1"/>
    <col min="8204" max="8204" width="9" style="2893" customWidth="1"/>
    <col min="8205" max="8446" width="8.81640625" style="2893"/>
    <col min="8447" max="8447" width="82.1796875" style="2893" customWidth="1"/>
    <col min="8448" max="8448" width="7.08984375" style="2893" customWidth="1"/>
    <col min="8449" max="8449" width="13.36328125" style="2893" customWidth="1"/>
    <col min="8450" max="8451" width="15.90625" style="2893" customWidth="1"/>
    <col min="8452" max="8452" width="7.08984375" style="2893" customWidth="1"/>
    <col min="8453" max="8453" width="9" style="2893" customWidth="1"/>
    <col min="8454" max="8454" width="10.1796875" style="2893" customWidth="1"/>
    <col min="8455" max="8456" width="12.08984375" style="2893" customWidth="1"/>
    <col min="8457" max="8457" width="16.36328125" style="2893" customWidth="1"/>
    <col min="8458" max="8458" width="7.08984375" style="2893" customWidth="1"/>
    <col min="8459" max="8459" width="100.90625" style="2893" customWidth="1"/>
    <col min="8460" max="8460" width="9" style="2893" customWidth="1"/>
    <col min="8461" max="8702" width="8.81640625" style="2893"/>
    <col min="8703" max="8703" width="82.1796875" style="2893" customWidth="1"/>
    <col min="8704" max="8704" width="7.08984375" style="2893" customWidth="1"/>
    <col min="8705" max="8705" width="13.36328125" style="2893" customWidth="1"/>
    <col min="8706" max="8707" width="15.90625" style="2893" customWidth="1"/>
    <col min="8708" max="8708" width="7.08984375" style="2893" customWidth="1"/>
    <col min="8709" max="8709" width="9" style="2893" customWidth="1"/>
    <col min="8710" max="8710" width="10.1796875" style="2893" customWidth="1"/>
    <col min="8711" max="8712" width="12.08984375" style="2893" customWidth="1"/>
    <col min="8713" max="8713" width="16.36328125" style="2893" customWidth="1"/>
    <col min="8714" max="8714" width="7.08984375" style="2893" customWidth="1"/>
    <col min="8715" max="8715" width="100.90625" style="2893" customWidth="1"/>
    <col min="8716" max="8716" width="9" style="2893" customWidth="1"/>
    <col min="8717" max="8958" width="8.81640625" style="2893"/>
    <col min="8959" max="8959" width="82.1796875" style="2893" customWidth="1"/>
    <col min="8960" max="8960" width="7.08984375" style="2893" customWidth="1"/>
    <col min="8961" max="8961" width="13.36328125" style="2893" customWidth="1"/>
    <col min="8962" max="8963" width="15.90625" style="2893" customWidth="1"/>
    <col min="8964" max="8964" width="7.08984375" style="2893" customWidth="1"/>
    <col min="8965" max="8965" width="9" style="2893" customWidth="1"/>
    <col min="8966" max="8966" width="10.1796875" style="2893" customWidth="1"/>
    <col min="8967" max="8968" width="12.08984375" style="2893" customWidth="1"/>
    <col min="8969" max="8969" width="16.36328125" style="2893" customWidth="1"/>
    <col min="8970" max="8970" width="7.08984375" style="2893" customWidth="1"/>
    <col min="8971" max="8971" width="100.90625" style="2893" customWidth="1"/>
    <col min="8972" max="8972" width="9" style="2893" customWidth="1"/>
    <col min="8973" max="9214" width="8.81640625" style="2893"/>
    <col min="9215" max="9215" width="82.1796875" style="2893" customWidth="1"/>
    <col min="9216" max="9216" width="7.08984375" style="2893" customWidth="1"/>
    <col min="9217" max="9217" width="13.36328125" style="2893" customWidth="1"/>
    <col min="9218" max="9219" width="15.90625" style="2893" customWidth="1"/>
    <col min="9220" max="9220" width="7.08984375" style="2893" customWidth="1"/>
    <col min="9221" max="9221" width="9" style="2893" customWidth="1"/>
    <col min="9222" max="9222" width="10.1796875" style="2893" customWidth="1"/>
    <col min="9223" max="9224" width="12.08984375" style="2893" customWidth="1"/>
    <col min="9225" max="9225" width="16.36328125" style="2893" customWidth="1"/>
    <col min="9226" max="9226" width="7.08984375" style="2893" customWidth="1"/>
    <col min="9227" max="9227" width="100.90625" style="2893" customWidth="1"/>
    <col min="9228" max="9228" width="9" style="2893" customWidth="1"/>
    <col min="9229" max="9470" width="8.81640625" style="2893"/>
    <col min="9471" max="9471" width="82.1796875" style="2893" customWidth="1"/>
    <col min="9472" max="9472" width="7.08984375" style="2893" customWidth="1"/>
    <col min="9473" max="9473" width="13.36328125" style="2893" customWidth="1"/>
    <col min="9474" max="9475" width="15.90625" style="2893" customWidth="1"/>
    <col min="9476" max="9476" width="7.08984375" style="2893" customWidth="1"/>
    <col min="9477" max="9477" width="9" style="2893" customWidth="1"/>
    <col min="9478" max="9478" width="10.1796875" style="2893" customWidth="1"/>
    <col min="9479" max="9480" width="12.08984375" style="2893" customWidth="1"/>
    <col min="9481" max="9481" width="16.36328125" style="2893" customWidth="1"/>
    <col min="9482" max="9482" width="7.08984375" style="2893" customWidth="1"/>
    <col min="9483" max="9483" width="100.90625" style="2893" customWidth="1"/>
    <col min="9484" max="9484" width="9" style="2893" customWidth="1"/>
    <col min="9485" max="9726" width="8.81640625" style="2893"/>
    <col min="9727" max="9727" width="82.1796875" style="2893" customWidth="1"/>
    <col min="9728" max="9728" width="7.08984375" style="2893" customWidth="1"/>
    <col min="9729" max="9729" width="13.36328125" style="2893" customWidth="1"/>
    <col min="9730" max="9731" width="15.90625" style="2893" customWidth="1"/>
    <col min="9732" max="9732" width="7.08984375" style="2893" customWidth="1"/>
    <col min="9733" max="9733" width="9" style="2893" customWidth="1"/>
    <col min="9734" max="9734" width="10.1796875" style="2893" customWidth="1"/>
    <col min="9735" max="9736" width="12.08984375" style="2893" customWidth="1"/>
    <col min="9737" max="9737" width="16.36328125" style="2893" customWidth="1"/>
    <col min="9738" max="9738" width="7.08984375" style="2893" customWidth="1"/>
    <col min="9739" max="9739" width="100.90625" style="2893" customWidth="1"/>
    <col min="9740" max="9740" width="9" style="2893" customWidth="1"/>
    <col min="9741" max="9982" width="8.81640625" style="2893"/>
    <col min="9983" max="9983" width="82.1796875" style="2893" customWidth="1"/>
    <col min="9984" max="9984" width="7.08984375" style="2893" customWidth="1"/>
    <col min="9985" max="9985" width="13.36328125" style="2893" customWidth="1"/>
    <col min="9986" max="9987" width="15.90625" style="2893" customWidth="1"/>
    <col min="9988" max="9988" width="7.08984375" style="2893" customWidth="1"/>
    <col min="9989" max="9989" width="9" style="2893" customWidth="1"/>
    <col min="9990" max="9990" width="10.1796875" style="2893" customWidth="1"/>
    <col min="9991" max="9992" width="12.08984375" style="2893" customWidth="1"/>
    <col min="9993" max="9993" width="16.36328125" style="2893" customWidth="1"/>
    <col min="9994" max="9994" width="7.08984375" style="2893" customWidth="1"/>
    <col min="9995" max="9995" width="100.90625" style="2893" customWidth="1"/>
    <col min="9996" max="9996" width="9" style="2893" customWidth="1"/>
    <col min="9997" max="10238" width="8.81640625" style="2893"/>
    <col min="10239" max="10239" width="82.1796875" style="2893" customWidth="1"/>
    <col min="10240" max="10240" width="7.08984375" style="2893" customWidth="1"/>
    <col min="10241" max="10241" width="13.36328125" style="2893" customWidth="1"/>
    <col min="10242" max="10243" width="15.90625" style="2893" customWidth="1"/>
    <col min="10244" max="10244" width="7.08984375" style="2893" customWidth="1"/>
    <col min="10245" max="10245" width="9" style="2893" customWidth="1"/>
    <col min="10246" max="10246" width="10.1796875" style="2893" customWidth="1"/>
    <col min="10247" max="10248" width="12.08984375" style="2893" customWidth="1"/>
    <col min="10249" max="10249" width="16.36328125" style="2893" customWidth="1"/>
    <col min="10250" max="10250" width="7.08984375" style="2893" customWidth="1"/>
    <col min="10251" max="10251" width="100.90625" style="2893" customWidth="1"/>
    <col min="10252" max="10252" width="9" style="2893" customWidth="1"/>
    <col min="10253" max="10494" width="8.81640625" style="2893"/>
    <col min="10495" max="10495" width="82.1796875" style="2893" customWidth="1"/>
    <col min="10496" max="10496" width="7.08984375" style="2893" customWidth="1"/>
    <col min="10497" max="10497" width="13.36328125" style="2893" customWidth="1"/>
    <col min="10498" max="10499" width="15.90625" style="2893" customWidth="1"/>
    <col min="10500" max="10500" width="7.08984375" style="2893" customWidth="1"/>
    <col min="10501" max="10501" width="9" style="2893" customWidth="1"/>
    <col min="10502" max="10502" width="10.1796875" style="2893" customWidth="1"/>
    <col min="10503" max="10504" width="12.08984375" style="2893" customWidth="1"/>
    <col min="10505" max="10505" width="16.36328125" style="2893" customWidth="1"/>
    <col min="10506" max="10506" width="7.08984375" style="2893" customWidth="1"/>
    <col min="10507" max="10507" width="100.90625" style="2893" customWidth="1"/>
    <col min="10508" max="10508" width="9" style="2893" customWidth="1"/>
    <col min="10509" max="10750" width="8.81640625" style="2893"/>
    <col min="10751" max="10751" width="82.1796875" style="2893" customWidth="1"/>
    <col min="10752" max="10752" width="7.08984375" style="2893" customWidth="1"/>
    <col min="10753" max="10753" width="13.36328125" style="2893" customWidth="1"/>
    <col min="10754" max="10755" width="15.90625" style="2893" customWidth="1"/>
    <col min="10756" max="10756" width="7.08984375" style="2893" customWidth="1"/>
    <col min="10757" max="10757" width="9" style="2893" customWidth="1"/>
    <col min="10758" max="10758" width="10.1796875" style="2893" customWidth="1"/>
    <col min="10759" max="10760" width="12.08984375" style="2893" customWidth="1"/>
    <col min="10761" max="10761" width="16.36328125" style="2893" customWidth="1"/>
    <col min="10762" max="10762" width="7.08984375" style="2893" customWidth="1"/>
    <col min="10763" max="10763" width="100.90625" style="2893" customWidth="1"/>
    <col min="10764" max="10764" width="9" style="2893" customWidth="1"/>
    <col min="10765" max="11006" width="8.81640625" style="2893"/>
    <col min="11007" max="11007" width="82.1796875" style="2893" customWidth="1"/>
    <col min="11008" max="11008" width="7.08984375" style="2893" customWidth="1"/>
    <col min="11009" max="11009" width="13.36328125" style="2893" customWidth="1"/>
    <col min="11010" max="11011" width="15.90625" style="2893" customWidth="1"/>
    <col min="11012" max="11012" width="7.08984375" style="2893" customWidth="1"/>
    <col min="11013" max="11013" width="9" style="2893" customWidth="1"/>
    <col min="11014" max="11014" width="10.1796875" style="2893" customWidth="1"/>
    <col min="11015" max="11016" width="12.08984375" style="2893" customWidth="1"/>
    <col min="11017" max="11017" width="16.36328125" style="2893" customWidth="1"/>
    <col min="11018" max="11018" width="7.08984375" style="2893" customWidth="1"/>
    <col min="11019" max="11019" width="100.90625" style="2893" customWidth="1"/>
    <col min="11020" max="11020" width="9" style="2893" customWidth="1"/>
    <col min="11021" max="11262" width="8.81640625" style="2893"/>
    <col min="11263" max="11263" width="82.1796875" style="2893" customWidth="1"/>
    <col min="11264" max="11264" width="7.08984375" style="2893" customWidth="1"/>
    <col min="11265" max="11265" width="13.36328125" style="2893" customWidth="1"/>
    <col min="11266" max="11267" width="15.90625" style="2893" customWidth="1"/>
    <col min="11268" max="11268" width="7.08984375" style="2893" customWidth="1"/>
    <col min="11269" max="11269" width="9" style="2893" customWidth="1"/>
    <col min="11270" max="11270" width="10.1796875" style="2893" customWidth="1"/>
    <col min="11271" max="11272" width="12.08984375" style="2893" customWidth="1"/>
    <col min="11273" max="11273" width="16.36328125" style="2893" customWidth="1"/>
    <col min="11274" max="11274" width="7.08984375" style="2893" customWidth="1"/>
    <col min="11275" max="11275" width="100.90625" style="2893" customWidth="1"/>
    <col min="11276" max="11276" width="9" style="2893" customWidth="1"/>
    <col min="11277" max="11518" width="8.81640625" style="2893"/>
    <col min="11519" max="11519" width="82.1796875" style="2893" customWidth="1"/>
    <col min="11520" max="11520" width="7.08984375" style="2893" customWidth="1"/>
    <col min="11521" max="11521" width="13.36328125" style="2893" customWidth="1"/>
    <col min="11522" max="11523" width="15.90625" style="2893" customWidth="1"/>
    <col min="11524" max="11524" width="7.08984375" style="2893" customWidth="1"/>
    <col min="11525" max="11525" width="9" style="2893" customWidth="1"/>
    <col min="11526" max="11526" width="10.1796875" style="2893" customWidth="1"/>
    <col min="11527" max="11528" width="12.08984375" style="2893" customWidth="1"/>
    <col min="11529" max="11529" width="16.36328125" style="2893" customWidth="1"/>
    <col min="11530" max="11530" width="7.08984375" style="2893" customWidth="1"/>
    <col min="11531" max="11531" width="100.90625" style="2893" customWidth="1"/>
    <col min="11532" max="11532" width="9" style="2893" customWidth="1"/>
    <col min="11533" max="11774" width="8.81640625" style="2893"/>
    <col min="11775" max="11775" width="82.1796875" style="2893" customWidth="1"/>
    <col min="11776" max="11776" width="7.08984375" style="2893" customWidth="1"/>
    <col min="11777" max="11777" width="13.36328125" style="2893" customWidth="1"/>
    <col min="11778" max="11779" width="15.90625" style="2893" customWidth="1"/>
    <col min="11780" max="11780" width="7.08984375" style="2893" customWidth="1"/>
    <col min="11781" max="11781" width="9" style="2893" customWidth="1"/>
    <col min="11782" max="11782" width="10.1796875" style="2893" customWidth="1"/>
    <col min="11783" max="11784" width="12.08984375" style="2893" customWidth="1"/>
    <col min="11785" max="11785" width="16.36328125" style="2893" customWidth="1"/>
    <col min="11786" max="11786" width="7.08984375" style="2893" customWidth="1"/>
    <col min="11787" max="11787" width="100.90625" style="2893" customWidth="1"/>
    <col min="11788" max="11788" width="9" style="2893" customWidth="1"/>
    <col min="11789" max="12030" width="8.81640625" style="2893"/>
    <col min="12031" max="12031" width="82.1796875" style="2893" customWidth="1"/>
    <col min="12032" max="12032" width="7.08984375" style="2893" customWidth="1"/>
    <col min="12033" max="12033" width="13.36328125" style="2893" customWidth="1"/>
    <col min="12034" max="12035" width="15.90625" style="2893" customWidth="1"/>
    <col min="12036" max="12036" width="7.08984375" style="2893" customWidth="1"/>
    <col min="12037" max="12037" width="9" style="2893" customWidth="1"/>
    <col min="12038" max="12038" width="10.1796875" style="2893" customWidth="1"/>
    <col min="12039" max="12040" width="12.08984375" style="2893" customWidth="1"/>
    <col min="12041" max="12041" width="16.36328125" style="2893" customWidth="1"/>
    <col min="12042" max="12042" width="7.08984375" style="2893" customWidth="1"/>
    <col min="12043" max="12043" width="100.90625" style="2893" customWidth="1"/>
    <col min="12044" max="12044" width="9" style="2893" customWidth="1"/>
    <col min="12045" max="12286" width="8.81640625" style="2893"/>
    <col min="12287" max="12287" width="82.1796875" style="2893" customWidth="1"/>
    <col min="12288" max="12288" width="7.08984375" style="2893" customWidth="1"/>
    <col min="12289" max="12289" width="13.36328125" style="2893" customWidth="1"/>
    <col min="12290" max="12291" width="15.90625" style="2893" customWidth="1"/>
    <col min="12292" max="12292" width="7.08984375" style="2893" customWidth="1"/>
    <col min="12293" max="12293" width="9" style="2893" customWidth="1"/>
    <col min="12294" max="12294" width="10.1796875" style="2893" customWidth="1"/>
    <col min="12295" max="12296" width="12.08984375" style="2893" customWidth="1"/>
    <col min="12297" max="12297" width="16.36328125" style="2893" customWidth="1"/>
    <col min="12298" max="12298" width="7.08984375" style="2893" customWidth="1"/>
    <col min="12299" max="12299" width="100.90625" style="2893" customWidth="1"/>
    <col min="12300" max="12300" width="9" style="2893" customWidth="1"/>
    <col min="12301" max="12542" width="8.81640625" style="2893"/>
    <col min="12543" max="12543" width="82.1796875" style="2893" customWidth="1"/>
    <col min="12544" max="12544" width="7.08984375" style="2893" customWidth="1"/>
    <col min="12545" max="12545" width="13.36328125" style="2893" customWidth="1"/>
    <col min="12546" max="12547" width="15.90625" style="2893" customWidth="1"/>
    <col min="12548" max="12548" width="7.08984375" style="2893" customWidth="1"/>
    <col min="12549" max="12549" width="9" style="2893" customWidth="1"/>
    <col min="12550" max="12550" width="10.1796875" style="2893" customWidth="1"/>
    <col min="12551" max="12552" width="12.08984375" style="2893" customWidth="1"/>
    <col min="12553" max="12553" width="16.36328125" style="2893" customWidth="1"/>
    <col min="12554" max="12554" width="7.08984375" style="2893" customWidth="1"/>
    <col min="12555" max="12555" width="100.90625" style="2893" customWidth="1"/>
    <col min="12556" max="12556" width="9" style="2893" customWidth="1"/>
    <col min="12557" max="12798" width="8.81640625" style="2893"/>
    <col min="12799" max="12799" width="82.1796875" style="2893" customWidth="1"/>
    <col min="12800" max="12800" width="7.08984375" style="2893" customWidth="1"/>
    <col min="12801" max="12801" width="13.36328125" style="2893" customWidth="1"/>
    <col min="12802" max="12803" width="15.90625" style="2893" customWidth="1"/>
    <col min="12804" max="12804" width="7.08984375" style="2893" customWidth="1"/>
    <col min="12805" max="12805" width="9" style="2893" customWidth="1"/>
    <col min="12806" max="12806" width="10.1796875" style="2893" customWidth="1"/>
    <col min="12807" max="12808" width="12.08984375" style="2893" customWidth="1"/>
    <col min="12809" max="12809" width="16.36328125" style="2893" customWidth="1"/>
    <col min="12810" max="12810" width="7.08984375" style="2893" customWidth="1"/>
    <col min="12811" max="12811" width="100.90625" style="2893" customWidth="1"/>
    <col min="12812" max="12812" width="9" style="2893" customWidth="1"/>
    <col min="12813" max="13054" width="8.81640625" style="2893"/>
    <col min="13055" max="13055" width="82.1796875" style="2893" customWidth="1"/>
    <col min="13056" max="13056" width="7.08984375" style="2893" customWidth="1"/>
    <col min="13057" max="13057" width="13.36328125" style="2893" customWidth="1"/>
    <col min="13058" max="13059" width="15.90625" style="2893" customWidth="1"/>
    <col min="13060" max="13060" width="7.08984375" style="2893" customWidth="1"/>
    <col min="13061" max="13061" width="9" style="2893" customWidth="1"/>
    <col min="13062" max="13062" width="10.1796875" style="2893" customWidth="1"/>
    <col min="13063" max="13064" width="12.08984375" style="2893" customWidth="1"/>
    <col min="13065" max="13065" width="16.36328125" style="2893" customWidth="1"/>
    <col min="13066" max="13066" width="7.08984375" style="2893" customWidth="1"/>
    <col min="13067" max="13067" width="100.90625" style="2893" customWidth="1"/>
    <col min="13068" max="13068" width="9" style="2893" customWidth="1"/>
    <col min="13069" max="13310" width="8.81640625" style="2893"/>
    <col min="13311" max="13311" width="82.1796875" style="2893" customWidth="1"/>
    <col min="13312" max="13312" width="7.08984375" style="2893" customWidth="1"/>
    <col min="13313" max="13313" width="13.36328125" style="2893" customWidth="1"/>
    <col min="13314" max="13315" width="15.90625" style="2893" customWidth="1"/>
    <col min="13316" max="13316" width="7.08984375" style="2893" customWidth="1"/>
    <col min="13317" max="13317" width="9" style="2893" customWidth="1"/>
    <col min="13318" max="13318" width="10.1796875" style="2893" customWidth="1"/>
    <col min="13319" max="13320" width="12.08984375" style="2893" customWidth="1"/>
    <col min="13321" max="13321" width="16.36328125" style="2893" customWidth="1"/>
    <col min="13322" max="13322" width="7.08984375" style="2893" customWidth="1"/>
    <col min="13323" max="13323" width="100.90625" style="2893" customWidth="1"/>
    <col min="13324" max="13324" width="9" style="2893" customWidth="1"/>
    <col min="13325" max="13566" width="8.81640625" style="2893"/>
    <col min="13567" max="13567" width="82.1796875" style="2893" customWidth="1"/>
    <col min="13568" max="13568" width="7.08984375" style="2893" customWidth="1"/>
    <col min="13569" max="13569" width="13.36328125" style="2893" customWidth="1"/>
    <col min="13570" max="13571" width="15.90625" style="2893" customWidth="1"/>
    <col min="13572" max="13572" width="7.08984375" style="2893" customWidth="1"/>
    <col min="13573" max="13573" width="9" style="2893" customWidth="1"/>
    <col min="13574" max="13574" width="10.1796875" style="2893" customWidth="1"/>
    <col min="13575" max="13576" width="12.08984375" style="2893" customWidth="1"/>
    <col min="13577" max="13577" width="16.36328125" style="2893" customWidth="1"/>
    <col min="13578" max="13578" width="7.08984375" style="2893" customWidth="1"/>
    <col min="13579" max="13579" width="100.90625" style="2893" customWidth="1"/>
    <col min="13580" max="13580" width="9" style="2893" customWidth="1"/>
    <col min="13581" max="13822" width="8.81640625" style="2893"/>
    <col min="13823" max="13823" width="82.1796875" style="2893" customWidth="1"/>
    <col min="13824" max="13824" width="7.08984375" style="2893" customWidth="1"/>
    <col min="13825" max="13825" width="13.36328125" style="2893" customWidth="1"/>
    <col min="13826" max="13827" width="15.90625" style="2893" customWidth="1"/>
    <col min="13828" max="13828" width="7.08984375" style="2893" customWidth="1"/>
    <col min="13829" max="13829" width="9" style="2893" customWidth="1"/>
    <col min="13830" max="13830" width="10.1796875" style="2893" customWidth="1"/>
    <col min="13831" max="13832" width="12.08984375" style="2893" customWidth="1"/>
    <col min="13833" max="13833" width="16.36328125" style="2893" customWidth="1"/>
    <col min="13834" max="13834" width="7.08984375" style="2893" customWidth="1"/>
    <col min="13835" max="13835" width="100.90625" style="2893" customWidth="1"/>
    <col min="13836" max="13836" width="9" style="2893" customWidth="1"/>
    <col min="13837" max="14078" width="8.81640625" style="2893"/>
    <col min="14079" max="14079" width="82.1796875" style="2893" customWidth="1"/>
    <col min="14080" max="14080" width="7.08984375" style="2893" customWidth="1"/>
    <col min="14081" max="14081" width="13.36328125" style="2893" customWidth="1"/>
    <col min="14082" max="14083" width="15.90625" style="2893" customWidth="1"/>
    <col min="14084" max="14084" width="7.08984375" style="2893" customWidth="1"/>
    <col min="14085" max="14085" width="9" style="2893" customWidth="1"/>
    <col min="14086" max="14086" width="10.1796875" style="2893" customWidth="1"/>
    <col min="14087" max="14088" width="12.08984375" style="2893" customWidth="1"/>
    <col min="14089" max="14089" width="16.36328125" style="2893" customWidth="1"/>
    <col min="14090" max="14090" width="7.08984375" style="2893" customWidth="1"/>
    <col min="14091" max="14091" width="100.90625" style="2893" customWidth="1"/>
    <col min="14092" max="14092" width="9" style="2893" customWidth="1"/>
    <col min="14093" max="14334" width="8.81640625" style="2893"/>
    <col min="14335" max="14335" width="82.1796875" style="2893" customWidth="1"/>
    <col min="14336" max="14336" width="7.08984375" style="2893" customWidth="1"/>
    <col min="14337" max="14337" width="13.36328125" style="2893" customWidth="1"/>
    <col min="14338" max="14339" width="15.90625" style="2893" customWidth="1"/>
    <col min="14340" max="14340" width="7.08984375" style="2893" customWidth="1"/>
    <col min="14341" max="14341" width="9" style="2893" customWidth="1"/>
    <col min="14342" max="14342" width="10.1796875" style="2893" customWidth="1"/>
    <col min="14343" max="14344" width="12.08984375" style="2893" customWidth="1"/>
    <col min="14345" max="14345" width="16.36328125" style="2893" customWidth="1"/>
    <col min="14346" max="14346" width="7.08984375" style="2893" customWidth="1"/>
    <col min="14347" max="14347" width="100.90625" style="2893" customWidth="1"/>
    <col min="14348" max="14348" width="9" style="2893" customWidth="1"/>
    <col min="14349" max="14590" width="8.81640625" style="2893"/>
    <col min="14591" max="14591" width="82.1796875" style="2893" customWidth="1"/>
    <col min="14592" max="14592" width="7.08984375" style="2893" customWidth="1"/>
    <col min="14593" max="14593" width="13.36328125" style="2893" customWidth="1"/>
    <col min="14594" max="14595" width="15.90625" style="2893" customWidth="1"/>
    <col min="14596" max="14596" width="7.08984375" style="2893" customWidth="1"/>
    <col min="14597" max="14597" width="9" style="2893" customWidth="1"/>
    <col min="14598" max="14598" width="10.1796875" style="2893" customWidth="1"/>
    <col min="14599" max="14600" width="12.08984375" style="2893" customWidth="1"/>
    <col min="14601" max="14601" width="16.36328125" style="2893" customWidth="1"/>
    <col min="14602" max="14602" width="7.08984375" style="2893" customWidth="1"/>
    <col min="14603" max="14603" width="100.90625" style="2893" customWidth="1"/>
    <col min="14604" max="14604" width="9" style="2893" customWidth="1"/>
    <col min="14605" max="14846" width="8.81640625" style="2893"/>
    <col min="14847" max="14847" width="82.1796875" style="2893" customWidth="1"/>
    <col min="14848" max="14848" width="7.08984375" style="2893" customWidth="1"/>
    <col min="14849" max="14849" width="13.36328125" style="2893" customWidth="1"/>
    <col min="14850" max="14851" width="15.90625" style="2893" customWidth="1"/>
    <col min="14852" max="14852" width="7.08984375" style="2893" customWidth="1"/>
    <col min="14853" max="14853" width="9" style="2893" customWidth="1"/>
    <col min="14854" max="14854" width="10.1796875" style="2893" customWidth="1"/>
    <col min="14855" max="14856" width="12.08984375" style="2893" customWidth="1"/>
    <col min="14857" max="14857" width="16.36328125" style="2893" customWidth="1"/>
    <col min="14858" max="14858" width="7.08984375" style="2893" customWidth="1"/>
    <col min="14859" max="14859" width="100.90625" style="2893" customWidth="1"/>
    <col min="14860" max="14860" width="9" style="2893" customWidth="1"/>
    <col min="14861" max="15102" width="8.81640625" style="2893"/>
    <col min="15103" max="15103" width="82.1796875" style="2893" customWidth="1"/>
    <col min="15104" max="15104" width="7.08984375" style="2893" customWidth="1"/>
    <col min="15105" max="15105" width="13.36328125" style="2893" customWidth="1"/>
    <col min="15106" max="15107" width="15.90625" style="2893" customWidth="1"/>
    <col min="15108" max="15108" width="7.08984375" style="2893" customWidth="1"/>
    <col min="15109" max="15109" width="9" style="2893" customWidth="1"/>
    <col min="15110" max="15110" width="10.1796875" style="2893" customWidth="1"/>
    <col min="15111" max="15112" width="12.08984375" style="2893" customWidth="1"/>
    <col min="15113" max="15113" width="16.36328125" style="2893" customWidth="1"/>
    <col min="15114" max="15114" width="7.08984375" style="2893" customWidth="1"/>
    <col min="15115" max="15115" width="100.90625" style="2893" customWidth="1"/>
    <col min="15116" max="15116" width="9" style="2893" customWidth="1"/>
    <col min="15117" max="15358" width="8.81640625" style="2893"/>
    <col min="15359" max="15359" width="82.1796875" style="2893" customWidth="1"/>
    <col min="15360" max="15360" width="7.08984375" style="2893" customWidth="1"/>
    <col min="15361" max="15361" width="13.36328125" style="2893" customWidth="1"/>
    <col min="15362" max="15363" width="15.90625" style="2893" customWidth="1"/>
    <col min="15364" max="15364" width="7.08984375" style="2893" customWidth="1"/>
    <col min="15365" max="15365" width="9" style="2893" customWidth="1"/>
    <col min="15366" max="15366" width="10.1796875" style="2893" customWidth="1"/>
    <col min="15367" max="15368" width="12.08984375" style="2893" customWidth="1"/>
    <col min="15369" max="15369" width="16.36328125" style="2893" customWidth="1"/>
    <col min="15370" max="15370" width="7.08984375" style="2893" customWidth="1"/>
    <col min="15371" max="15371" width="100.90625" style="2893" customWidth="1"/>
    <col min="15372" max="15372" width="9" style="2893" customWidth="1"/>
    <col min="15373" max="15614" width="8.81640625" style="2893"/>
    <col min="15615" max="15615" width="82.1796875" style="2893" customWidth="1"/>
    <col min="15616" max="15616" width="7.08984375" style="2893" customWidth="1"/>
    <col min="15617" max="15617" width="13.36328125" style="2893" customWidth="1"/>
    <col min="15618" max="15619" width="15.90625" style="2893" customWidth="1"/>
    <col min="15620" max="15620" width="7.08984375" style="2893" customWidth="1"/>
    <col min="15621" max="15621" width="9" style="2893" customWidth="1"/>
    <col min="15622" max="15622" width="10.1796875" style="2893" customWidth="1"/>
    <col min="15623" max="15624" width="12.08984375" style="2893" customWidth="1"/>
    <col min="15625" max="15625" width="16.36328125" style="2893" customWidth="1"/>
    <col min="15626" max="15626" width="7.08984375" style="2893" customWidth="1"/>
    <col min="15627" max="15627" width="100.90625" style="2893" customWidth="1"/>
    <col min="15628" max="15628" width="9" style="2893" customWidth="1"/>
    <col min="15629" max="15870" width="8.81640625" style="2893"/>
    <col min="15871" max="15871" width="82.1796875" style="2893" customWidth="1"/>
    <col min="15872" max="15872" width="7.08984375" style="2893" customWidth="1"/>
    <col min="15873" max="15873" width="13.36328125" style="2893" customWidth="1"/>
    <col min="15874" max="15875" width="15.90625" style="2893" customWidth="1"/>
    <col min="15876" max="15876" width="7.08984375" style="2893" customWidth="1"/>
    <col min="15877" max="15877" width="9" style="2893" customWidth="1"/>
    <col min="15878" max="15878" width="10.1796875" style="2893" customWidth="1"/>
    <col min="15879" max="15880" width="12.08984375" style="2893" customWidth="1"/>
    <col min="15881" max="15881" width="16.36328125" style="2893" customWidth="1"/>
    <col min="15882" max="15882" width="7.08984375" style="2893" customWidth="1"/>
    <col min="15883" max="15883" width="100.90625" style="2893" customWidth="1"/>
    <col min="15884" max="15884" width="9" style="2893" customWidth="1"/>
    <col min="15885" max="16126" width="8.81640625" style="2893"/>
    <col min="16127" max="16127" width="82.1796875" style="2893" customWidth="1"/>
    <col min="16128" max="16128" width="7.08984375" style="2893" customWidth="1"/>
    <col min="16129" max="16129" width="13.36328125" style="2893" customWidth="1"/>
    <col min="16130" max="16131" width="15.90625" style="2893" customWidth="1"/>
    <col min="16132" max="16132" width="7.08984375" style="2893" customWidth="1"/>
    <col min="16133" max="16133" width="9" style="2893" customWidth="1"/>
    <col min="16134" max="16134" width="10.1796875" style="2893" customWidth="1"/>
    <col min="16135" max="16136" width="12.08984375" style="2893" customWidth="1"/>
    <col min="16137" max="16137" width="16.36328125" style="2893" customWidth="1"/>
    <col min="16138" max="16138" width="7.08984375" style="2893" customWidth="1"/>
    <col min="16139" max="16139" width="100.90625" style="2893" customWidth="1"/>
    <col min="16140" max="16140" width="9" style="2893" customWidth="1"/>
    <col min="16141" max="16384" width="8.81640625" style="2893"/>
  </cols>
  <sheetData>
    <row r="1" spans="1:12">
      <c r="A1" s="2893" t="s">
        <v>3018</v>
      </c>
      <c r="B1" s="2893" t="s">
        <v>3019</v>
      </c>
      <c r="C1" s="2893" t="s">
        <v>3020</v>
      </c>
      <c r="D1" s="2893" t="s">
        <v>3021</v>
      </c>
      <c r="E1" s="2893" t="s">
        <v>2030</v>
      </c>
      <c r="F1" s="2893" t="s">
        <v>3022</v>
      </c>
      <c r="G1" s="2893" t="s">
        <v>3023</v>
      </c>
      <c r="H1" s="2893" t="s">
        <v>3024</v>
      </c>
      <c r="I1" s="2893" t="s">
        <v>3025</v>
      </c>
      <c r="J1" s="2893" t="s">
        <v>3026</v>
      </c>
      <c r="K1" s="2893" t="s">
        <v>3027</v>
      </c>
      <c r="L1" s="2893" t="s">
        <v>3028</v>
      </c>
    </row>
    <row r="2" spans="1:12">
      <c r="A2" s="2893" t="s">
        <v>3029</v>
      </c>
      <c r="B2" s="2893" t="s">
        <v>3030</v>
      </c>
      <c r="C2" s="2893">
        <v>28003.32</v>
      </c>
      <c r="D2" s="2893">
        <v>70008</v>
      </c>
      <c r="E2" s="2893" t="s">
        <v>3031</v>
      </c>
      <c r="F2" s="2893" t="s">
        <v>3032</v>
      </c>
      <c r="G2" s="2893" t="s">
        <v>3033</v>
      </c>
      <c r="H2" s="2893">
        <v>96800</v>
      </c>
      <c r="I2" s="2893">
        <v>97800</v>
      </c>
      <c r="J2" s="2893">
        <v>13969.82</v>
      </c>
      <c r="K2" s="2893">
        <v>1.03</v>
      </c>
      <c r="L2" s="2893" t="s">
        <v>3034</v>
      </c>
    </row>
    <row r="3" spans="1:12">
      <c r="A3" s="2893" t="s">
        <v>3035</v>
      </c>
      <c r="B3" s="2893" t="s">
        <v>3030</v>
      </c>
      <c r="C3" s="2893">
        <v>138746.29999999999</v>
      </c>
      <c r="D3" s="2893">
        <v>486596</v>
      </c>
      <c r="E3" s="2893">
        <v>3.51</v>
      </c>
      <c r="F3" s="2893" t="s">
        <v>3032</v>
      </c>
      <c r="G3" s="2893" t="s">
        <v>3036</v>
      </c>
      <c r="H3" s="2893">
        <v>866300</v>
      </c>
      <c r="I3" s="2893">
        <v>866300</v>
      </c>
      <c r="J3" s="2893">
        <v>17803.27</v>
      </c>
      <c r="K3" s="2893">
        <v>0</v>
      </c>
      <c r="L3" s="2893" t="s">
        <v>3037</v>
      </c>
    </row>
    <row r="4" spans="1:12">
      <c r="A4" s="2893" t="s">
        <v>3038</v>
      </c>
      <c r="B4" s="2893" t="s">
        <v>3030</v>
      </c>
      <c r="C4" s="2893">
        <v>35230.230000000003</v>
      </c>
      <c r="D4" s="2893">
        <v>88076</v>
      </c>
      <c r="E4" s="2893">
        <v>2.5</v>
      </c>
      <c r="F4" s="2893" t="s">
        <v>3032</v>
      </c>
      <c r="G4" s="2893" t="s">
        <v>3039</v>
      </c>
      <c r="H4" s="2893">
        <v>62000</v>
      </c>
      <c r="I4" s="2893">
        <v>62000</v>
      </c>
      <c r="J4" s="2893">
        <v>7039.38</v>
      </c>
      <c r="K4" s="2893">
        <v>0</v>
      </c>
      <c r="L4" s="2893" t="s">
        <v>3040</v>
      </c>
    </row>
    <row r="5" spans="1:12" s="3181" customFormat="1">
      <c r="A5" s="3181" t="s">
        <v>3041</v>
      </c>
      <c r="B5" s="3181" t="s">
        <v>3030</v>
      </c>
      <c r="C5" s="3181">
        <v>39744.120000000003</v>
      </c>
      <c r="D5" s="3181">
        <v>119232</v>
      </c>
      <c r="E5" s="3181">
        <v>3</v>
      </c>
      <c r="F5" s="3181" t="s">
        <v>3032</v>
      </c>
      <c r="G5" s="3181" t="s">
        <v>3042</v>
      </c>
      <c r="H5" s="3181">
        <v>227000</v>
      </c>
      <c r="I5" s="3181">
        <v>292000</v>
      </c>
      <c r="J5" s="3181">
        <v>24490.06</v>
      </c>
      <c r="K5" s="3181">
        <v>28.63</v>
      </c>
      <c r="L5" s="3181" t="s">
        <v>3043</v>
      </c>
    </row>
    <row r="6" spans="1:12">
      <c r="A6" s="2893" t="s">
        <v>3044</v>
      </c>
      <c r="B6" s="2893" t="s">
        <v>3030</v>
      </c>
      <c r="C6" s="2893">
        <v>92055.95</v>
      </c>
      <c r="D6" s="2893">
        <v>92056</v>
      </c>
      <c r="E6" s="2893">
        <v>1</v>
      </c>
      <c r="F6" s="2893" t="s">
        <v>3045</v>
      </c>
      <c r="G6" s="2893" t="s">
        <v>3046</v>
      </c>
      <c r="H6" s="2893" t="s">
        <v>2814</v>
      </c>
      <c r="I6" s="2893">
        <v>285373.59000000003</v>
      </c>
      <c r="J6" s="2893">
        <v>31000</v>
      </c>
      <c r="K6" s="2893" t="s">
        <v>2814</v>
      </c>
      <c r="L6" s="2893" t="s">
        <v>3047</v>
      </c>
    </row>
    <row r="7" spans="1:12" s="3181" customFormat="1">
      <c r="A7" s="3181" t="s">
        <v>3048</v>
      </c>
      <c r="B7" s="3181" t="s">
        <v>3030</v>
      </c>
      <c r="C7" s="3181">
        <v>46165.91</v>
      </c>
      <c r="D7" s="3181">
        <v>92332</v>
      </c>
      <c r="E7" s="3181">
        <v>2</v>
      </c>
      <c r="F7" s="3181" t="s">
        <v>3032</v>
      </c>
      <c r="G7" s="3181" t="s">
        <v>3049</v>
      </c>
      <c r="H7" s="3181">
        <v>176000</v>
      </c>
      <c r="I7" s="3181">
        <v>225000</v>
      </c>
      <c r="J7" s="3181">
        <v>24368.58</v>
      </c>
      <c r="K7" s="3181">
        <v>27.84</v>
      </c>
      <c r="L7" s="3181" t="s">
        <v>3050</v>
      </c>
    </row>
    <row r="8" spans="1:12" s="3181" customFormat="1">
      <c r="A8" s="3181" t="s">
        <v>3051</v>
      </c>
      <c r="B8" s="3181" t="s">
        <v>3030</v>
      </c>
      <c r="C8" s="3181">
        <v>38100</v>
      </c>
      <c r="D8" s="3181">
        <v>76200</v>
      </c>
      <c r="E8" s="3181">
        <v>2</v>
      </c>
      <c r="F8" s="3181" t="s">
        <v>3032</v>
      </c>
      <c r="G8" s="3181" t="s">
        <v>3049</v>
      </c>
      <c r="H8" s="3181">
        <v>145000</v>
      </c>
      <c r="I8" s="3181">
        <v>204000</v>
      </c>
      <c r="J8" s="3181">
        <v>26771.65</v>
      </c>
      <c r="K8" s="3181">
        <v>40.69</v>
      </c>
      <c r="L8" s="3181" t="s">
        <v>3052</v>
      </c>
    </row>
    <row r="9" spans="1:12">
      <c r="A9" s="2893" t="s">
        <v>3053</v>
      </c>
      <c r="B9" s="2893" t="s">
        <v>3030</v>
      </c>
      <c r="C9" s="2893">
        <v>2070793</v>
      </c>
      <c r="D9" s="2893">
        <v>1642730</v>
      </c>
      <c r="E9" s="2893">
        <v>0.79</v>
      </c>
      <c r="F9" s="2893" t="s">
        <v>3032</v>
      </c>
      <c r="G9" s="2893" t="s">
        <v>3054</v>
      </c>
      <c r="H9" s="2893">
        <v>870000</v>
      </c>
      <c r="I9" s="2893">
        <v>870000</v>
      </c>
      <c r="J9" s="2893">
        <v>5296.06</v>
      </c>
      <c r="K9" s="2893">
        <v>0</v>
      </c>
      <c r="L9" s="2893" t="s">
        <v>3055</v>
      </c>
    </row>
    <row r="10" spans="1:12">
      <c r="A10" s="2893" t="s">
        <v>3056</v>
      </c>
      <c r="B10" s="2893" t="s">
        <v>3030</v>
      </c>
      <c r="C10" s="2893">
        <v>18313.7</v>
      </c>
      <c r="D10" s="2893">
        <v>119400</v>
      </c>
      <c r="E10" s="2893">
        <v>6.52</v>
      </c>
      <c r="F10" s="2893" t="s">
        <v>3045</v>
      </c>
      <c r="G10" s="2893" t="s">
        <v>3057</v>
      </c>
      <c r="H10" s="2893" t="s">
        <v>2814</v>
      </c>
      <c r="I10" s="2893">
        <v>415000</v>
      </c>
      <c r="J10" s="2893">
        <v>34757.120000000003</v>
      </c>
      <c r="K10" s="2893" t="s">
        <v>2814</v>
      </c>
      <c r="L10" s="2893" t="s">
        <v>3058</v>
      </c>
    </row>
    <row r="11" spans="1:12">
      <c r="A11" s="2893" t="s">
        <v>3059</v>
      </c>
      <c r="B11" s="2893" t="s">
        <v>3030</v>
      </c>
      <c r="C11" s="2893">
        <v>166012.29999999999</v>
      </c>
      <c r="D11" s="2893">
        <v>332025</v>
      </c>
      <c r="E11" s="2893">
        <v>2</v>
      </c>
      <c r="F11" s="2893" t="s">
        <v>3032</v>
      </c>
      <c r="G11" s="2893" t="s">
        <v>3060</v>
      </c>
      <c r="H11" s="2893">
        <v>240045</v>
      </c>
      <c r="I11" s="2893">
        <v>240045</v>
      </c>
      <c r="J11" s="2893">
        <v>7229.72</v>
      </c>
      <c r="K11" s="2893">
        <v>0</v>
      </c>
      <c r="L11" s="2893" t="s">
        <v>3061</v>
      </c>
    </row>
    <row r="12" spans="1:12">
      <c r="A12" s="2893" t="s">
        <v>3062</v>
      </c>
      <c r="B12" s="2893" t="s">
        <v>3030</v>
      </c>
      <c r="C12" s="2893">
        <v>65873.39</v>
      </c>
      <c r="D12" s="2893">
        <v>164683</v>
      </c>
      <c r="E12" s="2893">
        <v>2.5</v>
      </c>
      <c r="F12" s="2893" t="s">
        <v>3032</v>
      </c>
      <c r="G12" s="2893" t="s">
        <v>3063</v>
      </c>
      <c r="H12" s="2893">
        <v>78000</v>
      </c>
      <c r="I12" s="2893">
        <v>108000</v>
      </c>
      <c r="J12" s="2893">
        <v>6558.05</v>
      </c>
      <c r="K12" s="2893">
        <v>38.46</v>
      </c>
      <c r="L12" s="2893" t="s">
        <v>3064</v>
      </c>
    </row>
    <row r="13" spans="1:12">
      <c r="A13" s="2893" t="s">
        <v>3065</v>
      </c>
      <c r="B13" s="2893" t="s">
        <v>3030</v>
      </c>
      <c r="C13" s="2893">
        <v>9542.5300000000007</v>
      </c>
      <c r="D13" s="2893">
        <v>36580</v>
      </c>
      <c r="E13" s="2893">
        <v>3.83</v>
      </c>
      <c r="F13" s="2893" t="s">
        <v>3032</v>
      </c>
      <c r="G13" s="2893" t="s">
        <v>3066</v>
      </c>
      <c r="H13" s="2893">
        <v>120000</v>
      </c>
      <c r="I13" s="2893">
        <v>169500</v>
      </c>
      <c r="J13" s="2893">
        <v>46336.800000000003</v>
      </c>
      <c r="K13" s="2893">
        <v>41.25</v>
      </c>
      <c r="L13" s="2893" t="s">
        <v>3067</v>
      </c>
    </row>
    <row r="14" spans="1:12">
      <c r="A14" s="2893" t="s">
        <v>3068</v>
      </c>
      <c r="B14" s="2893" t="s">
        <v>3030</v>
      </c>
      <c r="C14" s="2893">
        <v>47100</v>
      </c>
      <c r="D14" s="2893">
        <v>450000</v>
      </c>
      <c r="E14" s="2893">
        <v>9.5500000000000007</v>
      </c>
      <c r="F14" s="2893" t="s">
        <v>3045</v>
      </c>
      <c r="G14" s="2893" t="s">
        <v>3069</v>
      </c>
      <c r="H14" s="2893" t="s">
        <v>2814</v>
      </c>
      <c r="I14" s="2893">
        <v>503990</v>
      </c>
      <c r="J14" s="2893">
        <v>11199.78</v>
      </c>
      <c r="K14" s="2893" t="s">
        <v>2814</v>
      </c>
      <c r="L14" s="2893" t="s">
        <v>3070</v>
      </c>
    </row>
    <row r="15" spans="1:12">
      <c r="A15" s="2893" t="s">
        <v>3071</v>
      </c>
      <c r="B15" s="2893" t="s">
        <v>3030</v>
      </c>
      <c r="C15" s="2893">
        <v>37656</v>
      </c>
      <c r="D15" s="2893">
        <v>131600</v>
      </c>
      <c r="E15" s="2893">
        <v>3.49</v>
      </c>
      <c r="F15" s="2893" t="s">
        <v>3045</v>
      </c>
      <c r="G15" s="2893" t="s">
        <v>3072</v>
      </c>
      <c r="H15" s="2893" t="s">
        <v>2814</v>
      </c>
      <c r="I15" s="2893">
        <v>151603.20000000001</v>
      </c>
      <c r="J15" s="2893">
        <v>11520</v>
      </c>
      <c r="K15" s="2893" t="s">
        <v>2814</v>
      </c>
      <c r="L15" s="2893" t="s">
        <v>3073</v>
      </c>
    </row>
    <row r="16" spans="1:12">
      <c r="A16" s="2893" t="s">
        <v>3074</v>
      </c>
      <c r="B16" s="2893" t="s">
        <v>3030</v>
      </c>
      <c r="C16" s="2893">
        <v>14124.26</v>
      </c>
      <c r="D16" s="2893">
        <v>119961</v>
      </c>
      <c r="E16" s="2893">
        <v>8.49</v>
      </c>
      <c r="F16" s="2893" t="s">
        <v>3045</v>
      </c>
      <c r="G16" s="2893" t="s">
        <v>3072</v>
      </c>
      <c r="H16" s="2893" t="s">
        <v>2814</v>
      </c>
      <c r="I16" s="2893">
        <v>135700</v>
      </c>
      <c r="J16" s="2893">
        <v>11312.01</v>
      </c>
      <c r="K16" s="2893" t="s">
        <v>2814</v>
      </c>
      <c r="L16" s="2893" t="s">
        <v>3075</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
  <cols>
    <col min="1" max="1" width="13.36328125" style="1332" customWidth="1"/>
    <col min="2" max="2" width="15.81640625" style="1332" customWidth="1"/>
    <col min="3" max="3" width="14.36328125" style="1332" customWidth="1"/>
    <col min="4" max="4" width="12.1796875" style="1332" customWidth="1"/>
    <col min="5" max="5" width="14.36328125" style="1332" customWidth="1"/>
    <col min="6" max="6" width="12.1796875" style="1332" customWidth="1"/>
    <col min="7" max="7" width="14.453125" style="1332" customWidth="1"/>
    <col min="8" max="8" width="12.1796875" style="1332" customWidth="1"/>
    <col min="9" max="9" width="14.453125" style="1332" customWidth="1"/>
    <col min="10" max="10" width="12.1796875" style="1332" customWidth="1"/>
    <col min="11" max="11" width="12.1796875" style="1338" customWidth="1"/>
    <col min="12" max="12" width="12.1796875" style="1339" customWidth="1"/>
    <col min="13" max="15" width="12.1796875" style="1332" customWidth="1"/>
    <col min="16" max="16" width="4.81640625" style="1332" customWidth="1"/>
    <col min="17" max="17" width="19.453125" style="1332" customWidth="1"/>
    <col min="18" max="22" width="6.08984375" style="1332" customWidth="1"/>
    <col min="23" max="23" width="5.81640625" style="1332" customWidth="1"/>
    <col min="24" max="24" width="4.1796875" style="1332" customWidth="1"/>
    <col min="25" max="25" width="3.453125" style="1332" customWidth="1"/>
    <col min="26" max="26" width="19.81640625" style="1332" customWidth="1"/>
    <col min="27" max="28" width="9.3632812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c r="A6" s="511" t="s">
        <v>521</v>
      </c>
      <c r="B6" s="512"/>
      <c r="C6" s="3380" t="s">
        <v>522</v>
      </c>
      <c r="D6" s="3381"/>
      <c r="E6" s="3414" t="s">
        <v>523</v>
      </c>
      <c r="F6" s="3415"/>
      <c r="G6" s="3380" t="s">
        <v>524</v>
      </c>
      <c r="H6" s="3381"/>
      <c r="I6" s="3380" t="s">
        <v>525</v>
      </c>
      <c r="J6" s="3381"/>
      <c r="K6" s="513" t="s">
        <v>526</v>
      </c>
      <c r="L6" s="2117"/>
      <c r="M6" s="2118"/>
      <c r="N6" s="2118"/>
      <c r="O6" s="2118"/>
      <c r="P6" s="3382" t="s">
        <v>527</v>
      </c>
      <c r="Q6" s="3383"/>
      <c r="R6" s="3388" t="s">
        <v>523</v>
      </c>
      <c r="S6" s="3389"/>
      <c r="T6" s="3388" t="s">
        <v>524</v>
      </c>
      <c r="U6" s="3389"/>
      <c r="V6" s="3375" t="s">
        <v>525</v>
      </c>
      <c r="W6" s="3375"/>
      <c r="X6" s="1552"/>
      <c r="Y6" s="3388" t="s">
        <v>527</v>
      </c>
      <c r="Z6" s="3389"/>
      <c r="AA6" s="3377" t="s">
        <v>523</v>
      </c>
      <c r="AB6" s="3378" t="s">
        <v>524</v>
      </c>
      <c r="AC6" s="3377" t="s">
        <v>525</v>
      </c>
    </row>
    <row r="7" spans="1:29">
      <c r="A7" s="514"/>
      <c r="B7" s="515"/>
      <c r="C7" s="3396" t="s">
        <v>2927</v>
      </c>
      <c r="D7" s="3397"/>
      <c r="E7" s="3416" t="s">
        <v>2928</v>
      </c>
      <c r="F7" s="3417"/>
      <c r="G7" s="3396" t="s">
        <v>2929</v>
      </c>
      <c r="H7" s="3397"/>
      <c r="I7" s="3396" t="s">
        <v>2930</v>
      </c>
      <c r="J7" s="3397"/>
      <c r="K7" s="513"/>
      <c r="L7" s="2117"/>
      <c r="M7" s="2118"/>
      <c r="N7" s="2118"/>
      <c r="O7" s="2118"/>
      <c r="P7" s="3384"/>
      <c r="Q7" s="3385"/>
      <c r="R7" s="3390"/>
      <c r="S7" s="3391"/>
      <c r="T7" s="3390"/>
      <c r="U7" s="3391"/>
      <c r="V7" s="3375"/>
      <c r="W7" s="3375"/>
      <c r="X7" s="1552"/>
      <c r="Y7" s="3390"/>
      <c r="Z7" s="3391"/>
      <c r="AA7" s="3378"/>
      <c r="AB7" s="3378"/>
      <c r="AC7" s="3378"/>
    </row>
    <row r="8" spans="1:29" ht="15" thickBot="1">
      <c r="A8" s="516"/>
      <c r="B8" s="517"/>
      <c r="C8" s="3394" t="s">
        <v>2931</v>
      </c>
      <c r="D8" s="3395"/>
      <c r="E8" s="3412" t="s">
        <v>2931</v>
      </c>
      <c r="F8" s="3413"/>
      <c r="G8" s="3394" t="s">
        <v>2931</v>
      </c>
      <c r="H8" s="3395"/>
      <c r="I8" s="3394" t="s">
        <v>2931</v>
      </c>
      <c r="J8" s="3395"/>
      <c r="K8" s="513" t="s">
        <v>528</v>
      </c>
      <c r="L8" s="2117"/>
      <c r="M8" s="2118"/>
      <c r="N8" s="2118"/>
      <c r="O8" s="2118"/>
      <c r="P8" s="3386"/>
      <c r="Q8" s="3387"/>
      <c r="R8" s="3390"/>
      <c r="S8" s="3391"/>
      <c r="T8" s="3392"/>
      <c r="U8" s="3393"/>
      <c r="V8" s="3375"/>
      <c r="W8" s="3375"/>
      <c r="X8" s="1552"/>
      <c r="Y8" s="3392"/>
      <c r="Z8" s="3393"/>
      <c r="AA8" s="3379"/>
      <c r="AB8" s="3379"/>
      <c r="AC8" s="3379"/>
    </row>
    <row r="9" spans="1:29" s="1215" customFormat="1" ht="14.5" thickBot="1">
      <c r="A9" s="2866"/>
      <c r="B9" s="2873" t="s">
        <v>529</v>
      </c>
      <c r="C9" s="518">
        <f>'数据-取费表'!B2</f>
        <v>43873</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05" t="s">
        <v>530</v>
      </c>
      <c r="Q9" s="3407"/>
      <c r="R9" s="1553" t="s">
        <v>8</v>
      </c>
      <c r="S9" s="1554">
        <f t="shared" ref="S9:S17" si="0">F9</f>
        <v>0</v>
      </c>
      <c r="T9" s="1553" t="s">
        <v>8</v>
      </c>
      <c r="U9" s="1554">
        <f t="shared" ref="U9:U17" si="1">H9</f>
        <v>0</v>
      </c>
      <c r="V9" s="1553" t="s">
        <v>8</v>
      </c>
      <c r="W9" s="1554">
        <f t="shared" ref="W9:W17" si="2">J9</f>
        <v>0</v>
      </c>
      <c r="X9" s="1555"/>
      <c r="Y9" s="3405" t="s">
        <v>530</v>
      </c>
      <c r="Z9" s="3406"/>
      <c r="AA9" s="1556" t="e">
        <f>D9/F9</f>
        <v>#DIV/0!</v>
      </c>
      <c r="AB9" s="1556" t="e">
        <f>D9/H9</f>
        <v>#DIV/0!</v>
      </c>
      <c r="AC9" s="1556" t="e">
        <f>D9/J9</f>
        <v>#DIV/0!</v>
      </c>
    </row>
    <row r="10" spans="1:29" s="1215" customFormat="1" ht="14.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05" t="s">
        <v>533</v>
      </c>
      <c r="Q10" s="3406"/>
      <c r="R10" s="1553" t="s">
        <v>8</v>
      </c>
      <c r="S10" s="1554">
        <f t="shared" si="0"/>
        <v>0</v>
      </c>
      <c r="T10" s="1553" t="s">
        <v>8</v>
      </c>
      <c r="U10" s="1554">
        <f t="shared" si="1"/>
        <v>0</v>
      </c>
      <c r="V10" s="1553" t="s">
        <v>8</v>
      </c>
      <c r="W10" s="1554">
        <f t="shared" si="2"/>
        <v>0</v>
      </c>
      <c r="X10" s="1555"/>
      <c r="Y10" s="3405" t="s">
        <v>533</v>
      </c>
      <c r="Z10" s="3406"/>
      <c r="AA10" s="1556" t="e">
        <f t="shared" ref="AA10:AA42" si="3">D10/F10</f>
        <v>#DIV/0!</v>
      </c>
      <c r="AB10" s="1556" t="e">
        <f t="shared" ref="AB10:AB42" si="4">D10/H10</f>
        <v>#DIV/0!</v>
      </c>
      <c r="AC10" s="1556" t="e">
        <f t="shared" ref="AC10:AC42" si="5">D10/J10</f>
        <v>#DIV/0!</v>
      </c>
    </row>
    <row r="11" spans="1:29" s="1215" customFormat="1">
      <c r="A11" s="2868"/>
      <c r="B11" s="2875" t="s">
        <v>2753</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74" t="s">
        <v>535</v>
      </c>
      <c r="Q11" s="1146" t="str">
        <f t="shared" ref="Q11:Q17" si="6">B11</f>
        <v>用途</v>
      </c>
      <c r="R11" s="1553" t="s">
        <v>8</v>
      </c>
      <c r="S11" s="1554">
        <f t="shared" si="0"/>
        <v>100</v>
      </c>
      <c r="T11" s="1553" t="s">
        <v>8</v>
      </c>
      <c r="U11" s="1554">
        <f t="shared" si="1"/>
        <v>100</v>
      </c>
      <c r="V11" s="1553" t="s">
        <v>8</v>
      </c>
      <c r="W11" s="1554">
        <f t="shared" si="2"/>
        <v>100</v>
      </c>
      <c r="X11" s="1555"/>
      <c r="Y11" s="3320" t="s">
        <v>536</v>
      </c>
      <c r="Z11" s="1145" t="str">
        <f t="shared" ref="Z11:Z17" si="7">Q11</f>
        <v>用途</v>
      </c>
      <c r="AA11" s="1556">
        <f t="shared" si="3"/>
        <v>1</v>
      </c>
      <c r="AB11" s="1556">
        <f t="shared" si="4"/>
        <v>1</v>
      </c>
      <c r="AC11" s="1556">
        <f t="shared" si="5"/>
        <v>1</v>
      </c>
    </row>
    <row r="12" spans="1:29" s="1333" customFormat="1" ht="28">
      <c r="A12" s="2869"/>
      <c r="B12" s="2874" t="s">
        <v>2754</v>
      </c>
      <c r="C12" s="527"/>
      <c r="D12" s="254">
        <v>100</v>
      </c>
      <c r="E12" s="527"/>
      <c r="F12" s="254">
        <f>ROUND(100/'数据-取费表'!G16,0)</f>
        <v>106</v>
      </c>
      <c r="G12" s="527"/>
      <c r="H12" s="254">
        <f>ROUND(100/'数据-取费表'!G16,0)</f>
        <v>106</v>
      </c>
      <c r="I12" s="527"/>
      <c r="J12" s="254">
        <f>ROUND(100/'数据-取费表'!G16,0)</f>
        <v>106</v>
      </c>
      <c r="K12" s="530"/>
      <c r="L12" s="2122"/>
      <c r="M12" s="2162"/>
      <c r="N12" s="2162"/>
      <c r="O12" s="2123"/>
      <c r="P12" s="3374"/>
      <c r="Q12" s="1146" t="str">
        <f t="shared" si="6"/>
        <v>土地使用年限（年）</v>
      </c>
      <c r="R12" s="1553" t="s">
        <v>8</v>
      </c>
      <c r="S12" s="1554">
        <f t="shared" si="0"/>
        <v>106</v>
      </c>
      <c r="T12" s="1553" t="s">
        <v>8</v>
      </c>
      <c r="U12" s="1554">
        <f t="shared" si="1"/>
        <v>106</v>
      </c>
      <c r="V12" s="1553" t="s">
        <v>8</v>
      </c>
      <c r="W12" s="1554">
        <f t="shared" si="2"/>
        <v>106</v>
      </c>
      <c r="X12" s="1555"/>
      <c r="Y12" s="3320"/>
      <c r="Z12" s="1145" t="str">
        <f t="shared" si="7"/>
        <v>土地使用年限（年）</v>
      </c>
      <c r="AA12" s="1556">
        <f t="shared" si="3"/>
        <v>0.94339622641509435</v>
      </c>
      <c r="AB12" s="1556">
        <f t="shared" si="4"/>
        <v>0.94339622641509435</v>
      </c>
      <c r="AC12" s="1556">
        <f t="shared" si="5"/>
        <v>0.94339622641509435</v>
      </c>
    </row>
    <row r="13" spans="1:29" ht="15.5">
      <c r="A13" s="2870"/>
      <c r="B13" s="2874"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74"/>
      <c r="Q13" s="1146" t="str">
        <f t="shared" si="6"/>
        <v>容积率</v>
      </c>
      <c r="R13" s="1553" t="s">
        <v>8</v>
      </c>
      <c r="S13" s="1554" t="e">
        <f t="shared" si="0"/>
        <v>#N/A</v>
      </c>
      <c r="T13" s="1553" t="s">
        <v>8</v>
      </c>
      <c r="U13" s="1554" t="e">
        <f t="shared" si="1"/>
        <v>#N/A</v>
      </c>
      <c r="V13" s="1553" t="s">
        <v>8</v>
      </c>
      <c r="W13" s="1554" t="e">
        <f t="shared" si="2"/>
        <v>#N/A</v>
      </c>
      <c r="X13" s="1555"/>
      <c r="Y13" s="3320"/>
      <c r="Z13" s="1145" t="str">
        <f t="shared" si="7"/>
        <v>容积率</v>
      </c>
      <c r="AA13" s="1556" t="e">
        <f t="shared" si="3"/>
        <v>#N/A</v>
      </c>
      <c r="AB13" s="1556" t="e">
        <f t="shared" si="4"/>
        <v>#N/A</v>
      </c>
      <c r="AC13" s="1556" t="e">
        <f t="shared" si="5"/>
        <v>#N/A</v>
      </c>
    </row>
    <row r="14" spans="1:29" s="1215" customFormat="1" ht="15.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74"/>
      <c r="Q14" s="1146">
        <f t="shared" si="6"/>
        <v>111</v>
      </c>
      <c r="R14" s="1553" t="s">
        <v>8</v>
      </c>
      <c r="S14" s="1554">
        <f t="shared" si="0"/>
        <v>100</v>
      </c>
      <c r="T14" s="1553" t="s">
        <v>8</v>
      </c>
      <c r="U14" s="1554">
        <f t="shared" si="1"/>
        <v>100</v>
      </c>
      <c r="V14" s="1553" t="s">
        <v>8</v>
      </c>
      <c r="W14" s="1554">
        <f t="shared" si="2"/>
        <v>100</v>
      </c>
      <c r="X14" s="1555"/>
      <c r="Y14" s="3320"/>
      <c r="Z14" s="1145">
        <f t="shared" si="7"/>
        <v>111</v>
      </c>
      <c r="AA14" s="1556">
        <f>D14/F14</f>
        <v>1</v>
      </c>
      <c r="AB14" s="1556">
        <f>D14/H14</f>
        <v>1</v>
      </c>
      <c r="AC14" s="1556">
        <f>D14/J14</f>
        <v>1</v>
      </c>
    </row>
    <row r="15" spans="1:29" ht="15.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74"/>
      <c r="Q15" s="1146">
        <f t="shared" si="6"/>
        <v>111</v>
      </c>
      <c r="R15" s="1553" t="s">
        <v>8</v>
      </c>
      <c r="S15" s="1554">
        <f t="shared" si="0"/>
        <v>100</v>
      </c>
      <c r="T15" s="1553" t="s">
        <v>8</v>
      </c>
      <c r="U15" s="1554">
        <f t="shared" si="1"/>
        <v>100</v>
      </c>
      <c r="V15" s="1553" t="s">
        <v>8</v>
      </c>
      <c r="W15" s="1554">
        <f t="shared" si="2"/>
        <v>100</v>
      </c>
      <c r="X15" s="1555"/>
      <c r="Y15" s="3320"/>
      <c r="Z15" s="1145">
        <f t="shared" si="7"/>
        <v>111</v>
      </c>
      <c r="AA15" s="1556">
        <f t="shared" si="3"/>
        <v>1</v>
      </c>
      <c r="AB15" s="1556">
        <f t="shared" si="4"/>
        <v>1</v>
      </c>
      <c r="AC15" s="1556">
        <f t="shared" si="5"/>
        <v>1</v>
      </c>
    </row>
    <row r="16" spans="1:29" ht="16"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74"/>
      <c r="Q16" s="1146">
        <f t="shared" si="6"/>
        <v>111</v>
      </c>
      <c r="R16" s="1553" t="s">
        <v>8</v>
      </c>
      <c r="S16" s="1554">
        <f t="shared" si="0"/>
        <v>100</v>
      </c>
      <c r="T16" s="1553" t="s">
        <v>8</v>
      </c>
      <c r="U16" s="1554">
        <f t="shared" si="1"/>
        <v>100</v>
      </c>
      <c r="V16" s="1553" t="s">
        <v>8</v>
      </c>
      <c r="W16" s="1554">
        <f t="shared" si="2"/>
        <v>100</v>
      </c>
      <c r="X16" s="1555"/>
      <c r="Y16" s="3320"/>
      <c r="Z16" s="1145">
        <f t="shared" si="7"/>
        <v>111</v>
      </c>
      <c r="AA16" s="1556">
        <f t="shared" si="3"/>
        <v>1</v>
      </c>
      <c r="AB16" s="1556">
        <f t="shared" si="4"/>
        <v>1</v>
      </c>
      <c r="AC16" s="1556">
        <f t="shared" si="5"/>
        <v>1</v>
      </c>
    </row>
    <row r="17" spans="1:29" ht="70">
      <c r="A17" s="2864" t="s">
        <v>2751</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08" t="s">
        <v>540</v>
      </c>
      <c r="Q17" s="1557" t="str">
        <f t="shared" si="6"/>
        <v>产业集聚程度</v>
      </c>
      <c r="R17" s="1558" t="s">
        <v>8</v>
      </c>
      <c r="S17" s="1559">
        <f t="shared" si="0"/>
        <v>100</v>
      </c>
      <c r="T17" s="1558" t="s">
        <v>8</v>
      </c>
      <c r="U17" s="1559">
        <f t="shared" si="1"/>
        <v>100</v>
      </c>
      <c r="V17" s="1558" t="s">
        <v>8</v>
      </c>
      <c r="W17" s="1559">
        <f t="shared" si="2"/>
        <v>100</v>
      </c>
      <c r="X17" s="1552"/>
      <c r="Y17" s="3408" t="s">
        <v>540</v>
      </c>
      <c r="Z17" s="1560" t="str">
        <f t="shared" si="7"/>
        <v>产业集聚程度</v>
      </c>
      <c r="AA17" s="1561">
        <f t="shared" si="3"/>
        <v>1</v>
      </c>
      <c r="AB17" s="1561">
        <f t="shared" si="4"/>
        <v>1</v>
      </c>
      <c r="AC17" s="1561">
        <f t="shared" si="5"/>
        <v>1</v>
      </c>
    </row>
    <row r="18" spans="1:29" ht="15.5">
      <c r="A18" s="531"/>
      <c r="B18" s="868"/>
      <c r="C18" s="575"/>
      <c r="D18" s="554"/>
      <c r="E18" s="553"/>
      <c r="F18" s="554"/>
      <c r="G18" s="553"/>
      <c r="H18" s="558"/>
      <c r="I18" s="553"/>
      <c r="J18" s="554"/>
      <c r="K18" s="530"/>
      <c r="L18" s="2126"/>
      <c r="M18" s="2118"/>
      <c r="N18" s="2118"/>
      <c r="O18" s="2125"/>
      <c r="P18" s="3409"/>
      <c r="Q18" s="1557"/>
      <c r="R18" s="1558"/>
      <c r="S18" s="1559"/>
      <c r="T18" s="1558"/>
      <c r="U18" s="1559"/>
      <c r="V18" s="1558"/>
      <c r="W18" s="1559"/>
      <c r="X18" s="1552"/>
      <c r="Y18" s="3409"/>
      <c r="Z18" s="1560"/>
      <c r="AA18" s="1561">
        <v>1</v>
      </c>
      <c r="AB18" s="1561">
        <v>1</v>
      </c>
      <c r="AC18" s="1561">
        <v>1</v>
      </c>
    </row>
    <row r="19" spans="1:29" ht="98">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09"/>
      <c r="Q19" s="1557" t="str">
        <f>B19</f>
        <v>交通便捷度</v>
      </c>
      <c r="R19" s="1558" t="s">
        <v>8</v>
      </c>
      <c r="S19" s="1559">
        <f>F19</f>
        <v>100</v>
      </c>
      <c r="T19" s="1558" t="s">
        <v>8</v>
      </c>
      <c r="U19" s="1559">
        <f>H19</f>
        <v>100</v>
      </c>
      <c r="V19" s="1558" t="s">
        <v>8</v>
      </c>
      <c r="W19" s="1559">
        <f>J19</f>
        <v>100</v>
      </c>
      <c r="X19" s="1552"/>
      <c r="Y19" s="3409"/>
      <c r="Z19" s="1560" t="str">
        <f>Q19</f>
        <v>交通便捷度</v>
      </c>
      <c r="AA19" s="1561">
        <f t="shared" si="3"/>
        <v>1</v>
      </c>
      <c r="AB19" s="1561">
        <f t="shared" si="4"/>
        <v>1</v>
      </c>
      <c r="AC19" s="1561">
        <f t="shared" si="5"/>
        <v>1</v>
      </c>
    </row>
    <row r="20" spans="1:29" ht="15.5">
      <c r="A20" s="531"/>
      <c r="B20" s="921"/>
      <c r="C20" s="575"/>
      <c r="D20" s="554"/>
      <c r="E20" s="555"/>
      <c r="F20" s="554"/>
      <c r="G20" s="555"/>
      <c r="H20" s="554"/>
      <c r="I20" s="557"/>
      <c r="J20" s="554"/>
      <c r="K20" s="530"/>
      <c r="L20" s="2126"/>
      <c r="M20" s="2118"/>
      <c r="N20" s="2118"/>
      <c r="O20" s="2125"/>
      <c r="P20" s="3409"/>
      <c r="Q20" s="1557"/>
      <c r="R20" s="1558"/>
      <c r="S20" s="1559"/>
      <c r="T20" s="1558"/>
      <c r="U20" s="1559"/>
      <c r="V20" s="1558"/>
      <c r="W20" s="1559"/>
      <c r="X20" s="1552"/>
      <c r="Y20" s="3409"/>
      <c r="Z20" s="1560"/>
      <c r="AA20" s="1561">
        <v>1</v>
      </c>
      <c r="AB20" s="1561">
        <v>1</v>
      </c>
      <c r="AC20" s="1561">
        <v>1</v>
      </c>
    </row>
    <row r="21" spans="1:29" ht="2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09"/>
      <c r="Q21" s="1557" t="str">
        <f t="shared" ref="Q21:Q35" si="8">B21</f>
        <v>区域土地利用方向</v>
      </c>
      <c r="R21" s="1558" t="s">
        <v>8</v>
      </c>
      <c r="S21" s="1559">
        <f>F21</f>
        <v>100</v>
      </c>
      <c r="T21" s="1558" t="s">
        <v>8</v>
      </c>
      <c r="U21" s="1559">
        <f>H21</f>
        <v>100</v>
      </c>
      <c r="V21" s="1558" t="s">
        <v>8</v>
      </c>
      <c r="W21" s="1559">
        <f>J21</f>
        <v>100</v>
      </c>
      <c r="X21" s="1552"/>
      <c r="Y21" s="3409"/>
      <c r="Z21" s="1560" t="str">
        <f>Q21</f>
        <v>区域土地利用方向</v>
      </c>
      <c r="AA21" s="1561">
        <f t="shared" si="3"/>
        <v>1</v>
      </c>
      <c r="AB21" s="1561">
        <f t="shared" si="4"/>
        <v>1</v>
      </c>
      <c r="AC21" s="1561">
        <f t="shared" si="5"/>
        <v>1</v>
      </c>
    </row>
    <row r="22" spans="1:29" ht="15.5">
      <c r="A22" s="514"/>
      <c r="B22" s="594"/>
      <c r="C22" s="575"/>
      <c r="D22" s="554"/>
      <c r="E22" s="555"/>
      <c r="F22" s="556"/>
      <c r="G22" s="557"/>
      <c r="H22" s="556"/>
      <c r="I22" s="557"/>
      <c r="J22" s="556"/>
      <c r="K22" s="1343"/>
      <c r="L22" s="2126"/>
      <c r="M22" s="2118"/>
      <c r="N22" s="2118"/>
      <c r="O22" s="2125"/>
      <c r="P22" s="3409"/>
      <c r="Q22" s="1557"/>
      <c r="R22" s="1558"/>
      <c r="S22" s="1559"/>
      <c r="T22" s="1558"/>
      <c r="U22" s="1559"/>
      <c r="V22" s="1558"/>
      <c r="W22" s="1559"/>
      <c r="X22" s="1552"/>
      <c r="Y22" s="3409"/>
      <c r="Z22" s="1560"/>
      <c r="AA22" s="1561"/>
      <c r="AB22" s="1561"/>
      <c r="AC22" s="1561"/>
    </row>
    <row r="23" spans="1:29" ht="84">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09"/>
      <c r="Q23" s="1557" t="str">
        <f t="shared" si="8"/>
        <v>环境状况</v>
      </c>
      <c r="R23" s="1558" t="s">
        <v>8</v>
      </c>
      <c r="S23" s="1559">
        <f>F23</f>
        <v>100</v>
      </c>
      <c r="T23" s="1558" t="s">
        <v>8</v>
      </c>
      <c r="U23" s="1559">
        <f>H23</f>
        <v>100</v>
      </c>
      <c r="V23" s="1558" t="s">
        <v>8</v>
      </c>
      <c r="W23" s="1559">
        <f>J23</f>
        <v>100</v>
      </c>
      <c r="X23" s="1552"/>
      <c r="Y23" s="3409"/>
      <c r="Z23" s="1560" t="str">
        <f>Q23</f>
        <v>环境状况</v>
      </c>
      <c r="AA23" s="1561">
        <f t="shared" si="3"/>
        <v>1</v>
      </c>
      <c r="AB23" s="1561">
        <f t="shared" si="4"/>
        <v>1</v>
      </c>
      <c r="AC23" s="1561">
        <f t="shared" si="5"/>
        <v>1</v>
      </c>
    </row>
    <row r="24" spans="1:29" ht="15.5">
      <c r="A24" s="514"/>
      <c r="B24" s="594"/>
      <c r="C24" s="575"/>
      <c r="D24" s="554"/>
      <c r="E24" s="553"/>
      <c r="F24" s="554"/>
      <c r="G24" s="553"/>
      <c r="H24" s="554"/>
      <c r="I24" s="575"/>
      <c r="J24" s="554"/>
      <c r="K24" s="530"/>
      <c r="L24" s="2126"/>
      <c r="M24" s="2118"/>
      <c r="N24" s="2118"/>
      <c r="O24" s="2125"/>
      <c r="P24" s="3409"/>
      <c r="Q24" s="1557"/>
      <c r="R24" s="1558"/>
      <c r="S24" s="1559"/>
      <c r="T24" s="1558"/>
      <c r="U24" s="1559"/>
      <c r="V24" s="1558"/>
      <c r="W24" s="1559"/>
      <c r="X24" s="1552"/>
      <c r="Y24" s="3409"/>
      <c r="Z24" s="1560"/>
      <c r="AA24" s="1561">
        <v>1</v>
      </c>
      <c r="AB24" s="1561">
        <v>1</v>
      </c>
      <c r="AC24" s="1561">
        <v>1</v>
      </c>
    </row>
    <row r="25" spans="1:29" s="1215" customFormat="1" ht="42">
      <c r="A25" s="576"/>
      <c r="B25" s="2556"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09"/>
      <c r="Q25" s="1146" t="str">
        <f t="shared" si="8"/>
        <v>公共配套设施</v>
      </c>
      <c r="R25" s="1553" t="s">
        <v>8</v>
      </c>
      <c r="S25" s="1554">
        <f>F25</f>
        <v>100</v>
      </c>
      <c r="T25" s="1553" t="s">
        <v>8</v>
      </c>
      <c r="U25" s="1554">
        <f>H25</f>
        <v>100</v>
      </c>
      <c r="V25" s="1553" t="s">
        <v>8</v>
      </c>
      <c r="W25" s="1554">
        <f>J25</f>
        <v>100</v>
      </c>
      <c r="X25" s="1555"/>
      <c r="Y25" s="3409"/>
      <c r="Z25" s="1145" t="str">
        <f>Q25</f>
        <v>公共配套设施</v>
      </c>
      <c r="AA25" s="1561">
        <f>D25/F25</f>
        <v>1</v>
      </c>
      <c r="AB25" s="1561">
        <f>D25/H25</f>
        <v>1</v>
      </c>
      <c r="AC25" s="1561">
        <f>D25/J25</f>
        <v>1</v>
      </c>
    </row>
    <row r="26" spans="1:29" s="1215" customFormat="1" ht="15.5">
      <c r="A26" s="576"/>
      <c r="B26" s="594"/>
      <c r="C26" s="2555"/>
      <c r="D26" s="554"/>
      <c r="E26" s="553"/>
      <c r="F26" s="554"/>
      <c r="G26" s="553"/>
      <c r="H26" s="554"/>
      <c r="I26" s="575"/>
      <c r="J26" s="554"/>
      <c r="K26" s="530"/>
      <c r="L26" s="2119"/>
      <c r="M26" s="2120"/>
      <c r="N26" s="2120"/>
      <c r="O26" s="2121"/>
      <c r="P26" s="3409"/>
      <c r="Q26" s="1146"/>
      <c r="R26" s="1553"/>
      <c r="S26" s="1554"/>
      <c r="T26" s="1553"/>
      <c r="U26" s="1554"/>
      <c r="V26" s="1553"/>
      <c r="W26" s="1554"/>
      <c r="X26" s="1555"/>
      <c r="Y26" s="3409"/>
      <c r="Z26" s="1145"/>
      <c r="AA26" s="1556">
        <v>1</v>
      </c>
      <c r="AB26" s="1556">
        <v>1</v>
      </c>
      <c r="AC26" s="1556">
        <v>1</v>
      </c>
    </row>
    <row r="27" spans="1:29" s="1215" customFormat="1" ht="42">
      <c r="A27" s="576"/>
      <c r="B27" s="2556"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09"/>
      <c r="Q27" s="2541" t="str">
        <f t="shared" ref="Q27" si="9">B27</f>
        <v>基础设施水平</v>
      </c>
      <c r="R27" s="1553" t="s">
        <v>8</v>
      </c>
      <c r="S27" s="1554">
        <f>F27</f>
        <v>100</v>
      </c>
      <c r="T27" s="1553" t="s">
        <v>8</v>
      </c>
      <c r="U27" s="1554">
        <f>H27</f>
        <v>100</v>
      </c>
      <c r="V27" s="1553" t="s">
        <v>8</v>
      </c>
      <c r="W27" s="1554">
        <f>J27</f>
        <v>100</v>
      </c>
      <c r="X27" s="1555"/>
      <c r="Y27" s="3409"/>
      <c r="Z27" s="2538" t="str">
        <f>Q27</f>
        <v>基础设施水平</v>
      </c>
      <c r="AA27" s="1561">
        <f>D27/F27</f>
        <v>1</v>
      </c>
      <c r="AB27" s="1561">
        <f>D27/H27</f>
        <v>1</v>
      </c>
      <c r="AC27" s="1561">
        <f>D27/J27</f>
        <v>1</v>
      </c>
    </row>
    <row r="28" spans="1:29" s="1215" customFormat="1" ht="15.5">
      <c r="A28" s="576"/>
      <c r="B28" s="594"/>
      <c r="C28" s="2555"/>
      <c r="D28" s="554"/>
      <c r="E28" s="578"/>
      <c r="F28" s="554"/>
      <c r="G28" s="578"/>
      <c r="H28" s="554"/>
      <c r="I28" s="578"/>
      <c r="J28" s="554"/>
      <c r="K28" s="530"/>
      <c r="L28" s="2119"/>
      <c r="M28" s="2120"/>
      <c r="N28" s="2120"/>
      <c r="O28" s="2121"/>
      <c r="P28" s="3409"/>
      <c r="Q28" s="2541"/>
      <c r="R28" s="1553"/>
      <c r="S28" s="1554"/>
      <c r="T28" s="1553"/>
      <c r="U28" s="1554"/>
      <c r="V28" s="1553"/>
      <c r="W28" s="1554"/>
      <c r="X28" s="1555"/>
      <c r="Y28" s="3409"/>
      <c r="Z28" s="2538"/>
      <c r="AA28" s="1556">
        <v>1</v>
      </c>
      <c r="AB28" s="1556">
        <v>1</v>
      </c>
      <c r="AC28" s="1556">
        <v>1</v>
      </c>
    </row>
    <row r="29" spans="1:29" ht="15.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0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9"/>
      <c r="Z29" s="1560" t="str">
        <f t="shared" ref="Z29:Z42" si="13">Q29</f>
        <v>临街状况</v>
      </c>
      <c r="AA29" s="1561">
        <f t="shared" si="3"/>
        <v>1</v>
      </c>
      <c r="AB29" s="1561">
        <f t="shared" si="4"/>
        <v>1</v>
      </c>
      <c r="AC29" s="1561">
        <f t="shared" si="5"/>
        <v>1</v>
      </c>
    </row>
    <row r="30" spans="1:29" ht="28">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09"/>
      <c r="Q30" s="1557" t="str">
        <f t="shared" si="8"/>
        <v>毗邻道路的类型与等级</v>
      </c>
      <c r="R30" s="1558" t="s">
        <v>8</v>
      </c>
      <c r="S30" s="1559">
        <f t="shared" si="10"/>
        <v>100</v>
      </c>
      <c r="T30" s="1558" t="s">
        <v>8</v>
      </c>
      <c r="U30" s="1559">
        <f t="shared" si="11"/>
        <v>100</v>
      </c>
      <c r="V30" s="1558" t="s">
        <v>8</v>
      </c>
      <c r="W30" s="1559">
        <f t="shared" si="12"/>
        <v>100</v>
      </c>
      <c r="X30" s="1552"/>
      <c r="Y30" s="3409"/>
      <c r="Z30" s="1560" t="str">
        <f t="shared" si="13"/>
        <v>毗邻道路的类型与等级</v>
      </c>
      <c r="AA30" s="1561">
        <f t="shared" si="3"/>
        <v>1</v>
      </c>
      <c r="AB30" s="1561">
        <f t="shared" si="4"/>
        <v>1</v>
      </c>
      <c r="AC30" s="1561">
        <f t="shared" si="5"/>
        <v>1</v>
      </c>
    </row>
    <row r="31" spans="1:29" ht="15.5">
      <c r="A31" s="531"/>
      <c r="B31" s="594"/>
      <c r="C31" s="575"/>
      <c r="D31" s="554"/>
      <c r="E31" s="575"/>
      <c r="F31" s="554"/>
      <c r="G31" s="575"/>
      <c r="H31" s="554"/>
      <c r="I31" s="575"/>
      <c r="J31" s="554"/>
      <c r="K31" s="580"/>
      <c r="L31" s="2126"/>
      <c r="M31" s="2118"/>
      <c r="N31" s="2118"/>
      <c r="O31" s="2125"/>
      <c r="P31" s="3409"/>
      <c r="Q31" s="1557"/>
      <c r="R31" s="1558"/>
      <c r="S31" s="1559"/>
      <c r="T31" s="1558"/>
      <c r="U31" s="1559"/>
      <c r="V31" s="1558"/>
      <c r="W31" s="1559"/>
      <c r="X31" s="1552"/>
      <c r="Y31" s="3409"/>
      <c r="Z31" s="1560"/>
      <c r="AA31" s="1561">
        <v>1</v>
      </c>
      <c r="AB31" s="1561">
        <v>1</v>
      </c>
      <c r="AC31" s="1561">
        <v>1</v>
      </c>
    </row>
    <row r="32" spans="1:29" ht="15.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09"/>
      <c r="Q32" s="1557" t="str">
        <f t="shared" si="8"/>
        <v>土地级别</v>
      </c>
      <c r="R32" s="1558" t="s">
        <v>8</v>
      </c>
      <c r="S32" s="1559">
        <f t="shared" si="10"/>
        <v>100</v>
      </c>
      <c r="T32" s="1558" t="s">
        <v>8</v>
      </c>
      <c r="U32" s="1559">
        <f t="shared" si="11"/>
        <v>100</v>
      </c>
      <c r="V32" s="1558" t="s">
        <v>8</v>
      </c>
      <c r="W32" s="1559">
        <f t="shared" si="12"/>
        <v>100</v>
      </c>
      <c r="X32" s="1552"/>
      <c r="Y32" s="3409"/>
      <c r="Z32" s="1560" t="str">
        <f t="shared" si="13"/>
        <v>土地级别</v>
      </c>
      <c r="AA32" s="1561">
        <f t="shared" si="3"/>
        <v>1</v>
      </c>
      <c r="AB32" s="1561">
        <f t="shared" si="4"/>
        <v>1</v>
      </c>
      <c r="AC32" s="1561">
        <f t="shared" si="5"/>
        <v>1</v>
      </c>
    </row>
    <row r="33" spans="1:29" ht="15.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09"/>
      <c r="Q33" s="1557">
        <f t="shared" si="8"/>
        <v>111</v>
      </c>
      <c r="R33" s="1558" t="s">
        <v>8</v>
      </c>
      <c r="S33" s="1559">
        <f t="shared" si="10"/>
        <v>100</v>
      </c>
      <c r="T33" s="1558" t="s">
        <v>8</v>
      </c>
      <c r="U33" s="1559">
        <f t="shared" si="11"/>
        <v>100</v>
      </c>
      <c r="V33" s="1558" t="s">
        <v>8</v>
      </c>
      <c r="W33" s="1559">
        <f t="shared" si="12"/>
        <v>100</v>
      </c>
      <c r="X33" s="1552"/>
      <c r="Y33" s="3409"/>
      <c r="Z33" s="1560">
        <f t="shared" si="13"/>
        <v>111</v>
      </c>
      <c r="AA33" s="1561">
        <f t="shared" si="3"/>
        <v>1</v>
      </c>
      <c r="AB33" s="1561">
        <f t="shared" si="4"/>
        <v>1</v>
      </c>
      <c r="AC33" s="1561">
        <f t="shared" si="5"/>
        <v>1</v>
      </c>
    </row>
    <row r="34" spans="1:29" ht="15.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10" t="s">
        <v>550</v>
      </c>
      <c r="Q34" s="1557">
        <f t="shared" si="8"/>
        <v>111</v>
      </c>
      <c r="R34" s="1558" t="s">
        <v>8</v>
      </c>
      <c r="S34" s="1559">
        <f t="shared" si="10"/>
        <v>100</v>
      </c>
      <c r="T34" s="1558" t="s">
        <v>8</v>
      </c>
      <c r="U34" s="1559">
        <f t="shared" si="11"/>
        <v>100</v>
      </c>
      <c r="V34" s="1558" t="s">
        <v>8</v>
      </c>
      <c r="W34" s="1559">
        <f t="shared" si="12"/>
        <v>100</v>
      </c>
      <c r="X34" s="1552"/>
      <c r="Y34" s="3411" t="s">
        <v>550</v>
      </c>
      <c r="Z34" s="1560">
        <f t="shared" si="13"/>
        <v>111</v>
      </c>
      <c r="AA34" s="1561">
        <f t="shared" si="3"/>
        <v>1</v>
      </c>
      <c r="AB34" s="1561">
        <f t="shared" si="4"/>
        <v>1</v>
      </c>
      <c r="AC34" s="1561">
        <f t="shared" si="5"/>
        <v>1</v>
      </c>
    </row>
    <row r="35" spans="1:29" s="1334" customFormat="1" ht="16"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11"/>
      <c r="Q35" s="1557">
        <f t="shared" si="8"/>
        <v>111</v>
      </c>
      <c r="R35" s="1562" t="s">
        <v>8</v>
      </c>
      <c r="S35" s="1563">
        <f t="shared" si="10"/>
        <v>100</v>
      </c>
      <c r="T35" s="1562" t="s">
        <v>8</v>
      </c>
      <c r="U35" s="1563">
        <f t="shared" si="11"/>
        <v>100</v>
      </c>
      <c r="V35" s="1562" t="s">
        <v>8</v>
      </c>
      <c r="W35" s="1563">
        <f t="shared" si="12"/>
        <v>100</v>
      </c>
      <c r="X35" s="1564"/>
      <c r="Y35" s="3411"/>
      <c r="Z35" s="1565">
        <f t="shared" si="13"/>
        <v>111</v>
      </c>
      <c r="AA35" s="1561">
        <f t="shared" si="3"/>
        <v>1</v>
      </c>
      <c r="AB35" s="1561">
        <f t="shared" si="4"/>
        <v>1</v>
      </c>
      <c r="AC35" s="1561">
        <f t="shared" si="5"/>
        <v>1</v>
      </c>
    </row>
    <row r="36" spans="1:29" ht="15.5">
      <c r="A36" s="2861"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11"/>
      <c r="Q36" s="1557" t="str">
        <f>B36</f>
        <v>宗地面积</v>
      </c>
      <c r="R36" s="1558" t="s">
        <v>8</v>
      </c>
      <c r="S36" s="1559" t="e">
        <f t="shared" si="10"/>
        <v>#N/A</v>
      </c>
      <c r="T36" s="1558" t="s">
        <v>8</v>
      </c>
      <c r="U36" s="1559" t="e">
        <f t="shared" si="11"/>
        <v>#N/A</v>
      </c>
      <c r="V36" s="1558" t="s">
        <v>8</v>
      </c>
      <c r="W36" s="1559" t="e">
        <f t="shared" si="12"/>
        <v>#N/A</v>
      </c>
      <c r="X36" s="1552"/>
      <c r="Y36" s="3411"/>
      <c r="Z36" s="1560" t="str">
        <f t="shared" si="13"/>
        <v>宗地面积</v>
      </c>
      <c r="AA36" s="1561" t="e">
        <f t="shared" si="3"/>
        <v>#N/A</v>
      </c>
      <c r="AB36" s="1561" t="e">
        <f t="shared" si="4"/>
        <v>#N/A</v>
      </c>
      <c r="AC36" s="1561" t="e">
        <f t="shared" si="5"/>
        <v>#N/A</v>
      </c>
    </row>
    <row r="37" spans="1:29" ht="15.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11"/>
      <c r="Q37" s="1557" t="str">
        <f t="shared" ref="Q37:Q42" si="14">B37</f>
        <v>宗地形状</v>
      </c>
      <c r="R37" s="1558" t="s">
        <v>8</v>
      </c>
      <c r="S37" s="1559">
        <f t="shared" si="10"/>
        <v>100</v>
      </c>
      <c r="T37" s="1558" t="s">
        <v>8</v>
      </c>
      <c r="U37" s="1559">
        <f t="shared" si="11"/>
        <v>100</v>
      </c>
      <c r="V37" s="1558" t="s">
        <v>8</v>
      </c>
      <c r="W37" s="1559">
        <f t="shared" si="12"/>
        <v>100</v>
      </c>
      <c r="X37" s="1552"/>
      <c r="Y37" s="3411"/>
      <c r="Z37" s="1560" t="str">
        <f t="shared" si="13"/>
        <v>宗地形状</v>
      </c>
      <c r="AA37" s="1561">
        <f t="shared" si="3"/>
        <v>1</v>
      </c>
      <c r="AB37" s="1561">
        <f t="shared" si="4"/>
        <v>1</v>
      </c>
      <c r="AC37" s="1561">
        <f t="shared" si="5"/>
        <v>1</v>
      </c>
    </row>
    <row r="38" spans="1:29" s="1215" customFormat="1" ht="15.5">
      <c r="A38" s="599"/>
      <c r="B38" s="1879"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11"/>
      <c r="Q38" s="1557" t="str">
        <f t="shared" si="14"/>
        <v>宗地开发程度</v>
      </c>
      <c r="R38" s="1553" t="s">
        <v>8</v>
      </c>
      <c r="S38" s="1554">
        <f t="shared" si="10"/>
        <v>100</v>
      </c>
      <c r="T38" s="1553" t="s">
        <v>8</v>
      </c>
      <c r="U38" s="1554">
        <f t="shared" si="11"/>
        <v>100</v>
      </c>
      <c r="V38" s="1553" t="s">
        <v>8</v>
      </c>
      <c r="W38" s="1554">
        <f t="shared" si="12"/>
        <v>100</v>
      </c>
      <c r="X38" s="1555"/>
      <c r="Y38" s="3411"/>
      <c r="Z38" s="1145" t="str">
        <f t="shared" si="13"/>
        <v>宗地开发程度</v>
      </c>
      <c r="AA38" s="1556">
        <f t="shared" si="3"/>
        <v>1</v>
      </c>
      <c r="AB38" s="1556">
        <f t="shared" si="4"/>
        <v>1</v>
      </c>
      <c r="AC38" s="1556">
        <f t="shared" si="5"/>
        <v>1</v>
      </c>
    </row>
    <row r="39" spans="1:29" ht="15.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1" t="s">
        <v>601</v>
      </c>
      <c r="Q39" s="1557" t="str">
        <f t="shared" si="14"/>
        <v>工程地质条件</v>
      </c>
      <c r="R39" s="1558" t="s">
        <v>8</v>
      </c>
      <c r="S39" s="1559">
        <f t="shared" si="10"/>
        <v>100</v>
      </c>
      <c r="T39" s="1558" t="s">
        <v>8</v>
      </c>
      <c r="U39" s="1559">
        <f t="shared" si="11"/>
        <v>100</v>
      </c>
      <c r="V39" s="1558" t="s">
        <v>8</v>
      </c>
      <c r="W39" s="1559">
        <f t="shared" si="12"/>
        <v>100</v>
      </c>
      <c r="X39" s="1552"/>
      <c r="Y39" s="3411" t="s">
        <v>601</v>
      </c>
      <c r="Z39" s="1560" t="str">
        <f t="shared" si="13"/>
        <v>工程地质条件</v>
      </c>
      <c r="AA39" s="1561">
        <f t="shared" si="3"/>
        <v>1</v>
      </c>
      <c r="AB39" s="1561">
        <f t="shared" si="4"/>
        <v>1</v>
      </c>
      <c r="AC39" s="1561">
        <f t="shared" si="5"/>
        <v>1</v>
      </c>
    </row>
    <row r="40" spans="1:29" ht="15.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11"/>
      <c r="Q40" s="1557">
        <f t="shared" si="14"/>
        <v>111</v>
      </c>
      <c r="R40" s="1558" t="s">
        <v>8</v>
      </c>
      <c r="S40" s="1559">
        <f t="shared" si="10"/>
        <v>100</v>
      </c>
      <c r="T40" s="1558" t="s">
        <v>8</v>
      </c>
      <c r="U40" s="1559">
        <f t="shared" si="11"/>
        <v>100</v>
      </c>
      <c r="V40" s="1558" t="s">
        <v>8</v>
      </c>
      <c r="W40" s="1559">
        <f t="shared" si="12"/>
        <v>100</v>
      </c>
      <c r="X40" s="1552"/>
      <c r="Y40" s="3411"/>
      <c r="Z40" s="1560">
        <f t="shared" si="13"/>
        <v>111</v>
      </c>
      <c r="AA40" s="1561">
        <f t="shared" si="3"/>
        <v>1</v>
      </c>
      <c r="AB40" s="1561">
        <f t="shared" si="4"/>
        <v>1</v>
      </c>
      <c r="AC40" s="1561">
        <f t="shared" si="5"/>
        <v>1</v>
      </c>
    </row>
    <row r="41" spans="1:29" ht="15.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11"/>
      <c r="Q41" s="1557">
        <f t="shared" si="14"/>
        <v>111</v>
      </c>
      <c r="R41" s="1558" t="s">
        <v>8</v>
      </c>
      <c r="S41" s="1559">
        <f t="shared" si="10"/>
        <v>100</v>
      </c>
      <c r="T41" s="1558" t="s">
        <v>8</v>
      </c>
      <c r="U41" s="1559">
        <f t="shared" si="11"/>
        <v>100</v>
      </c>
      <c r="V41" s="1558" t="s">
        <v>8</v>
      </c>
      <c r="W41" s="1559">
        <f t="shared" si="12"/>
        <v>100</v>
      </c>
      <c r="X41" s="1552"/>
      <c r="Y41" s="3411"/>
      <c r="Z41" s="1560">
        <f t="shared" si="13"/>
        <v>111</v>
      </c>
      <c r="AA41" s="1561">
        <f t="shared" si="3"/>
        <v>1</v>
      </c>
      <c r="AB41" s="1561">
        <f t="shared" si="4"/>
        <v>1</v>
      </c>
      <c r="AC41" s="1561">
        <f t="shared" si="5"/>
        <v>1</v>
      </c>
    </row>
    <row r="42" spans="1:29" s="1334" customFormat="1" ht="1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11"/>
      <c r="Q42" s="1557">
        <f t="shared" si="14"/>
        <v>111</v>
      </c>
      <c r="R42" s="1562" t="s">
        <v>8</v>
      </c>
      <c r="S42" s="1563">
        <f t="shared" si="10"/>
        <v>100</v>
      </c>
      <c r="T42" s="1562" t="s">
        <v>8</v>
      </c>
      <c r="U42" s="1563">
        <f t="shared" si="11"/>
        <v>100</v>
      </c>
      <c r="V42" s="1562" t="s">
        <v>8</v>
      </c>
      <c r="W42" s="1563">
        <f t="shared" si="12"/>
        <v>100</v>
      </c>
      <c r="X42" s="1564"/>
      <c r="Y42" s="3411"/>
      <c r="Z42" s="1565">
        <f t="shared" si="13"/>
        <v>111</v>
      </c>
      <c r="AA42" s="1561">
        <f t="shared" si="3"/>
        <v>1</v>
      </c>
      <c r="AB42" s="1561">
        <f t="shared" si="4"/>
        <v>1</v>
      </c>
      <c r="AC42" s="1561">
        <f t="shared" si="5"/>
        <v>1</v>
      </c>
    </row>
    <row r="43" spans="1:29">
      <c r="A43" s="606" t="s">
        <v>556</v>
      </c>
      <c r="B43" s="607" t="s">
        <v>2932</v>
      </c>
      <c r="C43" s="608" t="s">
        <v>1</v>
      </c>
      <c r="D43" s="609"/>
      <c r="E43" s="610"/>
      <c r="F43" s="611"/>
      <c r="G43" s="612"/>
      <c r="H43" s="613"/>
      <c r="I43" s="610"/>
      <c r="J43" s="613"/>
      <c r="K43" s="1335"/>
      <c r="L43" s="2128"/>
      <c r="M43" s="2118"/>
      <c r="N43" s="2118"/>
      <c r="O43" s="2129"/>
      <c r="P43" s="3374" t="str">
        <f>A43</f>
        <v>成交单价</v>
      </c>
      <c r="Q43" s="3374"/>
      <c r="R43" s="3375">
        <f>E43</f>
        <v>0</v>
      </c>
      <c r="S43" s="3375"/>
      <c r="T43" s="3375">
        <f>G43</f>
        <v>0</v>
      </c>
      <c r="U43" s="3375"/>
      <c r="V43" s="3375">
        <f>I43</f>
        <v>0</v>
      </c>
      <c r="W43" s="3375"/>
      <c r="X43" s="1544"/>
      <c r="Y43" s="1566"/>
      <c r="Z43" s="1544"/>
      <c r="AA43" s="1544"/>
      <c r="AB43" s="1544"/>
      <c r="AC43" s="1544"/>
    </row>
    <row r="44" spans="1:29" ht="14.5" thickBot="1">
      <c r="A44" s="614" t="s">
        <v>2690</v>
      </c>
      <c r="B44" s="615"/>
      <c r="C44" s="616" t="e">
        <f>R45</f>
        <v>#DIV/0!</v>
      </c>
      <c r="D44" s="617"/>
      <c r="E44" s="616" t="e">
        <f>R44</f>
        <v>#DIV/0!</v>
      </c>
      <c r="F44" s="618"/>
      <c r="G44" s="619" t="e">
        <f>T44</f>
        <v>#DIV/0!</v>
      </c>
      <c r="H44" s="617"/>
      <c r="I44" s="616" t="e">
        <f>V44</f>
        <v>#DIV/0!</v>
      </c>
      <c r="J44" s="617"/>
      <c r="K44" s="1336"/>
      <c r="L44" s="2128"/>
      <c r="M44" s="2118"/>
      <c r="N44" s="2118"/>
      <c r="O44" s="2129"/>
      <c r="P44" s="3374" t="str">
        <f>A44</f>
        <v>比较价格（元/平方米）</v>
      </c>
      <c r="Q44" s="3374"/>
      <c r="R44" s="3376" t="e">
        <f>ROUND(PRODUCT(R43,AA9:AA42),0)</f>
        <v>#DIV/0!</v>
      </c>
      <c r="S44" s="3376"/>
      <c r="T44" s="3376" t="e">
        <f>ROUND(PRODUCT(T43,AB9:AB42),0)</f>
        <v>#DIV/0!</v>
      </c>
      <c r="U44" s="3376"/>
      <c r="V44" s="3376" t="e">
        <f>ROUND(PRODUCT(V43,AC9:AC42),0)</f>
        <v>#DIV/0!</v>
      </c>
      <c r="W44" s="3376"/>
      <c r="X44" s="1544"/>
      <c r="Y44" s="1544"/>
      <c r="Z44" s="1544"/>
      <c r="AA44" s="1544"/>
      <c r="AB44" s="1544"/>
      <c r="AC44" s="1544"/>
    </row>
    <row r="45" spans="1:29" ht="14.5" thickBot="1">
      <c r="A45" s="620" t="s">
        <v>2933</v>
      </c>
      <c r="B45" s="621"/>
      <c r="C45" s="622" t="e">
        <f>R45</f>
        <v>#DIV/0!</v>
      </c>
      <c r="D45" s="622"/>
      <c r="E45" s="622"/>
      <c r="F45" s="622"/>
      <c r="G45" s="622"/>
      <c r="H45" s="622"/>
      <c r="I45" s="622"/>
      <c r="J45" s="622"/>
      <c r="K45" s="1337"/>
      <c r="L45" s="2128"/>
      <c r="M45" s="2118"/>
      <c r="N45" s="2118"/>
      <c r="O45" s="2129"/>
      <c r="P45" s="3371" t="str">
        <f>A45</f>
        <v>估价对象XX用房的比较价格（楼面单价，元/平方米）</v>
      </c>
      <c r="Q45" s="3372"/>
      <c r="R45" s="3373" t="e">
        <f>ROUND(AVERAGE(R44:V44),0)</f>
        <v>#DIV/0!</v>
      </c>
      <c r="S45" s="3373"/>
      <c r="T45" s="3373"/>
      <c r="U45" s="3373"/>
      <c r="V45" s="3373"/>
      <c r="W45" s="3373"/>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
      <c r="A52" s="628" t="s">
        <v>560</v>
      </c>
      <c r="B52" s="629" t="s">
        <v>561</v>
      </c>
      <c r="C52" s="1545" t="s">
        <v>1724</v>
      </c>
      <c r="D52" s="2211" t="s">
        <v>2291</v>
      </c>
      <c r="E52" s="630" t="s">
        <v>562</v>
      </c>
      <c r="F52" s="1935" t="s">
        <v>563</v>
      </c>
      <c r="G52" s="3418" t="s">
        <v>2282</v>
      </c>
      <c r="H52" s="3419"/>
      <c r="I52" s="1936" t="s">
        <v>1943</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
      <c r="A53" s="632" t="s">
        <v>564</v>
      </c>
      <c r="B53" s="633" t="e">
        <f>C45</f>
        <v>#DIV/0!</v>
      </c>
      <c r="C53" s="634">
        <v>1</v>
      </c>
      <c r="D53" s="2212">
        <v>1</v>
      </c>
      <c r="E53" s="634">
        <f>'数据-汇总表'!E8+'数据-汇总表'!E9</f>
        <v>94475.31</v>
      </c>
      <c r="F53" s="1934" t="e">
        <f t="shared" ref="F53:F62" si="15">ROUND(B53*E53/10000,0)</f>
        <v>#DIV/0!</v>
      </c>
      <c r="G53" s="3420"/>
      <c r="H53" s="3421"/>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
      <c r="A54" s="636" t="s">
        <v>565</v>
      </c>
      <c r="B54" s="637" t="e">
        <f>ROUND($C$45*C54*D54,0)</f>
        <v>#DIV/0!</v>
      </c>
      <c r="C54" s="377">
        <f t="shared" ref="C54:C62" si="16">IF($C$52="北京市系数",I54,J54)</f>
        <v>0.7</v>
      </c>
      <c r="D54" s="2213">
        <v>0.25</v>
      </c>
      <c r="E54" s="638"/>
      <c r="F54" s="1934" t="e">
        <f t="shared" si="15"/>
        <v>#DIV/0!</v>
      </c>
      <c r="G54" s="3422" t="s">
        <v>2283</v>
      </c>
      <c r="H54" s="1938" t="str">
        <f>项目基本情况!B43</f>
        <v>六级</v>
      </c>
      <c r="I54" s="1937">
        <f>SUMIF(修正!$A$45:$A$56,H54,修正!B45:B56)</f>
        <v>0.7</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
      <c r="A55" s="636" t="s">
        <v>566</v>
      </c>
      <c r="B55" s="637" t="e">
        <f t="shared" ref="B55:B62" si="17">ROUND($C$45*C55*D55,0)</f>
        <v>#DIV/0!</v>
      </c>
      <c r="C55" s="377">
        <f t="shared" si="16"/>
        <v>0.4</v>
      </c>
      <c r="D55" s="2213">
        <v>0.25</v>
      </c>
      <c r="E55" s="638"/>
      <c r="F55" s="1934" t="e">
        <f t="shared" si="15"/>
        <v>#DIV/0!</v>
      </c>
      <c r="G55" s="3422"/>
      <c r="H55" s="1939" t="str">
        <f>项目基本情况!B43</f>
        <v>六级</v>
      </c>
      <c r="I55" s="1937">
        <f>SUMIF(修正!$A$45:$A$56,H55,修正!C45:C56)</f>
        <v>0.4</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
      <c r="A56" s="636" t="s">
        <v>567</v>
      </c>
      <c r="B56" s="637" t="e">
        <f t="shared" si="17"/>
        <v>#DIV/0!</v>
      </c>
      <c r="C56" s="377">
        <f t="shared" si="16"/>
        <v>0.28000000000000003</v>
      </c>
      <c r="D56" s="2213">
        <v>0.25</v>
      </c>
      <c r="E56" s="638"/>
      <c r="F56" s="1934" t="e">
        <f t="shared" si="15"/>
        <v>#DIV/0!</v>
      </c>
      <c r="G56" s="3422"/>
      <c r="H56" s="1939" t="str">
        <f>项目基本情况!B43</f>
        <v>六级</v>
      </c>
      <c r="I56" s="1937">
        <f>SUMIF(修正!$A$45:$A$56,H56,修正!D45:D56)</f>
        <v>0.28000000000000003</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
      <c r="A57" s="636" t="s">
        <v>568</v>
      </c>
      <c r="B57" s="637" t="e">
        <f t="shared" si="17"/>
        <v>#DIV/0!</v>
      </c>
      <c r="C57" s="377">
        <f t="shared" si="16"/>
        <v>0.25</v>
      </c>
      <c r="D57" s="2213">
        <v>0.25</v>
      </c>
      <c r="E57" s="638"/>
      <c r="F57" s="1934" t="e">
        <f t="shared" si="15"/>
        <v>#DIV/0!</v>
      </c>
      <c r="G57" s="3422"/>
      <c r="H57" s="1939" t="str">
        <f>项目基本情况!B43</f>
        <v>六级</v>
      </c>
      <c r="I57" s="1937">
        <f>SUMIF(修正!$A$45:$A$56,H57,修正!E45:E56)</f>
        <v>0.25</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
      <c r="A58" s="2315" t="s">
        <v>2326</v>
      </c>
      <c r="B58" s="637" t="e">
        <f t="shared" si="17"/>
        <v>#DIV/0!</v>
      </c>
      <c r="C58" s="377">
        <f t="shared" si="16"/>
        <v>0.25</v>
      </c>
      <c r="D58" s="2213">
        <v>0.25</v>
      </c>
      <c r="E58" s="640">
        <f>'数据-汇总表'!E11</f>
        <v>25926.73</v>
      </c>
      <c r="F58" s="1934" t="e">
        <f t="shared" si="15"/>
        <v>#DIV/0!</v>
      </c>
      <c r="G58" s="1940" t="s">
        <v>2284</v>
      </c>
      <c r="H58" s="1939" t="str">
        <f>项目基本情况!C43</f>
        <v>六级</v>
      </c>
      <c r="I58" s="1937">
        <f>SUMIF(修正!$A$45:$A$56,H58,修正!F45:F56)</f>
        <v>0.25</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
      <c r="A59" s="636" t="s">
        <v>569</v>
      </c>
      <c r="B59" s="637" t="e">
        <f t="shared" si="17"/>
        <v>#DIV/0!</v>
      </c>
      <c r="C59" s="377">
        <f t="shared" si="16"/>
        <v>0.25</v>
      </c>
      <c r="D59" s="2213">
        <v>0.25</v>
      </c>
      <c r="E59" s="640">
        <f>'数据-汇总表'!E12</f>
        <v>148.72</v>
      </c>
      <c r="F59" s="1934" t="e">
        <f t="shared" si="15"/>
        <v>#DIV/0!</v>
      </c>
      <c r="G59" s="1930" t="s">
        <v>1677</v>
      </c>
      <c r="H59" s="1938" t="str">
        <f>IF(G59="商业",项目基本情况!B43,IF(G59="办公",项目基本情况!C43,IF(G59="住宅",项目基本情况!D43,项目基本情况!E43)))</f>
        <v>六级</v>
      </c>
      <c r="I59" s="1937">
        <f>SUMIF(修正!$A$45:$A$56,H59,修正!G45:G56)</f>
        <v>0.25</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
      <c r="A60" s="636" t="s">
        <v>570</v>
      </c>
      <c r="B60" s="637" t="e">
        <f t="shared" si="17"/>
        <v>#DIV/0!</v>
      </c>
      <c r="C60" s="377">
        <f t="shared" si="16"/>
        <v>0.2</v>
      </c>
      <c r="D60" s="2213">
        <v>0.25</v>
      </c>
      <c r="E60" s="640">
        <f>'数据-汇总表'!E13</f>
        <v>39638.61</v>
      </c>
      <c r="F60" s="1934" t="e">
        <f t="shared" si="15"/>
        <v>#DIV/0!</v>
      </c>
      <c r="G60" s="1930" t="s">
        <v>923</v>
      </c>
      <c r="H60" s="1938" t="str">
        <f>IF(G60="商业",项目基本情况!B43,IF(G60="办公",项目基本情况!C43,IF(G60="住宅",项目基本情况!D43,项目基本情况!E43)))</f>
        <v>六级</v>
      </c>
      <c r="I60" s="1937">
        <f>SUMIF(修正!$A$45:$A$56,H60,修正!H45:H56)</f>
        <v>0.2</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
      <c r="A61" s="636" t="s">
        <v>571</v>
      </c>
      <c r="B61" s="637" t="e">
        <f t="shared" si="17"/>
        <v>#DIV/0!</v>
      </c>
      <c r="C61" s="377">
        <f t="shared" si="16"/>
        <v>0.2</v>
      </c>
      <c r="D61" s="2213">
        <v>0.25</v>
      </c>
      <c r="E61" s="640">
        <f>'数据-汇总表'!E14</f>
        <v>0</v>
      </c>
      <c r="F61" s="1934" t="e">
        <f t="shared" si="15"/>
        <v>#DIV/0!</v>
      </c>
      <c r="G61" s="1940" t="s">
        <v>2283</v>
      </c>
      <c r="H61" s="1939" t="str">
        <f>项目基本情况!B43</f>
        <v>六级</v>
      </c>
      <c r="I61" s="1937">
        <f>SUMIF(修正!$A$45:$A$56,H61,修正!H45:H56)</f>
        <v>0.2</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0.2</v>
      </c>
      <c r="D62" s="2213">
        <v>0.25</v>
      </c>
      <c r="E62" s="640">
        <f>'数据-汇总表'!E15</f>
        <v>0</v>
      </c>
      <c r="F62" s="1934" t="e">
        <f t="shared" si="15"/>
        <v>#DIV/0!</v>
      </c>
      <c r="G62" s="1941" t="s">
        <v>2284</v>
      </c>
      <c r="H62" s="1942" t="str">
        <f>项目基本情况!C43</f>
        <v>六级</v>
      </c>
      <c r="I62" s="1937">
        <f>SUMIF(修正!$A$45:$A$56,H62,修正!H45:H56)</f>
        <v>0.2</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1" t="s">
        <v>573</v>
      </c>
      <c r="B63" s="642" t="s">
        <v>17</v>
      </c>
      <c r="C63" s="642" t="s">
        <v>18</v>
      </c>
      <c r="D63" s="642" t="s">
        <v>2292</v>
      </c>
      <c r="E63" s="642">
        <f>IF(B43="楼面地价",SUM(E53:E62),'数据-汇总表'!D3)</f>
        <v>97560.5</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8">EDATE(D65,-3)</f>
        <v>43678</v>
      </c>
      <c r="F65" s="2753">
        <f t="shared" si="18"/>
        <v>43586</v>
      </c>
      <c r="G65" s="2753">
        <f t="shared" si="18"/>
        <v>43497</v>
      </c>
      <c r="H65" s="2753">
        <f t="shared" si="18"/>
        <v>43405</v>
      </c>
      <c r="I65" s="2753">
        <f t="shared" si="18"/>
        <v>43313</v>
      </c>
      <c r="J65" s="2753">
        <f t="shared" si="18"/>
        <v>43221</v>
      </c>
      <c r="K65" s="2753">
        <f t="shared" si="18"/>
        <v>43132</v>
      </c>
      <c r="L65" s="2753">
        <f t="shared" si="18"/>
        <v>43040</v>
      </c>
      <c r="M65" s="2753">
        <f t="shared" si="18"/>
        <v>42948</v>
      </c>
      <c r="N65" s="2753">
        <f t="shared" si="18"/>
        <v>42856</v>
      </c>
      <c r="O65" s="2129"/>
      <c r="P65" s="2129"/>
      <c r="Q65" s="2129"/>
      <c r="R65" s="2129"/>
      <c r="S65" s="2129"/>
      <c r="T65" s="2129"/>
      <c r="U65" s="2129"/>
      <c r="V65" s="2129"/>
      <c r="W65" s="2129"/>
      <c r="X65" s="2129"/>
      <c r="Y65" s="2129"/>
      <c r="Z65" s="2129"/>
      <c r="AA65" s="2129"/>
      <c r="AB65" s="2129"/>
      <c r="AC65" s="2129"/>
    </row>
    <row r="66" spans="1:29" ht="21.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c r="A67" s="2531" t="s">
        <v>2531</v>
      </c>
      <c r="B67" s="645"/>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2646</v>
      </c>
      <c r="B68" s="478" t="str">
        <f>"北京市平均增长率"&amp;TEXT(基准地价!P24,"0.00%")</f>
        <v>北京市平均增长率1.35%</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4.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4.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4.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8.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4.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4.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4.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4.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4.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4.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4.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4.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4.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4.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8.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4.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8.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4.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4.5" thickTop="1">
      <c r="A93" s="686"/>
      <c r="B93" s="1880" t="s">
        <v>2546</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4.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4.5" thickTop="1">
      <c r="A95" s="686"/>
      <c r="B95" s="2560" t="s">
        <v>2548</v>
      </c>
      <c r="C95" s="2561" t="s">
        <v>2549</v>
      </c>
      <c r="D95" s="2561" t="s">
        <v>2550</v>
      </c>
      <c r="E95" s="2561" t="s">
        <v>2551</v>
      </c>
      <c r="F95" s="2561" t="s">
        <v>2552</v>
      </c>
      <c r="G95" s="2561" t="s">
        <v>2553</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4.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4.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4.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8.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4.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4.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4.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4.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4.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4.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4.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4.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4.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4.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4.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4.5" thickTop="1">
      <c r="A114" s="727"/>
      <c r="B114" s="1880" t="s">
        <v>2423</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4.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4.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4.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4.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4.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4.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4.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38"/>
  <sheetViews>
    <sheetView workbookViewId="0">
      <selection activeCell="L8" sqref="L8"/>
    </sheetView>
  </sheetViews>
  <sheetFormatPr defaultColWidth="6.6328125" defaultRowHeight="12.5"/>
  <cols>
    <col min="1" max="1" width="9.81640625" style="2108" customWidth="1"/>
    <col min="2" max="2" width="25.81640625" style="2098" customWidth="1"/>
    <col min="3" max="3" width="10.36328125" style="2109" customWidth="1"/>
    <col min="4" max="4" width="12" style="2098" customWidth="1"/>
    <col min="5" max="5" width="9.453125" style="2108" customWidth="1"/>
    <col min="6" max="6" width="10.08984375" style="2098" customWidth="1"/>
    <col min="7" max="7" width="11.6328125" style="2098" customWidth="1"/>
    <col min="8" max="8" width="10" style="2098" customWidth="1"/>
    <col min="9" max="11" width="9.453125" style="2098" customWidth="1"/>
    <col min="12" max="12" width="9" style="2098" customWidth="1"/>
    <col min="13" max="13" width="10.453125" style="2098" bestFit="1" customWidth="1"/>
    <col min="14" max="254" width="9" style="2098" customWidth="1"/>
    <col min="255" max="16384" width="6.6328125" style="2098"/>
  </cols>
  <sheetData>
    <row r="1" spans="1:31" s="2025" customFormat="1" ht="21">
      <c r="A1" s="2087" t="s">
        <v>466</v>
      </c>
      <c r="B1" s="2763"/>
      <c r="C1" s="2088"/>
      <c r="D1" s="2088"/>
      <c r="E1" s="2088"/>
      <c r="F1" s="2088"/>
      <c r="G1" s="2088"/>
      <c r="H1" s="2088"/>
      <c r="I1" s="2088"/>
      <c r="J1" s="2088"/>
      <c r="K1" s="421">
        <f>MATCH(B1,'数据-取费表'!A6:A16,0)+5</f>
        <v>11</v>
      </c>
    </row>
    <row r="2" spans="1:31" s="2025" customFormat="1" ht="18" customHeight="1">
      <c r="A2" s="2085" t="s">
        <v>467</v>
      </c>
      <c r="B2" s="2089">
        <f ca="1">C36</f>
        <v>314523</v>
      </c>
      <c r="C2" s="2088"/>
      <c r="D2" s="2088"/>
      <c r="E2" s="2088"/>
      <c r="F2" s="2088"/>
      <c r="G2" s="2088"/>
      <c r="H2" s="2088"/>
      <c r="I2" s="2088"/>
      <c r="J2" s="2088"/>
      <c r="K2" s="2088"/>
    </row>
    <row r="3" spans="1:31" s="2025" customFormat="1" ht="18" customHeight="1">
      <c r="A3" s="2090" t="s">
        <v>1684</v>
      </c>
      <c r="B3" s="2091">
        <f ca="1">ROUND(B2*10000/IF(B1="",'数据-汇总表'!E3,INDIRECT("'数据-取费表'!K"&amp;$K$1)),0)</f>
        <v>16588</v>
      </c>
      <c r="C3" s="2088"/>
      <c r="D3" s="2088"/>
      <c r="E3" s="2088"/>
      <c r="F3" s="2088"/>
      <c r="G3" s="2088"/>
      <c r="H3" s="2088"/>
      <c r="I3" s="2088"/>
      <c r="J3" s="2088"/>
      <c r="K3" s="2088"/>
    </row>
    <row r="4" spans="1:31" s="2025" customFormat="1" ht="18" customHeight="1">
      <c r="A4" s="425" t="s">
        <v>468</v>
      </c>
      <c r="B4" s="426">
        <f ca="1">ROUND(B2*10000/IF(B1="",'数据-汇总表'!D3,INDIRECT("'数据-取费表'!R"&amp;$K$1)),0)</f>
        <v>32239</v>
      </c>
      <c r="C4" s="427"/>
      <c r="D4" s="421"/>
      <c r="E4" s="421"/>
      <c r="F4" s="421"/>
      <c r="G4" s="421"/>
      <c r="H4" s="421"/>
      <c r="I4" s="421"/>
      <c r="J4" s="421"/>
      <c r="K4" s="421"/>
    </row>
    <row r="5" spans="1:31" s="2025" customFormat="1" ht="18" customHeight="1" thickBot="1">
      <c r="A5" s="428"/>
      <c r="B5" s="429">
        <f ca="1">ROUND(B2/(IF(B1="",'数据-汇总表'!D3,INDIRECT("'数据-取费表'!R"&amp;$K$1))/666.67),0)</f>
        <v>2149</v>
      </c>
      <c r="C5" s="430" t="s">
        <v>469</v>
      </c>
      <c r="D5" s="421"/>
      <c r="E5" s="421"/>
      <c r="F5" s="421"/>
      <c r="G5" s="421"/>
      <c r="H5" s="421"/>
      <c r="I5" s="421"/>
      <c r="J5" s="421"/>
      <c r="K5" s="421"/>
    </row>
    <row r="6" spans="1:31" s="2095" customFormat="1" ht="16.5" customHeight="1">
      <c r="A6" s="2782" t="s">
        <v>1842</v>
      </c>
      <c r="B6" s="2783"/>
      <c r="C6" s="2784">
        <f ca="1">SUM(C10:K10)</f>
        <v>640496.99170499993</v>
      </c>
      <c r="D6" s="2783"/>
      <c r="E6" s="2783"/>
      <c r="F6" s="2783"/>
      <c r="G6" s="2783"/>
      <c r="H6" s="2783"/>
      <c r="I6" s="2783"/>
      <c r="J6" s="2783"/>
      <c r="K6" s="2785"/>
    </row>
    <row r="7" spans="1:31" s="2097" customFormat="1" ht="14">
      <c r="A7" s="2786" t="s">
        <v>470</v>
      </c>
      <c r="B7" s="2787" t="s">
        <v>471</v>
      </c>
      <c r="C7" s="435" t="s">
        <v>2997</v>
      </c>
      <c r="D7" s="435" t="s">
        <v>1677</v>
      </c>
      <c r="E7" s="435" t="s">
        <v>35</v>
      </c>
      <c r="F7" s="435" t="s">
        <v>3141</v>
      </c>
      <c r="G7" s="435" t="s">
        <v>3131</v>
      </c>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3199">
        <f ca="1">不动产收益法!C43</f>
        <v>42248</v>
      </c>
      <c r="D8" s="3199">
        <f>'不动产比较法-办公'!B3</f>
        <v>52555</v>
      </c>
      <c r="E8" s="3199">
        <f ca="1">'不动产收益法 (车库)'!B3</f>
        <v>2143</v>
      </c>
      <c r="F8" s="3199">
        <f>ROUND(D8*0.4,)</f>
        <v>21022</v>
      </c>
      <c r="G8" s="2788"/>
      <c r="H8" s="2788"/>
      <c r="I8" s="2788"/>
      <c r="J8" s="2788"/>
      <c r="K8" s="2789"/>
      <c r="L8" s="2098"/>
      <c r="M8" s="2098">
        <f ca="1">结果表!G19/('剩余法-待开发'!C10+'剩余法-待开发'!D10)</f>
        <v>0.51482424981899078</v>
      </c>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44048.69</v>
      </c>
      <c r="D9" s="440">
        <f>SUMIF('数据-汇总表'!$C19:$C33,'剩余法-待开发'!D7,'数据-汇总表'!$E19:$E33)</f>
        <v>74475.31</v>
      </c>
      <c r="E9" s="440">
        <f>SUMIF('数据-汇总表'!$C19:$C33,'剩余法-待开发'!E7,'数据-汇总表'!$E19:$E33)</f>
        <v>39638.61</v>
      </c>
      <c r="F9" s="440">
        <f>SUMIF('数据-汇总表'!$C19:$C33,'剩余法-待开发'!F7,'数据-汇总表'!$E19:$E33)</f>
        <v>25926.73</v>
      </c>
      <c r="G9" s="440">
        <f>SUMIF('数据-汇总表'!$C19:$C33,'剩余法-待开发'!G7,'数据-汇总表'!$E19:$E33)</f>
        <v>148.72</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f ca="1">结果表!G19/'剩余法-待开发'!C6</f>
        <v>0.46418797254388272</v>
      </c>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 ca="1">不动产收益法!B2</f>
        <v>186095</v>
      </c>
      <c r="D10" s="2980">
        <f>D8*D9/10000</f>
        <v>391404.99170499999</v>
      </c>
      <c r="E10" s="2980">
        <f ca="1">'不动产收益法 (车库)'!B2</f>
        <v>8494</v>
      </c>
      <c r="F10" s="2791">
        <f>ROUND(F8*F9/10000,0)</f>
        <v>54503</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94801</v>
      </c>
      <c r="D13" s="2798"/>
      <c r="E13" s="2799"/>
      <c r="F13" s="2800"/>
      <c r="G13" s="2766"/>
      <c r="H13" s="2767"/>
      <c r="I13" s="2767"/>
      <c r="J13" s="2767"/>
      <c r="K13" s="2768"/>
    </row>
    <row r="14" spans="1:31" s="2100" customFormat="1" ht="13.5" customHeight="1">
      <c r="A14" s="2796" t="s">
        <v>1849</v>
      </c>
      <c r="B14" s="2797" t="s">
        <v>480</v>
      </c>
      <c r="C14" s="53">
        <f ca="1">ROUND(C13*F14,0)</f>
        <v>4740</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1" customFormat="1" ht="13.5" customHeight="1">
      <c r="A16" s="2796" t="s">
        <v>1851</v>
      </c>
      <c r="B16" s="2797" t="s">
        <v>484</v>
      </c>
      <c r="C16" s="53">
        <f ca="1">ROUND(D16*E16/10000,0)</f>
        <v>3792</v>
      </c>
      <c r="D16" s="2798">
        <f ca="1">IF(B1="",'数据-汇总表'!E3,INDIRECT("'数据-取费表'!K"&amp;$K$1)+INDIRECT("'数据-取费表'!S"&amp;$K$1))</f>
        <v>189603.41999999995</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1422</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104755</v>
      </c>
      <c r="D18" s="2807"/>
      <c r="E18" s="467"/>
      <c r="F18" s="467"/>
      <c r="G18" s="2770" t="s">
        <v>2428</v>
      </c>
      <c r="H18" s="2771"/>
      <c r="I18" s="2771"/>
      <c r="J18" s="2771"/>
      <c r="K18" s="2772"/>
    </row>
    <row r="19" spans="1:14" s="2100" customFormat="1" ht="13.5" customHeight="1">
      <c r="A19" s="2804" t="s">
        <v>1854</v>
      </c>
      <c r="B19" s="2805" t="s">
        <v>488</v>
      </c>
      <c r="C19" s="2762">
        <f ca="1">ROUND(D19*E19/10000,0)</f>
        <v>0</v>
      </c>
      <c r="D19" s="2808">
        <f ca="1">D16</f>
        <v>189603.41999999995</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3792</v>
      </c>
      <c r="D20" s="2808"/>
      <c r="E20" s="2762"/>
      <c r="F20" s="2809"/>
      <c r="G20" s="3039"/>
      <c r="H20" s="2764"/>
      <c r="I20" s="2765" t="s">
        <v>2648</v>
      </c>
      <c r="J20" s="2771"/>
      <c r="K20" s="2772"/>
    </row>
    <row r="21" spans="1:14" s="2100" customFormat="1" ht="13.5" customHeight="1">
      <c r="A21" s="2796" t="s">
        <v>1856</v>
      </c>
      <c r="B21" s="2797" t="s">
        <v>491</v>
      </c>
      <c r="C21" s="53">
        <f ca="1">ROUND(D21*E21/10000,0)</f>
        <v>0</v>
      </c>
      <c r="D21" s="2798">
        <f ca="1">IF(B1="",'数据-汇总表'!E5,IF(INDIRECT("'数据-取费表'!c"&amp;$K$1)="住宅",INDIRECT("'数据-取费表'!k"&amp;$K$1),0))</f>
        <v>0</v>
      </c>
      <c r="E21" s="53">
        <f>'数据-取费表'!B27</f>
        <v>160</v>
      </c>
      <c r="F21" s="2801"/>
      <c r="G21" s="26"/>
      <c r="H21" s="51"/>
      <c r="I21" s="51"/>
      <c r="J21" s="51"/>
      <c r="K21" s="2773"/>
    </row>
    <row r="22" spans="1:14" s="2100" customFormat="1" ht="13.5" customHeight="1">
      <c r="A22" s="2796" t="s">
        <v>1857</v>
      </c>
      <c r="B22" s="2797" t="s">
        <v>492</v>
      </c>
      <c r="C22" s="53">
        <f ca="1">ROUND(D22*E22/10000,0)</f>
        <v>3792</v>
      </c>
      <c r="D22" s="2798">
        <f ca="1">IF(B1="",'数据-汇总表'!E6,IF(INDIRECT("'数据-取费表'!c"&amp;$K$1)="住宅",INDIRECT("'数据-取费表'!s"&amp;$K$1),INDIRECT("'数据-取费表'!k"&amp;$K$1)+INDIRECT("'数据-取费表'!s"&amp;$K$1)))</f>
        <v>189603.41999999995</v>
      </c>
      <c r="E22" s="53">
        <f>'数据-取费表'!B28</f>
        <v>200</v>
      </c>
      <c r="F22" s="2801"/>
      <c r="G22" s="26"/>
      <c r="H22" s="51"/>
      <c r="I22" s="51"/>
      <c r="J22" s="51"/>
      <c r="K22" s="2773"/>
    </row>
    <row r="23" spans="1:14" s="2100" customFormat="1" ht="13.5" customHeight="1">
      <c r="A23" s="2804" t="s">
        <v>1858</v>
      </c>
      <c r="B23" s="2986" t="s">
        <v>2830</v>
      </c>
      <c r="C23" s="2806">
        <f ca="1">ROUND((C18+C19+C20)*F23,0)</f>
        <v>2714</v>
      </c>
      <c r="D23" s="467"/>
      <c r="E23" s="467"/>
      <c r="F23" s="2810">
        <f>'数据-取费表'!B37</f>
        <v>2.5000000000000001E-2</v>
      </c>
      <c r="G23" s="2766" t="s">
        <v>2429</v>
      </c>
      <c r="H23" s="2767"/>
      <c r="I23" s="2767"/>
      <c r="J23" s="2767"/>
      <c r="K23" s="2768"/>
      <c r="L23" s="2102"/>
      <c r="M23" s="2102"/>
      <c r="N23" s="2102"/>
    </row>
    <row r="24" spans="1:14" s="2100" customFormat="1" ht="13.5" customHeight="1">
      <c r="A24" s="2804" t="s">
        <v>1859</v>
      </c>
      <c r="B24" s="2986" t="s">
        <v>2833</v>
      </c>
      <c r="C24" s="2806">
        <f ca="1">ROUND(C6*F24,0)</f>
        <v>16012</v>
      </c>
      <c r="D24" s="474"/>
      <c r="E24" s="472"/>
      <c r="F24" s="2810">
        <f>'数据-取费表'!B38</f>
        <v>2.5000000000000001E-2</v>
      </c>
      <c r="G24" s="2775" t="s">
        <v>499</v>
      </c>
      <c r="H24" s="2769"/>
      <c r="I24" s="2769"/>
      <c r="J24" s="2769"/>
      <c r="K24" s="278"/>
      <c r="L24" s="2102"/>
      <c r="M24" s="2102"/>
      <c r="N24" s="2102"/>
    </row>
    <row r="25" spans="1:14" s="2103" customFormat="1" ht="13.5" customHeight="1">
      <c r="A25" s="2804" t="s">
        <v>1860</v>
      </c>
      <c r="B25" s="2986" t="s">
        <v>2831</v>
      </c>
      <c r="C25" s="466">
        <f>ROUND(F25/(1+'数据-取费表'!C42),4)</f>
        <v>2.8899999999999999E-2</v>
      </c>
      <c r="D25" s="461" t="s">
        <v>2825</v>
      </c>
      <c r="E25" s="468"/>
      <c r="F25" s="2810">
        <f>IF(项目基本情况!B8="出让",0,'数据-取费表'!B48+'数据-取费表'!B49)</f>
        <v>3.0499999999999999E-2</v>
      </c>
      <c r="G25" s="2774" t="s">
        <v>2287</v>
      </c>
      <c r="H25" s="2767"/>
      <c r="I25" s="2767"/>
      <c r="J25" s="2767"/>
      <c r="K25" s="2768"/>
    </row>
    <row r="26" spans="1:14" s="2102" customFormat="1" ht="13.5" customHeight="1">
      <c r="A26" s="2804" t="s">
        <v>1861</v>
      </c>
      <c r="B26" s="2987" t="s">
        <v>2832</v>
      </c>
      <c r="C26" s="2811">
        <f ca="1">C28</f>
        <v>9175</v>
      </c>
      <c r="D26" s="466">
        <f ca="1">C27</f>
        <v>0.1537</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0.1537</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2834</v>
      </c>
      <c r="C28" s="2814">
        <f ca="1">ROUND(IF('数据-取费表'!B22&lt;=1,(C18+C19+C20+C23+C24)*F26*'数据-取费表'!B24/2,(C18+C19+C20+C23+C24)*(POWER((1+F26),'数据-取费表'!B24/2)-1)),0)</f>
        <v>9175</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37398</v>
      </c>
      <c r="D29" s="467"/>
      <c r="E29" s="467"/>
      <c r="F29" s="2988">
        <f>'数据-取费表'!B41</f>
        <v>6.1600000000000002E-2</v>
      </c>
      <c r="G29" s="2775" t="s">
        <v>498</v>
      </c>
      <c r="H29" s="2767"/>
      <c r="I29" s="2767"/>
      <c r="J29" s="2767"/>
      <c r="K29" s="2768"/>
    </row>
    <row r="30" spans="1:14" s="2105" customFormat="1" ht="13.5" customHeight="1">
      <c r="A30" s="1619" t="s">
        <v>1863</v>
      </c>
      <c r="B30" s="2816" t="s">
        <v>500</v>
      </c>
      <c r="C30" s="2811">
        <f ca="1">C31</f>
        <v>173846</v>
      </c>
      <c r="D30" s="476">
        <f ca="1">C32</f>
        <v>0.18260000000000001</v>
      </c>
      <c r="E30" s="468" t="s">
        <v>495</v>
      </c>
      <c r="F30" s="470"/>
      <c r="G30" s="2774" t="s">
        <v>2969</v>
      </c>
      <c r="H30" s="2767"/>
      <c r="I30" s="2767"/>
      <c r="J30" s="2767"/>
      <c r="K30" s="2768"/>
    </row>
    <row r="31" spans="1:14" s="2104" customFormat="1" ht="13.5" customHeight="1">
      <c r="A31" s="802" t="s">
        <v>1856</v>
      </c>
      <c r="B31" s="2812"/>
      <c r="C31" s="449">
        <f ca="1">C18+C19+C20+C23+C24+C26+C29</f>
        <v>173846</v>
      </c>
      <c r="D31" s="471"/>
      <c r="E31" s="472"/>
      <c r="F31" s="473"/>
      <c r="G31" s="260"/>
      <c r="H31" s="2769"/>
      <c r="I31" s="2769"/>
      <c r="J31" s="2769"/>
      <c r="K31" s="278"/>
    </row>
    <row r="32" spans="1:14" s="2104" customFormat="1" ht="13.5" customHeight="1">
      <c r="A32" s="802" t="s">
        <v>1857</v>
      </c>
      <c r="B32" s="2812"/>
      <c r="C32" s="53">
        <f ca="1">ROUND(C25+D26,4)</f>
        <v>0.18260000000000001</v>
      </c>
      <c r="D32" s="471"/>
      <c r="E32" s="472"/>
      <c r="F32" s="473"/>
      <c r="G32" s="260"/>
      <c r="H32" s="2769"/>
      <c r="I32" s="2769"/>
      <c r="J32" s="2769"/>
      <c r="K32" s="278"/>
    </row>
    <row r="33" spans="1:11" s="2106" customFormat="1" ht="13.5" customHeight="1">
      <c r="A33" s="2985" t="s">
        <v>2829</v>
      </c>
      <c r="B33" s="2983" t="s">
        <v>2827</v>
      </c>
      <c r="C33" s="477">
        <f ca="1">C35</f>
        <v>26727</v>
      </c>
      <c r="D33" s="466">
        <f ca="1">C34</f>
        <v>0.21609999999999999</v>
      </c>
      <c r="E33" s="468" t="s">
        <v>495</v>
      </c>
      <c r="F33" s="478">
        <f ca="1">IF(B1="",'数据-取费表'!Q16,INDIRECT("'数据-取费表'!q"&amp;$K$1))</f>
        <v>0.21</v>
      </c>
      <c r="G33" s="2770"/>
      <c r="H33" s="2771"/>
      <c r="I33" s="2771"/>
      <c r="J33" s="2771"/>
      <c r="K33" s="2772"/>
    </row>
    <row r="34" spans="1:11" s="2107" customFormat="1" ht="13.5" customHeight="1">
      <c r="A34" s="374" t="s">
        <v>1856</v>
      </c>
      <c r="B34" s="2817" t="s">
        <v>501</v>
      </c>
      <c r="C34" s="471">
        <f ca="1">ROUND((1+C25)*F33,4)</f>
        <v>0.21609999999999999</v>
      </c>
      <c r="D34" s="471"/>
      <c r="E34" s="472"/>
      <c r="F34" s="479"/>
      <c r="G34" s="260" t="s">
        <v>2288</v>
      </c>
      <c r="H34" s="2769"/>
      <c r="I34" s="2769"/>
      <c r="J34" s="2769"/>
      <c r="K34" s="278"/>
    </row>
    <row r="35" spans="1:11" s="2107" customFormat="1" ht="13.5" customHeight="1" thickBot="1">
      <c r="A35" s="1620" t="s">
        <v>1857</v>
      </c>
      <c r="B35" s="2984" t="s">
        <v>2835</v>
      </c>
      <c r="C35" s="1612">
        <f ca="1">ROUND((C18+C19+C20+C23+C24)*F33,0)</f>
        <v>26727</v>
      </c>
      <c r="D35" s="1613"/>
      <c r="E35" s="2818"/>
      <c r="F35" s="1614"/>
      <c r="G35" s="2776"/>
      <c r="H35" s="2777"/>
      <c r="I35" s="2777"/>
      <c r="J35" s="2777"/>
      <c r="K35" s="2778"/>
    </row>
    <row r="36" spans="1:11" s="2069" customFormat="1" ht="13.5" customHeight="1" thickBot="1">
      <c r="A36" s="283" t="s">
        <v>1844</v>
      </c>
      <c r="B36" s="2780"/>
      <c r="C36" s="2819">
        <f ca="1">ROUND((C6-C30-C33)/(1+D30+D33),0)</f>
        <v>314523</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topLeftCell="A13" zoomScale="80" zoomScaleNormal="80" workbookViewId="0">
      <selection activeCell="F1" sqref="F1"/>
    </sheetView>
  </sheetViews>
  <sheetFormatPr defaultColWidth="12" defaultRowHeight="13"/>
  <cols>
    <col min="1" max="1" width="9.81640625" style="1399" customWidth="1"/>
    <col min="2" max="2" width="20.90625" style="1514" customWidth="1"/>
    <col min="3" max="4" width="12" style="1400"/>
    <col min="5" max="5" width="14.6328125" style="1400" customWidth="1"/>
    <col min="6" max="8" width="12" style="1400"/>
    <col min="9" max="9" width="12.1796875" style="1400" bestFit="1" customWidth="1"/>
    <col min="10" max="10" width="12" style="1400"/>
    <col min="11" max="11" width="9.6328125" style="1397" customWidth="1"/>
    <col min="12" max="12" width="12" style="1400"/>
    <col min="13" max="14" width="10.6328125" style="1400" customWidth="1"/>
    <col min="15" max="17" width="12" style="1400"/>
    <col min="18" max="18" width="12" style="1399"/>
    <col min="19" max="22" width="15.453125" style="1399" customWidth="1"/>
    <col min="23" max="28" width="12" style="1400"/>
    <col min="29" max="29" width="9.36328125" style="1399" customWidth="1"/>
    <col min="30" max="35" width="9.36328125" style="1398" customWidth="1"/>
    <col min="36" max="39" width="9.36328125" style="1399" customWidth="1"/>
    <col min="40" max="41" width="9.36328125" style="1400" customWidth="1"/>
    <col min="42" max="16384" width="12" style="1400"/>
  </cols>
  <sheetData>
    <row r="1" spans="1:39" ht="21">
      <c r="A1" s="1394" t="s">
        <v>1694</v>
      </c>
      <c r="B1" s="1395"/>
      <c r="C1" s="1401" t="s">
        <v>2424</v>
      </c>
      <c r="D1" s="1507">
        <f>SUM(D29:D30,D33:D39)</f>
        <v>184238.06</v>
      </c>
      <c r="E1" s="1401" t="s">
        <v>2425</v>
      </c>
      <c r="F1" s="2415">
        <f>'数据-汇总表'!D3</f>
        <v>97560.5</v>
      </c>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90" t="s">
        <v>2758</v>
      </c>
      <c r="S1" s="2890" t="s">
        <v>2759</v>
      </c>
      <c r="T1" s="2890" t="s">
        <v>2780</v>
      </c>
      <c r="U1" s="2890" t="s">
        <v>2781</v>
      </c>
      <c r="V1" s="2890" t="s">
        <v>2782</v>
      </c>
      <c r="W1" s="2173"/>
      <c r="X1" s="2173"/>
      <c r="Y1" s="2173"/>
      <c r="Z1" s="2173"/>
      <c r="AA1" s="2173"/>
      <c r="AB1" s="2173"/>
      <c r="AC1" s="2174"/>
    </row>
    <row r="2" spans="1:39" ht="15.5">
      <c r="A2" s="1401" t="s">
        <v>920</v>
      </c>
      <c r="B2" s="1037">
        <f ca="1">C26</f>
        <v>211247</v>
      </c>
      <c r="C2" s="1402" t="s">
        <v>921</v>
      </c>
      <c r="D2" s="1403" t="s">
        <v>922</v>
      </c>
      <c r="E2" s="1404" t="s">
        <v>1677</v>
      </c>
      <c r="F2" s="1403" t="s">
        <v>924</v>
      </c>
      <c r="G2" s="1636" t="str">
        <f>IF(E2="商业",项目基本情况!B43,IF(E2="办公",项目基本情况!C43,IF(E2="住宅",项目基本情况!D43,项目基本情况!E43)))</f>
        <v>六级</v>
      </c>
      <c r="H2" s="1403" t="s">
        <v>926</v>
      </c>
      <c r="I2" s="1637" t="str">
        <f>IF(E2="商业",项目基本情况!B44,IF(E2="办公",项目基本情况!C44,IF(E2="住宅",项目基本情况!D44,项目基本情况!E44)))</f>
        <v>Ⅵ-通2</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2.0699000000000001</v>
      </c>
      <c r="T2" s="2891">
        <f ca="1">ROUND($C$5*$C$18*$C$19*$C$20*S2*$C$24,0)</f>
        <v>26419</v>
      </c>
      <c r="U2" s="2880"/>
      <c r="V2" s="2891">
        <f ca="1">ROUND(T2*U2/10000,0)</f>
        <v>0</v>
      </c>
      <c r="W2" s="2173"/>
      <c r="X2" s="2173"/>
      <c r="Y2" s="2173"/>
      <c r="Z2" s="2173"/>
      <c r="AA2" s="2173"/>
      <c r="AB2" s="2173"/>
      <c r="AC2" s="2174"/>
    </row>
    <row r="3" spans="1:39" ht="26">
      <c r="A3" s="1406" t="s">
        <v>1687</v>
      </c>
      <c r="B3" s="1037">
        <f ca="1">ROUND(B2*10000/D1,0)</f>
        <v>11466</v>
      </c>
      <c r="C3" s="1402" t="s">
        <v>927</v>
      </c>
      <c r="D3" s="1403" t="s">
        <v>928</v>
      </c>
      <c r="E3" s="1407" t="s">
        <v>3144</v>
      </c>
      <c r="F3" s="1408" t="s">
        <v>3145</v>
      </c>
      <c r="G3" s="1038">
        <f>IF(F3="宗地容积率",'数据-汇总表'!I4,IF(F3="估价对象容积率",'数据-汇总表'!I6,'数据-汇总表'!I7))</f>
        <v>0.9</v>
      </c>
      <c r="H3" s="1409" t="s">
        <v>929</v>
      </c>
      <c r="I3" s="1039"/>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1.4858</v>
      </c>
      <c r="T3" s="2891">
        <f t="shared" ref="T3:T16" ca="1" si="0">ROUND($C$5*$C$18*$C$19*$C$20*S3*$C$24,0)</f>
        <v>18964</v>
      </c>
      <c r="U3" s="2880"/>
      <c r="V3" s="2891">
        <f t="shared" ref="V3:V16" ca="1" si="1">ROUND(T3*U3/10000,0)</f>
        <v>0</v>
      </c>
      <c r="W3" s="2173"/>
      <c r="X3" s="2173"/>
      <c r="Y3" s="2173"/>
      <c r="Z3" s="2173"/>
      <c r="AA3" s="2173"/>
      <c r="AB3" s="2173"/>
      <c r="AC3" s="2174"/>
    </row>
    <row r="4" spans="1:39" ht="30">
      <c r="A4" s="1875" t="s">
        <v>2278</v>
      </c>
      <c r="B4" s="2416">
        <f ca="1">ROUND(B2*10000/F1,0)</f>
        <v>21653</v>
      </c>
      <c r="C4" s="1878" t="s">
        <v>2252</v>
      </c>
      <c r="D4" s="1878">
        <f ca="1">ROUND(B2/(F1/666.67),0)</f>
        <v>1444</v>
      </c>
      <c r="E4" s="1878" t="s">
        <v>2253</v>
      </c>
      <c r="F4" s="1876"/>
      <c r="G4" s="1876"/>
      <c r="H4" s="1876"/>
      <c r="I4" s="1876"/>
      <c r="J4" s="1877"/>
      <c r="K4" s="3147"/>
      <c r="L4" s="1869" t="s">
        <v>2239</v>
      </c>
      <c r="M4" s="1870">
        <f>SUMPRODUCT((区片价!B49:B75=I2)*(区片价!C3:F3=E2)*(区片价!C49:F75))</f>
        <v>0</v>
      </c>
      <c r="N4" s="1871">
        <f>SUMPRODUCT((因素修正幅度!B49:B75=I2)*(因素修正幅度!C3:F3=E2)*(因素修正幅度!C49:F75))</f>
        <v>0</v>
      </c>
      <c r="O4" s="3147"/>
      <c r="P4" s="1396"/>
      <c r="Q4" s="2173"/>
      <c r="R4" s="2891">
        <v>3</v>
      </c>
      <c r="S4" s="2891">
        <f>ROUND(IF(G3&gt;1,IF(R4&lt;7,SUMPRODUCT((B93:B98=R4)*(C92:N92=G2)*(C93:N98)),SUMIF(C92:N92,G2,C100:N100)),IF(R4&lt;7,SUMPRODUCT((B102:B107=R4)*(C92:N92=G2)*(C102:N107)),SUMIF(C92:N92,G2,C109:N109))),4)</f>
        <v>1.1987000000000001</v>
      </c>
      <c r="T4" s="2891">
        <f t="shared" ca="1" si="0"/>
        <v>15300</v>
      </c>
      <c r="U4" s="2880"/>
      <c r="V4" s="2891">
        <f t="shared" ca="1" si="1"/>
        <v>0</v>
      </c>
      <c r="W4" s="2173"/>
      <c r="X4" s="2173"/>
      <c r="Y4" s="2173"/>
      <c r="Z4" s="2173"/>
      <c r="AA4" s="2173"/>
      <c r="AB4" s="2173"/>
      <c r="AC4" s="2174"/>
    </row>
    <row r="5" spans="1:39" s="1416" customFormat="1" ht="16" thickBot="1">
      <c r="A5" s="1622" t="s">
        <v>1823</v>
      </c>
      <c r="B5" s="1410" t="s">
        <v>931</v>
      </c>
      <c r="C5" s="1040">
        <f>ROUND(IF(E2="商业",C6*C7+C16,(IF(E2="住宅",C6*C12+C16,C6+C16))),0)</f>
        <v>9270</v>
      </c>
      <c r="D5" s="3071">
        <f>ROUND(C6+C16,0)</f>
        <v>9270</v>
      </c>
      <c r="E5" s="3071"/>
      <c r="F5" s="1411"/>
      <c r="G5" s="1412"/>
      <c r="H5" s="1412"/>
      <c r="I5" s="1412"/>
      <c r="J5" s="1413"/>
      <c r="K5" s="3148"/>
      <c r="L5" s="1869" t="s">
        <v>2240</v>
      </c>
      <c r="M5" s="1870">
        <f>SUMPRODUCT((区片价!B76:B109=I2)*(区片价!C3:F3=E2)*(区片价!C76:F109))</f>
        <v>0</v>
      </c>
      <c r="N5" s="1871">
        <f>SUMPRODUCT((因素修正幅度!B76:B109=I2)*(因素修正幅度!C3:F3=E2)*(因素修正幅度!C76:F109))</f>
        <v>0</v>
      </c>
      <c r="O5" s="3148"/>
      <c r="P5" s="1579"/>
      <c r="Q5" s="2173"/>
      <c r="R5" s="2891">
        <v>4</v>
      </c>
      <c r="S5" s="2891">
        <f>ROUND(IF(G3&gt;1,IF(R5&lt;7,SUMPRODUCT((B93:B98=R5)*(C92:N92=G2)*(C93:N98)),SUMIF(C92:N92,G2,C100:N100)),IF(R5&lt;7,SUMPRODUCT((B102:B107=R5)*(C92:N92=G2)*(C102:N107)),SUMIF(C92:N92,G2,C109:N109))),4)</f>
        <v>0.96179999999999999</v>
      </c>
      <c r="T5" s="2891">
        <f t="shared" ca="1" si="0"/>
        <v>12276</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6" thickBot="1">
      <c r="A6" s="1623" t="s">
        <v>1870</v>
      </c>
      <c r="B6" s="1417" t="s">
        <v>931</v>
      </c>
      <c r="C6" s="1041">
        <f>SUMIF(L1:L12,基准地价!G2,M1:M12)</f>
        <v>9270</v>
      </c>
      <c r="D6" s="1418" t="s">
        <v>1695</v>
      </c>
      <c r="E6" s="1419"/>
      <c r="F6" s="1419"/>
      <c r="G6" s="1420"/>
      <c r="H6" s="1420"/>
      <c r="I6" s="1420"/>
      <c r="J6" s="1421"/>
      <c r="K6" s="1451"/>
      <c r="L6" s="1869" t="s">
        <v>2241</v>
      </c>
      <c r="M6" s="1870">
        <f>SUMPRODUCT((区片价!B110:B157=I2)*(区片价!C3:F3=E2)*(区片价!C110:F157))</f>
        <v>9270</v>
      </c>
      <c r="N6" s="1871">
        <f>SUMPRODUCT((因素修正幅度!B110:B157=I2)*(因素修正幅度!C3:F3=E2)*(因素修正幅度!C110:F157))</f>
        <v>0.123</v>
      </c>
      <c r="O6" s="1451"/>
      <c r="P6" s="1580"/>
      <c r="Q6" s="2173"/>
      <c r="R6" s="2891">
        <v>5</v>
      </c>
      <c r="S6" s="2891">
        <f>ROUND(IF(G3&gt;1,IF(R6&lt;7,SUMPRODUCT((B93:B98=R6)*(C92:N92=G2)*(C93:N98)),SUMIF(C92:N92,G2,C100:N100)),IF(R6&lt;7,SUMPRODUCT((B102:B107=R6)*(C92:N92=G2)*(C102:N107)),SUMIF(C92:N92,G2,C109:N109))),4)</f>
        <v>0.81899999999999995</v>
      </c>
      <c r="T6" s="2891">
        <f t="shared" ca="1" si="0"/>
        <v>10453</v>
      </c>
      <c r="U6" s="2880"/>
      <c r="V6" s="2891">
        <f t="shared" ca="1" si="1"/>
        <v>0</v>
      </c>
      <c r="W6" s="2173"/>
      <c r="X6" s="2173"/>
      <c r="Y6" s="2173"/>
      <c r="Z6" s="2173"/>
      <c r="AA6" s="2173"/>
      <c r="AB6" s="2173"/>
      <c r="AC6" s="2175"/>
      <c r="AD6" s="1414"/>
      <c r="AE6" s="1414"/>
      <c r="AF6" s="1414"/>
      <c r="AG6" s="1414"/>
      <c r="AH6" s="1414"/>
      <c r="AI6" s="1414"/>
      <c r="AJ6" s="1415"/>
    </row>
    <row r="7" spans="1:39" ht="26">
      <c r="A7" s="3434" t="str">
        <f>IF(E2="商业",IF(C8="不临58条商业街","",2),"")</f>
        <v/>
      </c>
      <c r="B7" s="1422" t="s">
        <v>932</v>
      </c>
      <c r="C7" s="1042">
        <f>IF(C8="不临58条商业街",1,ROUND(1+(1.6*E8+1.2*E9+0.8*E10+0.4*E11)*C9,4))</f>
        <v>1</v>
      </c>
      <c r="D7" s="1423" t="s">
        <v>933</v>
      </c>
      <c r="E7" s="1043"/>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0.72019999999999995</v>
      </c>
      <c r="T7" s="2891">
        <f t="shared" ca="1" si="0"/>
        <v>9192</v>
      </c>
      <c r="U7" s="2880"/>
      <c r="V7" s="2891">
        <f t="shared" ca="1" si="1"/>
        <v>0</v>
      </c>
      <c r="W7" s="2889" t="s">
        <v>2761</v>
      </c>
      <c r="X7" s="2881" t="str">
        <f>G2</f>
        <v>六级</v>
      </c>
      <c r="Y7" s="2881" t="s">
        <v>2762</v>
      </c>
      <c r="Z7" s="2882">
        <f>G3</f>
        <v>0.9</v>
      </c>
      <c r="AA7" s="2176"/>
      <c r="AB7" s="2176"/>
      <c r="AC7" s="2177"/>
      <c r="AD7" s="2883"/>
      <c r="AE7" s="2883"/>
      <c r="AF7" s="2883"/>
      <c r="AG7" s="2883"/>
      <c r="AH7" s="2883"/>
      <c r="AI7" s="2883"/>
      <c r="AJ7" s="2884"/>
    </row>
    <row r="8" spans="1:39" ht="25">
      <c r="A8" s="3435"/>
      <c r="B8" s="1409" t="s">
        <v>934</v>
      </c>
      <c r="C8" s="1515" t="s">
        <v>3146</v>
      </c>
      <c r="D8" s="1044" t="s">
        <v>935</v>
      </c>
      <c r="E8" s="1045"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1">
        <v>7</v>
      </c>
      <c r="S8" s="2880"/>
      <c r="T8" s="2891">
        <f t="shared" ca="1" si="0"/>
        <v>0</v>
      </c>
      <c r="U8" s="2880"/>
      <c r="V8" s="2891">
        <f t="shared" ca="1" si="1"/>
        <v>0</v>
      </c>
      <c r="W8" s="3424" t="s">
        <v>2779</v>
      </c>
      <c r="X8" s="3425"/>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5">
      <c r="A9" s="3435"/>
      <c r="B9" s="1409" t="s">
        <v>937</v>
      </c>
      <c r="C9" s="1046">
        <f>SUMIF(修正!C59:C119,C8,修正!E59:E119)</f>
        <v>0</v>
      </c>
      <c r="D9" s="1047" t="s">
        <v>938</v>
      </c>
      <c r="E9" s="1047"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423" t="s">
        <v>2775</v>
      </c>
      <c r="X9" s="2885" t="s">
        <v>2776</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5">
      <c r="A10" s="3435"/>
      <c r="B10" s="1409" t="s">
        <v>940</v>
      </c>
      <c r="C10" s="1047">
        <f>SUMIF(修正!C59:C119,C8,修正!F59:F119)</f>
        <v>0</v>
      </c>
      <c r="D10" s="1047" t="s">
        <v>941</v>
      </c>
      <c r="E10" s="1047"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42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5"/>
      <c r="B11" s="1430" t="s">
        <v>943</v>
      </c>
      <c r="C11" s="1048">
        <f>C10/4</f>
        <v>0</v>
      </c>
      <c r="D11" s="1048" t="s">
        <v>944</v>
      </c>
      <c r="E11" s="1048"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423" t="s">
        <v>2777</v>
      </c>
      <c r="X11" s="1047" t="s">
        <v>2762</v>
      </c>
      <c r="Y11" s="1637">
        <f>$G$3</f>
        <v>0.9</v>
      </c>
      <c r="Z11" s="1637">
        <f t="shared" ref="Z11:AJ11" si="3">$G$3</f>
        <v>0.9</v>
      </c>
      <c r="AA11" s="1637">
        <f t="shared" si="3"/>
        <v>0.9</v>
      </c>
      <c r="AB11" s="1637">
        <f t="shared" si="3"/>
        <v>0.9</v>
      </c>
      <c r="AC11" s="1637">
        <f t="shared" si="3"/>
        <v>0.9</v>
      </c>
      <c r="AD11" s="1637">
        <f t="shared" si="3"/>
        <v>0.9</v>
      </c>
      <c r="AE11" s="1637">
        <f t="shared" si="3"/>
        <v>0.9</v>
      </c>
      <c r="AF11" s="1637">
        <f t="shared" si="3"/>
        <v>0.9</v>
      </c>
      <c r="AG11" s="1637">
        <f t="shared" si="3"/>
        <v>0.9</v>
      </c>
      <c r="AH11" s="1637">
        <f t="shared" si="3"/>
        <v>0.9</v>
      </c>
      <c r="AI11" s="1637">
        <f t="shared" si="3"/>
        <v>0.9</v>
      </c>
      <c r="AJ11" s="1637">
        <f t="shared" si="3"/>
        <v>0.9</v>
      </c>
    </row>
    <row r="12" spans="1:39" ht="26.5" thickBot="1">
      <c r="A12" s="3434" t="s">
        <v>1871</v>
      </c>
      <c r="B12" s="1434" t="s">
        <v>946</v>
      </c>
      <c r="C12" s="1042">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423"/>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6">
      <c r="A13" s="3436"/>
      <c r="B13" s="1439" t="s">
        <v>1696</v>
      </c>
      <c r="C13" s="1440" t="s">
        <v>1697</v>
      </c>
      <c r="D13" s="1084" t="s">
        <v>1698</v>
      </c>
      <c r="E13" s="1084" t="s">
        <v>1699</v>
      </c>
      <c r="F13" s="1441" t="s">
        <v>948</v>
      </c>
      <c r="G13" s="1442" t="s">
        <v>1642</v>
      </c>
      <c r="H13" s="1443" t="s">
        <v>1642</v>
      </c>
      <c r="I13" s="1444" t="s">
        <v>1642</v>
      </c>
      <c r="J13" s="1445" t="s">
        <v>1642</v>
      </c>
      <c r="K13" s="3163"/>
      <c r="L13" s="3163"/>
      <c r="M13" s="3163"/>
      <c r="N13" s="3163"/>
      <c r="O13" s="3163"/>
      <c r="P13" s="1396"/>
      <c r="Q13" s="2173"/>
      <c r="R13" s="2891">
        <v>12</v>
      </c>
      <c r="S13" s="2880"/>
      <c r="T13" s="2891">
        <f t="shared" ca="1" si="0"/>
        <v>0</v>
      </c>
      <c r="U13" s="2880"/>
      <c r="V13" s="2891">
        <f t="shared" ca="1" si="1"/>
        <v>0</v>
      </c>
      <c r="W13" s="3423"/>
      <c r="X13" s="2888"/>
      <c r="Y13" s="2887">
        <f>(-0.163*(Y12^2)-0.59*Y12+7617)*(10^(-4))/Y11</f>
        <v>0.84633333333333338</v>
      </c>
      <c r="Z13" s="2887">
        <f t="shared" ref="Z13:AJ13" si="5">(-0.163*(Z12^2)-0.59*Z12+7617)*(10^(-4))/Z11</f>
        <v>0.84633333333333338</v>
      </c>
      <c r="AA13" s="2887">
        <f t="shared" si="5"/>
        <v>0.84633333333333338</v>
      </c>
      <c r="AB13" s="2887">
        <f t="shared" si="5"/>
        <v>0.84633333333333338</v>
      </c>
      <c r="AC13" s="2887">
        <f t="shared" si="5"/>
        <v>0.84633333333333338</v>
      </c>
      <c r="AD13" s="2887">
        <f t="shared" si="5"/>
        <v>0.84633333333333338</v>
      </c>
      <c r="AE13" s="2887">
        <f t="shared" si="5"/>
        <v>0.84633333333333338</v>
      </c>
      <c r="AF13" s="2887">
        <f t="shared" si="5"/>
        <v>0.84633333333333338</v>
      </c>
      <c r="AG13" s="2887">
        <f t="shared" si="5"/>
        <v>0.84633333333333338</v>
      </c>
      <c r="AH13" s="2887">
        <f t="shared" si="5"/>
        <v>0.84633333333333338</v>
      </c>
      <c r="AI13" s="2887">
        <f t="shared" si="5"/>
        <v>0.84633333333333338</v>
      </c>
      <c r="AJ13" s="2887">
        <f t="shared" si="5"/>
        <v>0.84633333333333338</v>
      </c>
    </row>
    <row r="14" spans="1:39" ht="12.75" customHeight="1">
      <c r="A14" s="3436"/>
      <c r="B14" s="1446"/>
      <c r="C14" s="1447"/>
      <c r="D14" s="1448"/>
      <c r="E14" s="1448"/>
      <c r="F14" s="1449"/>
      <c r="G14" s="1450" t="s">
        <v>949</v>
      </c>
      <c r="H14" s="1451"/>
      <c r="I14" s="1452"/>
      <c r="J14" s="1453"/>
      <c r="K14" s="3149"/>
      <c r="L14" s="3149"/>
      <c r="M14" s="3149"/>
      <c r="N14" s="3149"/>
      <c r="O14" s="3149"/>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437"/>
      <c r="B15" s="3168" t="s">
        <v>1700</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6"/>
      <c r="Q15" s="2173"/>
      <c r="R15" s="2891">
        <v>14</v>
      </c>
      <c r="S15" s="2880"/>
      <c r="T15" s="2891">
        <f t="shared" ca="1" si="0"/>
        <v>0</v>
      </c>
      <c r="U15" s="2880"/>
      <c r="V15" s="2891">
        <f t="shared" ca="1" si="1"/>
        <v>0</v>
      </c>
      <c r="W15" s="2173"/>
      <c r="X15" s="2173"/>
      <c r="Y15" s="2173"/>
      <c r="Z15" s="2173"/>
      <c r="AA15" s="2173"/>
      <c r="AB15" s="2173"/>
      <c r="AC15" s="2174"/>
    </row>
    <row r="16" spans="1:39" ht="24.65" customHeight="1">
      <c r="A16" s="3434" t="s">
        <v>1838</v>
      </c>
      <c r="B16" s="1422" t="s">
        <v>950</v>
      </c>
      <c r="C16" s="1051">
        <f>ROUND(IF(F17="与级别开发程度一致",0,(G17-E17)/C17),0)</f>
        <v>0</v>
      </c>
      <c r="D16" s="3431" t="s">
        <v>954</v>
      </c>
      <c r="E16" s="3432"/>
      <c r="F16" s="3431" t="s">
        <v>951</v>
      </c>
      <c r="G16" s="3432"/>
      <c r="H16" s="1454" t="s">
        <v>3010</v>
      </c>
      <c r="I16" s="1454" t="s">
        <v>3011</v>
      </c>
      <c r="J16" s="1454" t="s">
        <v>3012</v>
      </c>
      <c r="K16" s="1454" t="s">
        <v>3013</v>
      </c>
      <c r="L16" s="1454" t="s">
        <v>3014</v>
      </c>
      <c r="M16" s="1454" t="s">
        <v>3015</v>
      </c>
      <c r="N16" s="1454" t="s">
        <v>3016</v>
      </c>
      <c r="O16" s="3173" t="s">
        <v>3009</v>
      </c>
      <c r="P16" s="1396"/>
      <c r="Q16" s="2176"/>
      <c r="R16" s="2891">
        <v>15</v>
      </c>
      <c r="S16" s="2880"/>
      <c r="T16" s="2891">
        <f t="shared" ca="1" si="0"/>
        <v>0</v>
      </c>
      <c r="U16" s="2880"/>
      <c r="V16" s="2891">
        <f t="shared" ca="1" si="1"/>
        <v>0</v>
      </c>
      <c r="W16" s="2176"/>
      <c r="X16" s="2176"/>
      <c r="Y16" s="2176"/>
      <c r="Z16" s="2176"/>
      <c r="AA16" s="2176"/>
      <c r="AB16" s="2176"/>
      <c r="AC16" s="2177"/>
    </row>
    <row r="17" spans="1:40" ht="26.5" thickBot="1">
      <c r="A17" s="3438"/>
      <c r="B17" s="3174" t="s">
        <v>953</v>
      </c>
      <c r="C17" s="3175">
        <f>SUMPRODUCT((修正!A2:A5=E2)*(修正!B1:M1=G2)*(修正!B2:M5))</f>
        <v>2.5</v>
      </c>
      <c r="D17" s="3176" t="str">
        <f>IF(OR(G2="八级",G2="九级",G2="十级",G2="十一级",G2="十二级"),"五通一平","七通一平")</f>
        <v>七通一平</v>
      </c>
      <c r="E17" s="3166">
        <f>SUMPRODUCT((修正!B1:M1=G2)*(修正!B15:M15))</f>
        <v>300</v>
      </c>
      <c r="F17" s="3167" t="s">
        <v>3147</v>
      </c>
      <c r="G17" s="3166">
        <f>SUM(H17:O17)</f>
        <v>300</v>
      </c>
      <c r="H17" s="1050">
        <f>SUMPRODUCT((七通一平=H16)*(修正!B1:M1=G2)*(修正!B6:M14))</f>
        <v>65</v>
      </c>
      <c r="I17" s="1050">
        <f>SUMPRODUCT((七通一平=I16)*(修正!B1:M1=G2)*(修正!B6:M14))</f>
        <v>55</v>
      </c>
      <c r="J17" s="1050">
        <f>SUMPRODUCT((七通一平=J16)*(修正!B1:M1=G2)*(修正!B6:M14))</f>
        <v>15</v>
      </c>
      <c r="K17" s="1050">
        <f>SUMPRODUCT((七通一平=K16)*(修正!B1:M1=G2)*(修正!B6:M14))</f>
        <v>25</v>
      </c>
      <c r="L17" s="1050">
        <f>SUMPRODUCT((七通一平=L16)*(修正!B1:M1=G2)*(修正!B6:M14))</f>
        <v>35</v>
      </c>
      <c r="M17" s="1050">
        <f>SUMPRODUCT((七通一平=M16)*(修正!B1:M1=G2)*(修正!B6:M14))</f>
        <v>50</v>
      </c>
      <c r="N17" s="1050">
        <f>SUMPRODUCT((七通一平=N16)*(修正!B1:M1=G2)*(修正!B6:M14))</f>
        <v>40</v>
      </c>
      <c r="O17" s="3177">
        <f>SUMPRODUCT((七通一平=O16)*(修正!B1:M1=G2)*(修正!B6:M14))</f>
        <v>15</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4.5" thickBot="1">
      <c r="A18" s="2733" t="s">
        <v>1829</v>
      </c>
      <c r="B18" s="3169" t="s">
        <v>955</v>
      </c>
      <c r="C18" s="3170">
        <f>SUMIF(修正!C18:C39,E3,修正!E18:E39)</f>
        <v>1</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8.5" thickBot="1">
      <c r="A19" s="1624" t="s">
        <v>1835</v>
      </c>
      <c r="B19" s="1457" t="s">
        <v>956</v>
      </c>
      <c r="C19" s="1052">
        <f>ROUND(IF(H19="按公示增长率计算",SUMPRODUCT((地价!A3:A29=YEAR(G19)&amp;"-"&amp;ROUNDUP(MONTH(G19)/3,0))*(地价!X2:AB2=E2)*(地价!X3:AB29)),IF(H19="地价指数",M20/M19,(1+I19)^O19)),4)</f>
        <v>1.3633</v>
      </c>
      <c r="D19" s="1461" t="s">
        <v>957</v>
      </c>
      <c r="E19" s="1053">
        <v>41640</v>
      </c>
      <c r="F19" s="1461" t="s">
        <v>958</v>
      </c>
      <c r="G19" s="1054">
        <f>'数据-取费表'!B2</f>
        <v>43873</v>
      </c>
      <c r="H19" s="1462" t="s">
        <v>2988</v>
      </c>
      <c r="I19" s="2739" t="str">
        <f>IF(H19="季度增幅（自定义）",SUMIF(N21:N24,E2,O21:O24),"")</f>
        <v/>
      </c>
      <c r="J19" s="1458"/>
      <c r="K19" s="3148"/>
      <c r="L19" s="2991" t="s">
        <v>2837</v>
      </c>
      <c r="M19" s="2992">
        <f>ROUND(SUMIF(地价!B2:F2,E2,地价!B29:F29),0)</f>
        <v>258</v>
      </c>
      <c r="N19" s="2741" t="s">
        <v>1676</v>
      </c>
      <c r="O19" s="2740">
        <f>ROUNDDOWN(DATEDIF(E19,G19,"M")/3,0)</f>
        <v>24</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8.5" thickBot="1">
      <c r="A20" s="2733" t="s">
        <v>1836</v>
      </c>
      <c r="B20" s="2734" t="s">
        <v>971</v>
      </c>
      <c r="C20" s="2735">
        <f ca="1">ROUND(POWER(1+G20,J20-I20)*(POWER(1+G20,I20)-1)/(POWER(1+G20,J20)-1),4)</f>
        <v>0.95089999999999997</v>
      </c>
      <c r="D20" s="2736" t="s">
        <v>972</v>
      </c>
      <c r="E20" s="3046">
        <f ca="1">存贷款利率!I4/100</f>
        <v>4.3499999999999997E-2</v>
      </c>
      <c r="F20" s="2736" t="s">
        <v>973</v>
      </c>
      <c r="G20" s="2737">
        <f ca="1">SUMIF(M26:P26,E2,M28:P28)</f>
        <v>5.1999999999999998E-2</v>
      </c>
      <c r="H20" s="2736" t="s">
        <v>974</v>
      </c>
      <c r="I20" s="2732">
        <f>SUMIF('数据-取费表'!C6:C15,E2,'数据-取费表'!F6:F15)/COUNTIF('数据-取费表'!C6:C15,E2)</f>
        <v>41.1</v>
      </c>
      <c r="J20" s="2738">
        <f>IF(E2="住宅",70,IF(E2="商业",40,50))</f>
        <v>50</v>
      </c>
      <c r="K20" s="3150"/>
      <c r="L20" s="2993" t="s">
        <v>2838</v>
      </c>
      <c r="M20" s="3157">
        <f>ROUND(SUMPRODUCT((地价!A4:A29=YEAR(G19)&amp;"-"&amp;ROUNDUP(MONTH(G19)/3,0))*(地价!B2:F2=E2)*(地价!B4:F29)),0)</f>
        <v>351</v>
      </c>
      <c r="N20" s="2744" t="s">
        <v>2642</v>
      </c>
      <c r="O20" s="2742" t="s">
        <v>2641</v>
      </c>
      <c r="P20" s="2743" t="s">
        <v>2647</v>
      </c>
      <c r="Q20" s="2879"/>
      <c r="R20" s="2179"/>
      <c r="S20" s="2179"/>
      <c r="T20" s="2179"/>
      <c r="U20" s="2179"/>
      <c r="V20" s="2179"/>
      <c r="W20" s="2179"/>
      <c r="X20" s="2179"/>
      <c r="Y20" s="1459"/>
      <c r="Z20" s="1459"/>
      <c r="AA20" s="1459"/>
      <c r="AB20" s="1459"/>
      <c r="AC20" s="1459"/>
      <c r="AD20" s="1459"/>
    </row>
    <row r="21" spans="1:40" s="1416" customFormat="1" ht="14">
      <c r="A21" s="1626" t="s">
        <v>1837</v>
      </c>
      <c r="B21" s="1467" t="s">
        <v>3143</v>
      </c>
      <c r="C21" s="1153">
        <f>IF(B21="容积率修正",IF(G3&lt;=10,D22,J22),C23)</f>
        <v>1.4208000000000001</v>
      </c>
      <c r="D21" s="1468"/>
      <c r="E21" s="1468"/>
      <c r="F21" s="1468"/>
      <c r="G21" s="1468"/>
      <c r="H21" s="1468"/>
      <c r="I21" s="1468"/>
      <c r="J21" s="1469"/>
      <c r="K21" s="3148"/>
      <c r="L21" s="1468"/>
      <c r="M21" s="1468"/>
      <c r="N21" s="1465" t="s">
        <v>975</v>
      </c>
      <c r="O21" s="1528"/>
      <c r="P21" s="2731">
        <f>SUMPRODUCT((地价!A3:A29=YEAR(G19)&amp;"-"&amp;ROUNDUP(MONTH(G19)/3,0))*(地价!AD2:AH2=N21)*(地价!AD3:AH29))</f>
        <v>1.34E-2</v>
      </c>
      <c r="Q21" s="2879"/>
      <c r="R21" s="2179"/>
      <c r="S21" s="2179"/>
      <c r="T21" s="2179"/>
      <c r="U21" s="2179"/>
      <c r="V21" s="2179"/>
      <c r="W21" s="2179"/>
      <c r="X21" s="2179"/>
      <c r="Y21" s="1398"/>
      <c r="Z21" s="1398"/>
      <c r="AA21" s="1398"/>
      <c r="AB21" s="1398"/>
      <c r="AC21" s="1459"/>
      <c r="AD21" s="1459"/>
    </row>
    <row r="22" spans="1:40" s="1416" customFormat="1" ht="14.5">
      <c r="A22" s="1627" t="s">
        <v>1870</v>
      </c>
      <c r="B22" s="1470" t="s">
        <v>976</v>
      </c>
      <c r="C22" s="1055" t="s">
        <v>1702</v>
      </c>
      <c r="D22" s="1055">
        <f>IF(E22=G22,F22,IF(G3&lt;=10,ROUND(F22+(H22-F22)*(G3-E22)/(G22-E22),4),"——"))</f>
        <v>1.4208000000000001</v>
      </c>
      <c r="E22" s="1038">
        <f>ROUNDDOWN(G3,1)</f>
        <v>0.9</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1.4208000000000001</v>
      </c>
      <c r="G22" s="1038">
        <f>ROUNDUP(G3,1)</f>
        <v>0.9</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055" t="s">
        <v>977</v>
      </c>
      <c r="J22" s="1055" t="str">
        <f>IF(G3&gt;10,D113,"——")</f>
        <v>——</v>
      </c>
      <c r="K22" s="3151"/>
      <c r="L22" s="1468"/>
      <c r="M22" s="1468"/>
      <c r="N22" s="1465" t="s">
        <v>978</v>
      </c>
      <c r="O22" s="1528"/>
      <c r="P22" s="2731">
        <f>SUMPRODUCT((地价!A3:A29=YEAR(G19)&amp;"-"&amp;ROUNDUP(MONTH(G19)/3,0))*(地价!AD2:AH2=N22)*(地价!AD3:AH29))</f>
        <v>1.34E-2</v>
      </c>
      <c r="Q22" s="2879"/>
      <c r="R22" s="2179"/>
      <c r="S22" s="2179"/>
      <c r="T22" s="2179"/>
      <c r="U22" s="2179"/>
      <c r="V22" s="2179"/>
      <c r="W22" s="2179"/>
      <c r="X22" s="2179"/>
      <c r="Y22" s="1459"/>
      <c r="Z22" s="1459"/>
      <c r="AA22" s="1459"/>
      <c r="AB22" s="1459"/>
      <c r="AC22" s="1459"/>
      <c r="AD22" s="1459"/>
    </row>
    <row r="23" spans="1:40" ht="14.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SUMPRODUCT((地价!A3:A29=YEAR(G19)&amp;"-"&amp;ROUNDUP(MONTH(G19)/3,0))*(地价!AD2:AH2=N23)*(地价!AD3:AH29))</f>
        <v>2.1000000000000001E-2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4.5" thickBot="1">
      <c r="A24" s="1625" t="s">
        <v>1872</v>
      </c>
      <c r="B24" s="1410" t="s">
        <v>980</v>
      </c>
      <c r="C24" s="1057">
        <f>SUMIF(A44:A87,E2,B44:B87)</f>
        <v>1.0621</v>
      </c>
      <c r="D24" s="1521"/>
      <c r="E24" s="1522"/>
      <c r="F24" s="1522"/>
      <c r="G24" s="1522"/>
      <c r="H24" s="1522"/>
      <c r="I24" s="1522"/>
      <c r="J24" s="1522"/>
      <c r="K24" s="3152"/>
      <c r="L24" s="1468"/>
      <c r="M24" s="1468"/>
      <c r="N24" s="1465" t="s">
        <v>981</v>
      </c>
      <c r="O24" s="3156"/>
      <c r="P24" s="2731">
        <f>SUMPRODUCT((地价!A3:A29=YEAR(G19)&amp;"-"&amp;ROUNDUP(MONTH(G19)/3,0))*(地价!AD2:AH2=N24)*(地价!AD3:AH29))</f>
        <v>1.35E-2</v>
      </c>
      <c r="Q24" s="2879"/>
      <c r="R24" s="2179"/>
      <c r="S24" s="2179"/>
      <c r="T24" s="2179"/>
      <c r="U24" s="2179"/>
      <c r="V24" s="2179"/>
      <c r="W24" s="2179"/>
      <c r="X24" s="2179"/>
      <c r="Y24" s="1459"/>
      <c r="Z24" s="1459"/>
      <c r="AA24" s="1459"/>
      <c r="AB24" s="1459"/>
      <c r="AC24" s="1459"/>
      <c r="AD24" s="1459"/>
    </row>
    <row r="25" spans="1:40" ht="14.5" thickBot="1">
      <c r="A25" s="1625" t="s">
        <v>1873</v>
      </c>
      <c r="B25" s="1472" t="s">
        <v>982</v>
      </c>
      <c r="C25" s="1473"/>
      <c r="D25" s="1425"/>
      <c r="E25" s="1425"/>
      <c r="F25" s="1474"/>
      <c r="G25" s="1425"/>
      <c r="H25" s="1425"/>
      <c r="I25" s="1425"/>
      <c r="J25" s="1426"/>
      <c r="K25" s="1451"/>
      <c r="L25" s="2179"/>
      <c r="M25" s="2179"/>
      <c r="N25" s="3158" t="s">
        <v>2645</v>
      </c>
      <c r="O25" s="3159"/>
      <c r="P25" s="2410">
        <f>SUMPRODUCT((地价!A3:A29=YEAR(G19)&amp;"-"&amp;ROUNDUP(MONTH(G19)/3,0))*(地价!AD2:AH2=N25)*(地价!AD3:AH29))</f>
        <v>1.9199999999999998E-2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
      <c r="A26" s="1475"/>
      <c r="B26" s="1470" t="s">
        <v>986</v>
      </c>
      <c r="C26" s="1058">
        <f ca="1">E29+SUM(E33:E39)</f>
        <v>211247</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4.5" thickBot="1">
      <c r="A27" s="1475"/>
      <c r="B27" s="1479" t="s">
        <v>988</v>
      </c>
      <c r="C27" s="1059">
        <f ca="1">E30+SUM(I33:I39)</f>
        <v>9982</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4.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
      <c r="A29" s="1488"/>
      <c r="B29" s="1489" t="s">
        <v>993</v>
      </c>
      <c r="C29" s="1058">
        <f ca="1">ROUND(C5*C18*C19*C20*C21*C24,0)</f>
        <v>18134</v>
      </c>
      <c r="D29" s="1490">
        <f>'数据-汇总表'!F31</f>
        <v>94475.31</v>
      </c>
      <c r="E29" s="1833">
        <f ca="1">ROUND(C29*D29/10000,0)</f>
        <v>171322</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6.5" thickBot="1">
      <c r="A30" s="1494"/>
      <c r="B30" s="1495" t="s">
        <v>994</v>
      </c>
      <c r="C30" s="1050">
        <f ca="1">ROUND(IF(E2="工业",C29*M39,C29*M38),0)</f>
        <v>4534</v>
      </c>
      <c r="D30" s="1496"/>
      <c r="E30" s="1833">
        <f ca="1">ROUND(C30*D30/10000,0)</f>
        <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6">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c r="A33" s="3441" t="s">
        <v>2958</v>
      </c>
      <c r="B33" s="1510" t="s">
        <v>999</v>
      </c>
      <c r="C33" s="1058">
        <f ca="1">ROUND(D5*C19*C20*C24*F33,0)</f>
        <v>8934</v>
      </c>
      <c r="D33" s="1523">
        <f>'数据-汇总表'!G19</f>
        <v>24048.69</v>
      </c>
      <c r="E33" s="1047">
        <f ca="1">ROUND(C33*D33/10000,0)</f>
        <v>21485</v>
      </c>
      <c r="F33" s="1047">
        <f>SUMIF(修正!A45:A56,G2,修正!B45:B56)</f>
        <v>0.7</v>
      </c>
      <c r="G33" s="1047">
        <f t="shared" ref="G33" ca="1" si="6">ROUND(IF(E2="工业",C33*$M$39,C33*$M$38),0)</f>
        <v>2234</v>
      </c>
      <c r="H33" s="1047">
        <f>D33</f>
        <v>24048.69</v>
      </c>
      <c r="I33" s="1047">
        <f ca="1">ROUND(G33*H33/10000,0)</f>
        <v>5372</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c r="A34" s="3442"/>
      <c r="B34" s="1440" t="s">
        <v>1000</v>
      </c>
      <c r="C34" s="1058">
        <f ca="1">ROUND(D5*C19*C20*C24*F34,0)</f>
        <v>5105</v>
      </c>
      <c r="D34" s="1523"/>
      <c r="E34" s="1047">
        <f t="shared" ref="E34:E39" ca="1" si="7">ROUND(C34*D34/10000,0)</f>
        <v>0</v>
      </c>
      <c r="F34" s="1047">
        <f>SUMIF(修正!A45:A56,G2,修正!C45:C56)</f>
        <v>0.4</v>
      </c>
      <c r="G34" s="1047">
        <f ca="1">ROUND(IF(E2="工业",C34*$M$39,C34*$M$38),0)</f>
        <v>1276</v>
      </c>
      <c r="H34" s="1047">
        <f t="shared" ref="H34:H39" si="8">D34</f>
        <v>0</v>
      </c>
      <c r="I34" s="1047">
        <f t="shared" ref="I34:I39" ca="1" si="9">ROUND(G34*H34/10000,0)</f>
        <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c r="A35" s="3442"/>
      <c r="B35" s="1440" t="s">
        <v>1001</v>
      </c>
      <c r="C35" s="1058">
        <f ca="1">ROUND(D5*C19*C20*C24*F35,0)</f>
        <v>3574</v>
      </c>
      <c r="D35" s="1523"/>
      <c r="E35" s="1047">
        <f t="shared" ca="1" si="7"/>
        <v>0</v>
      </c>
      <c r="F35" s="1047">
        <f>SUMIF(修正!A45:A56,G2,修正!D45:D56)</f>
        <v>0.28000000000000003</v>
      </c>
      <c r="G35" s="1047">
        <f ca="1">ROUND(IF(E2="工业",C35*$M$39,C35*$M$38),0)</f>
        <v>894</v>
      </c>
      <c r="H35" s="1047">
        <f t="shared" si="8"/>
        <v>0</v>
      </c>
      <c r="I35" s="1047">
        <f t="shared" ca="1" si="9"/>
        <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3"/>
      <c r="B36" s="1440" t="s">
        <v>1002</v>
      </c>
      <c r="C36" s="1058">
        <f ca="1">ROUND(D5*C19*C20*C24*F36,0)</f>
        <v>3191</v>
      </c>
      <c r="D36" s="1523"/>
      <c r="E36" s="1047">
        <f t="shared" ca="1" si="7"/>
        <v>0</v>
      </c>
      <c r="F36" s="1047">
        <f>SUMIF(修正!A45:A56,G2,修正!E45:E56)</f>
        <v>0.25</v>
      </c>
      <c r="G36" s="1047">
        <f ca="1">ROUND(IF(E2="工业",C36*$M$39,C36*$M$38),0)</f>
        <v>798</v>
      </c>
      <c r="H36" s="1047">
        <f t="shared" si="8"/>
        <v>0</v>
      </c>
      <c r="I36" s="1047">
        <f t="shared" ca="1" si="9"/>
        <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c r="A37" s="1509"/>
      <c r="B37" s="1440" t="s">
        <v>1003</v>
      </c>
      <c r="C37" s="1047">
        <f ca="1">ROUND(D5*C19*C20*C24*F37,0)</f>
        <v>3191</v>
      </c>
      <c r="D37" s="1523">
        <f>'数据-汇总表'!G23</f>
        <v>25926.73</v>
      </c>
      <c r="E37" s="1047">
        <f t="shared" ca="1" si="7"/>
        <v>8273</v>
      </c>
      <c r="F37" s="1058">
        <f>SUMIF(修正!A45:A56,G2,修正!F45:F56)</f>
        <v>0.25</v>
      </c>
      <c r="G37" s="1047">
        <f ca="1">ROUND(IF(E2="工业",C37*$M$39,C37*$M$38),0)</f>
        <v>798</v>
      </c>
      <c r="H37" s="1047">
        <f t="shared" si="8"/>
        <v>25926.73</v>
      </c>
      <c r="I37" s="1047">
        <f t="shared" ca="1" si="9"/>
        <v>2069</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c r="A38" s="1509"/>
      <c r="B38" s="1440" t="s">
        <v>1004</v>
      </c>
      <c r="C38" s="1047">
        <f ca="1">ROUND(D5*C19*C41*C24*F38,0)</f>
        <v>3191</v>
      </c>
      <c r="D38" s="1523">
        <f>'数据-汇总表'!G22</f>
        <v>148.72</v>
      </c>
      <c r="E38" s="1047">
        <f t="shared" ca="1" si="7"/>
        <v>47</v>
      </c>
      <c r="F38" s="1058">
        <f>SUMIF(修正!A45:A56,G2,修正!G45:G56)</f>
        <v>0.25</v>
      </c>
      <c r="G38" s="1047">
        <f ca="1">ROUND(IF(E2="工业",C38*$M$39,C38*$M$38),0)</f>
        <v>798</v>
      </c>
      <c r="H38" s="1047">
        <f t="shared" si="8"/>
        <v>148.72</v>
      </c>
      <c r="I38" s="1047">
        <f t="shared" ca="1" si="9"/>
        <v>12</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f ca="1">ROUND(D5*C19*C41*C24*F39,0)</f>
        <v>2553</v>
      </c>
      <c r="D39" s="1524">
        <f>'数据-汇总表'!G21</f>
        <v>39638.61</v>
      </c>
      <c r="E39" s="1050">
        <f t="shared" ca="1" si="7"/>
        <v>10120</v>
      </c>
      <c r="F39" s="1060">
        <f>SUMIF(修正!A45:A56,G2,修正!H45:H56)</f>
        <v>0.2</v>
      </c>
      <c r="G39" s="1050">
        <f ca="1">ROUND(IF(E2="工业",C39*$M$39,C39*$M$38),0)</f>
        <v>638</v>
      </c>
      <c r="H39" s="1050">
        <f t="shared" si="8"/>
        <v>39638.61</v>
      </c>
      <c r="I39" s="1050">
        <f t="shared" ca="1" si="9"/>
        <v>2529</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c r="A41" s="1398"/>
      <c r="B41" s="3146" t="s">
        <v>2982</v>
      </c>
      <c r="C41" s="838">
        <f ca="1">ROUND(POWER(1+E41,H41-G41)*(POWER(1+E41,G41)-1)/(POWER(1+E41,H41)-1),4)</f>
        <v>0.95089999999999997</v>
      </c>
      <c r="D41" s="377" t="s">
        <v>2980</v>
      </c>
      <c r="E41" s="3145">
        <f ca="1">G20</f>
        <v>5.1999999999999998E-2</v>
      </c>
      <c r="F41" s="377" t="s">
        <v>2981</v>
      </c>
      <c r="G41" s="395">
        <f>项目基本情况!F19</f>
        <v>41.1</v>
      </c>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4.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6">
      <c r="A46" s="1062" t="s">
        <v>1008</v>
      </c>
      <c r="B46" s="2371" t="s">
        <v>1009</v>
      </c>
      <c r="C46" s="2393" t="s">
        <v>1010</v>
      </c>
      <c r="D46" s="2394" t="s">
        <v>1011</v>
      </c>
      <c r="E46" s="2395" t="s">
        <v>1013</v>
      </c>
      <c r="F46" s="2396" t="s">
        <v>2248</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9">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52">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6">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9">
      <c r="A50" s="1062" t="s">
        <v>1023</v>
      </c>
      <c r="B50" s="3048" t="s">
        <v>2935</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6">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6">
      <c r="A52" s="1062" t="s">
        <v>1025</v>
      </c>
      <c r="B52" s="3047" t="s">
        <v>2934</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6">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6">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9.5"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
      <c r="A56" s="2387" t="s">
        <v>1029</v>
      </c>
      <c r="B56" s="2388">
        <f>1+E58</f>
        <v>1.0621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6">
      <c r="A57" s="1062" t="s">
        <v>1008</v>
      </c>
      <c r="B57" s="2371"/>
      <c r="C57" s="2393" t="s">
        <v>1010</v>
      </c>
      <c r="D57" s="2394" t="s">
        <v>1011</v>
      </c>
      <c r="E57" s="2395" t="s">
        <v>1013</v>
      </c>
      <c r="F57" s="2396" t="s">
        <v>2249</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9">
      <c r="A58" s="1062" t="s">
        <v>1030</v>
      </c>
      <c r="B58" s="2374" t="str">
        <f>估价对象房地状况!C17</f>
        <v>估价对象位于XX商圈，周边办公楼项目较多，入驻率高，办公集聚程度较好</v>
      </c>
      <c r="C58" s="1049" t="s">
        <v>3080</v>
      </c>
      <c r="D58" s="2380">
        <f t="shared" ref="D58:D66" si="15">SUMIF($J$57:$N$57,C58,J58:N58)</f>
        <v>1.47E-2</v>
      </c>
      <c r="E58" s="2399">
        <f>ROUND(SUM(D58:D66),4)</f>
        <v>6.2100000000000002E-2</v>
      </c>
      <c r="F58" s="2400">
        <f>IF(E2="办公",SUMIF(L1:L12,G2,N1:N12),"——")</f>
        <v>0.123</v>
      </c>
      <c r="G58" s="2378">
        <f>H58</f>
        <v>1.47E-2</v>
      </c>
      <c r="H58" s="2424">
        <f>IFERROR(ROUNDDOWN($F$58*I58/2,4),"——")</f>
        <v>1.47E-2</v>
      </c>
      <c r="I58" s="2398">
        <v>0.24</v>
      </c>
      <c r="J58" s="2401">
        <f t="shared" ref="J58:J66" si="16">K58+$G58</f>
        <v>2.9399999999999999E-2</v>
      </c>
      <c r="K58" s="2401">
        <f t="shared" ref="K58:K66" si="17">$L58+$G58</f>
        <v>1.47E-2</v>
      </c>
      <c r="L58" s="2401">
        <v>0</v>
      </c>
      <c r="M58" s="2401">
        <f t="shared" ref="M58:N66" si="18">L58-$G58</f>
        <v>-1.47E-2</v>
      </c>
      <c r="N58" s="2401">
        <f t="shared" si="18"/>
        <v>-2.9399999999999999E-2</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52">
      <c r="A59" s="1062" t="s">
        <v>1021</v>
      </c>
      <c r="B59" s="2371" t="str">
        <f>估价对象房地状况!C18</f>
        <v>估价对象周边道路状况、公共交通通达情况、停车便捷程度，综合评价交通便捷度较好</v>
      </c>
      <c r="C59" s="1049" t="s">
        <v>3080</v>
      </c>
      <c r="D59" s="2380">
        <f t="shared" si="15"/>
        <v>1.8449999999999998E-2</v>
      </c>
      <c r="E59" s="2402"/>
      <c r="F59" s="2400"/>
      <c r="G59" s="2378">
        <f t="shared" ref="G59:G66" si="19">H59</f>
        <v>1.8449999999999998E-2</v>
      </c>
      <c r="H59" s="2379">
        <f t="shared" ref="H59:H66" si="20">IFERROR($F$58*I59/2,"——")</f>
        <v>1.8449999999999998E-2</v>
      </c>
      <c r="I59" s="2398">
        <v>0.3</v>
      </c>
      <c r="J59" s="2401">
        <f t="shared" si="16"/>
        <v>3.6899999999999995E-2</v>
      </c>
      <c r="K59" s="2401">
        <f t="shared" si="17"/>
        <v>1.8449999999999998E-2</v>
      </c>
      <c r="L59" s="2401">
        <v>0</v>
      </c>
      <c r="M59" s="2401">
        <f t="shared" si="18"/>
        <v>-1.8449999999999998E-2</v>
      </c>
      <c r="N59" s="2401">
        <f t="shared" si="18"/>
        <v>-3.6899999999999995E-2</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6">
      <c r="A60" s="1062" t="s">
        <v>1022</v>
      </c>
      <c r="B60" s="2371">
        <f>估价对象房地状况!C19</f>
        <v>0</v>
      </c>
      <c r="C60" s="1049" t="s">
        <v>3080</v>
      </c>
      <c r="D60" s="2380">
        <f t="shared" si="15"/>
        <v>4.9199999999999999E-3</v>
      </c>
      <c r="E60" s="2402"/>
      <c r="F60" s="2400"/>
      <c r="G60" s="2378">
        <f t="shared" si="19"/>
        <v>4.9199999999999999E-3</v>
      </c>
      <c r="H60" s="2379">
        <f t="shared" si="20"/>
        <v>4.9199999999999999E-3</v>
      </c>
      <c r="I60" s="2398">
        <v>0.08</v>
      </c>
      <c r="J60" s="2401">
        <f t="shared" si="16"/>
        <v>9.8399999999999998E-3</v>
      </c>
      <c r="K60" s="2401">
        <f t="shared" si="17"/>
        <v>4.9199999999999999E-3</v>
      </c>
      <c r="L60" s="2401">
        <v>0</v>
      </c>
      <c r="M60" s="2401">
        <f t="shared" si="18"/>
        <v>-4.9199999999999999E-3</v>
      </c>
      <c r="N60" s="2401">
        <f t="shared" si="18"/>
        <v>-9.8399999999999998E-3</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9">
      <c r="A61" s="1062" t="s">
        <v>1023</v>
      </c>
      <c r="B61" s="3048" t="s">
        <v>2936</v>
      </c>
      <c r="C61" s="1049" t="s">
        <v>3080</v>
      </c>
      <c r="D61" s="2380">
        <f t="shared" si="15"/>
        <v>2.4599999999999999E-3</v>
      </c>
      <c r="E61" s="2402"/>
      <c r="F61" s="2400"/>
      <c r="G61" s="2378">
        <f t="shared" si="19"/>
        <v>2.4599999999999999E-3</v>
      </c>
      <c r="H61" s="2379">
        <f t="shared" si="20"/>
        <v>2.4599999999999999E-3</v>
      </c>
      <c r="I61" s="2398">
        <v>0.04</v>
      </c>
      <c r="J61" s="2401">
        <f t="shared" si="16"/>
        <v>4.9199999999999999E-3</v>
      </c>
      <c r="K61" s="2401">
        <f t="shared" si="17"/>
        <v>2.4599999999999999E-3</v>
      </c>
      <c r="L61" s="2401">
        <v>0</v>
      </c>
      <c r="M61" s="2401">
        <f t="shared" si="18"/>
        <v>-2.4599999999999999E-3</v>
      </c>
      <c r="N61" s="2401">
        <f t="shared" si="18"/>
        <v>-4.9199999999999999E-3</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6">
      <c r="A62" s="1062" t="s">
        <v>1024</v>
      </c>
      <c r="B62" s="2371">
        <f>估价对象房地状况!C24</f>
        <v>0</v>
      </c>
      <c r="C62" s="1049" t="s">
        <v>3081</v>
      </c>
      <c r="D62" s="2380">
        <f t="shared" si="15"/>
        <v>0</v>
      </c>
      <c r="E62" s="2402"/>
      <c r="F62" s="2400"/>
      <c r="G62" s="2378">
        <f t="shared" si="19"/>
        <v>3.075E-3</v>
      </c>
      <c r="H62" s="2379">
        <f t="shared" si="20"/>
        <v>3.075E-3</v>
      </c>
      <c r="I62" s="2398">
        <v>0.05</v>
      </c>
      <c r="J62" s="2401">
        <f t="shared" si="16"/>
        <v>6.1500000000000001E-3</v>
      </c>
      <c r="K62" s="2401">
        <f t="shared" si="17"/>
        <v>3.075E-3</v>
      </c>
      <c r="L62" s="2401">
        <v>0</v>
      </c>
      <c r="M62" s="2401">
        <f t="shared" si="18"/>
        <v>-3.075E-3</v>
      </c>
      <c r="N62" s="2401">
        <f t="shared" si="18"/>
        <v>-6.1500000000000001E-3</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6">
      <c r="A63" s="1062" t="s">
        <v>1025</v>
      </c>
      <c r="B63" s="3047" t="s">
        <v>2934</v>
      </c>
      <c r="C63" s="1049" t="s">
        <v>3080</v>
      </c>
      <c r="D63" s="2380">
        <f t="shared" si="15"/>
        <v>3.075E-3</v>
      </c>
      <c r="E63" s="2402"/>
      <c r="F63" s="2400"/>
      <c r="G63" s="2378">
        <f t="shared" si="19"/>
        <v>3.075E-3</v>
      </c>
      <c r="H63" s="2379">
        <f t="shared" si="20"/>
        <v>3.075E-3</v>
      </c>
      <c r="I63" s="2398">
        <v>0.05</v>
      </c>
      <c r="J63" s="2401">
        <f t="shared" si="16"/>
        <v>6.1500000000000001E-3</v>
      </c>
      <c r="K63" s="2401">
        <f t="shared" si="17"/>
        <v>3.075E-3</v>
      </c>
      <c r="L63" s="2401">
        <v>0</v>
      </c>
      <c r="M63" s="2401">
        <f t="shared" si="18"/>
        <v>-3.075E-3</v>
      </c>
      <c r="N63" s="2401">
        <f t="shared" si="18"/>
        <v>-6.1500000000000001E-3</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6">
      <c r="A64" s="1062" t="s">
        <v>1026</v>
      </c>
      <c r="B64" s="2372" t="str">
        <f>估价对象房地状况!C21</f>
        <v>估价对象所在区域公共配套设施齐备情况</v>
      </c>
      <c r="C64" s="1049" t="s">
        <v>3080</v>
      </c>
      <c r="D64" s="2380">
        <f t="shared" si="15"/>
        <v>3.6899999999999997E-3</v>
      </c>
      <c r="E64" s="2402"/>
      <c r="F64" s="2400"/>
      <c r="G64" s="2378">
        <f t="shared" si="19"/>
        <v>3.6899999999999997E-3</v>
      </c>
      <c r="H64" s="2379">
        <f t="shared" si="20"/>
        <v>3.6899999999999997E-3</v>
      </c>
      <c r="I64" s="2398">
        <v>0.06</v>
      </c>
      <c r="J64" s="2401">
        <f t="shared" si="16"/>
        <v>7.3799999999999994E-3</v>
      </c>
      <c r="K64" s="2401">
        <f t="shared" si="17"/>
        <v>3.6899999999999997E-3</v>
      </c>
      <c r="L64" s="2401">
        <v>0</v>
      </c>
      <c r="M64" s="2401">
        <f t="shared" si="18"/>
        <v>-3.6899999999999997E-3</v>
      </c>
      <c r="N64" s="2401">
        <f t="shared" si="18"/>
        <v>-7.3799999999999994E-3</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6">
      <c r="A65" s="1062" t="s">
        <v>1027</v>
      </c>
      <c r="B65" s="2372" t="str">
        <f>估价对象房地状况!C22</f>
        <v>估价对象所在区域基础设施水平</v>
      </c>
      <c r="C65" s="1049" t="s">
        <v>3148</v>
      </c>
      <c r="D65" s="2380">
        <f t="shared" si="15"/>
        <v>1.4759999999999999E-2</v>
      </c>
      <c r="E65" s="2402"/>
      <c r="F65" s="2400"/>
      <c r="G65" s="2378">
        <f t="shared" si="19"/>
        <v>7.3799999999999994E-3</v>
      </c>
      <c r="H65" s="2379">
        <f t="shared" si="20"/>
        <v>7.3799999999999994E-3</v>
      </c>
      <c r="I65" s="2398">
        <v>0.12</v>
      </c>
      <c r="J65" s="2401">
        <f t="shared" si="16"/>
        <v>1.4759999999999999E-2</v>
      </c>
      <c r="K65" s="2401">
        <f t="shared" si="17"/>
        <v>7.3799999999999994E-3</v>
      </c>
      <c r="L65" s="2401">
        <v>0</v>
      </c>
      <c r="M65" s="2401">
        <f t="shared" si="18"/>
        <v>-7.3799999999999994E-3</v>
      </c>
      <c r="N65" s="2401">
        <f t="shared" si="18"/>
        <v>-1.4759999999999999E-2</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9.5" thickBot="1">
      <c r="A66" s="2404" t="s">
        <v>1028</v>
      </c>
      <c r="B66" s="2376" t="str">
        <f>估价对象房地状况!C20</f>
        <v>区域自然环境：；人文环境；综合评价环境状况一般</v>
      </c>
      <c r="C66" s="1049" t="s">
        <v>3081</v>
      </c>
      <c r="D66" s="2380">
        <f t="shared" si="15"/>
        <v>0</v>
      </c>
      <c r="E66" s="2406"/>
      <c r="F66" s="2400"/>
      <c r="G66" s="2378">
        <f t="shared" si="19"/>
        <v>3.6899999999999997E-3</v>
      </c>
      <c r="H66" s="2379">
        <f t="shared" si="20"/>
        <v>3.6899999999999997E-3</v>
      </c>
      <c r="I66" s="2405">
        <v>0.06</v>
      </c>
      <c r="J66" s="2401">
        <f t="shared" si="16"/>
        <v>7.3799999999999994E-3</v>
      </c>
      <c r="K66" s="2401">
        <f t="shared" si="17"/>
        <v>3.6899999999999997E-3</v>
      </c>
      <c r="L66" s="2401">
        <v>0</v>
      </c>
      <c r="M66" s="2401">
        <f t="shared" si="18"/>
        <v>-3.6899999999999997E-3</v>
      </c>
      <c r="N66" s="2401">
        <f t="shared" si="18"/>
        <v>-7.3799999999999994E-3</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6">
      <c r="A68" s="1062" t="s">
        <v>1008</v>
      </c>
      <c r="B68" s="2371"/>
      <c r="C68" s="2393" t="s">
        <v>1010</v>
      </c>
      <c r="D68" s="2394" t="s">
        <v>1011</v>
      </c>
      <c r="E68" s="2395" t="s">
        <v>1013</v>
      </c>
      <c r="F68" s="2396" t="s">
        <v>2250</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52">
      <c r="A69" s="1062" t="s">
        <v>1032</v>
      </c>
      <c r="B69" s="2374" t="str">
        <f>估价对象房地状况!C15</f>
        <v>估价对象周边居住用地比例、居住小区规模和社区发展完善程度，综合评价居住社区成熟度一般</v>
      </c>
      <c r="C69" s="1154"/>
      <c r="D69" s="2380">
        <f t="shared" ref="D69:D77" si="21">SUMIF($J$68:$N$68,C69,J69:N69)</f>
        <v>0</v>
      </c>
      <c r="E69" s="2399">
        <f>ROUND(SUM(D69:D77),4)</f>
        <v>0</v>
      </c>
      <c r="F69" s="2400" t="str">
        <f>IF(E2="住宅",SUMIF(L1:L12,G2,N1:N12),"——")</f>
        <v>——</v>
      </c>
      <c r="G69" s="2381"/>
      <c r="H69" s="2425" t="str">
        <f t="shared" ref="H69:H77" si="22">IFERROR(ROUNDDOWN($F$69*I69/2,4),"——")</f>
        <v>——</v>
      </c>
      <c r="I69" s="2398">
        <v>0.14000000000000001</v>
      </c>
      <c r="J69" s="2401">
        <f t="shared" ref="J69:J77" si="23">K69+$G69</f>
        <v>0</v>
      </c>
      <c r="K69" s="2401">
        <f t="shared" ref="K69:K77" si="24">$L69+$G69</f>
        <v>0</v>
      </c>
      <c r="L69" s="2401">
        <v>0</v>
      </c>
      <c r="M69" s="2401">
        <f t="shared" ref="M69:N77" si="25">L69-$G69</f>
        <v>0</v>
      </c>
      <c r="N69" s="2401">
        <f t="shared" si="25"/>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52">
      <c r="A70" s="1062" t="s">
        <v>1033</v>
      </c>
      <c r="B70" s="2371" t="str">
        <f>估价对象房地状况!C18</f>
        <v>估价对象周边道路状况、公共交通通达情况、停车便捷程度，综合评价交通便捷度较好</v>
      </c>
      <c r="C70" s="1154"/>
      <c r="D70" s="2380">
        <f t="shared" si="21"/>
        <v>0</v>
      </c>
      <c r="E70" s="2408"/>
      <c r="F70" s="2409"/>
      <c r="G70" s="2381"/>
      <c r="H70" s="2425" t="str">
        <f t="shared" si="22"/>
        <v>——</v>
      </c>
      <c r="I70" s="2398">
        <v>0.3</v>
      </c>
      <c r="J70" s="2401">
        <f t="shared" si="23"/>
        <v>0</v>
      </c>
      <c r="K70" s="2401">
        <f t="shared" si="24"/>
        <v>0</v>
      </c>
      <c r="L70" s="2401">
        <v>0</v>
      </c>
      <c r="M70" s="2401">
        <f t="shared" si="25"/>
        <v>0</v>
      </c>
      <c r="N70" s="2401">
        <f t="shared" si="25"/>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6">
      <c r="A71" s="1062" t="s">
        <v>1022</v>
      </c>
      <c r="B71" s="2371">
        <f>估价对象房地状况!C19</f>
        <v>0</v>
      </c>
      <c r="C71" s="1154"/>
      <c r="D71" s="2380">
        <f t="shared" si="21"/>
        <v>0</v>
      </c>
      <c r="E71" s="2408"/>
      <c r="F71" s="2409"/>
      <c r="G71" s="2381"/>
      <c r="H71" s="2425" t="str">
        <f t="shared" si="22"/>
        <v>——</v>
      </c>
      <c r="I71" s="2398">
        <v>0.08</v>
      </c>
      <c r="J71" s="2401">
        <f t="shared" si="23"/>
        <v>0</v>
      </c>
      <c r="K71" s="2401">
        <f t="shared" si="24"/>
        <v>0</v>
      </c>
      <c r="L71" s="2401">
        <v>0</v>
      </c>
      <c r="M71" s="2401">
        <f t="shared" si="25"/>
        <v>0</v>
      </c>
      <c r="N71" s="2401">
        <f t="shared" si="25"/>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
      <c r="A72" s="1062" t="s">
        <v>1034</v>
      </c>
      <c r="B72" s="2371">
        <f>估价对象房地状况!C24</f>
        <v>0</v>
      </c>
      <c r="C72" s="1154"/>
      <c r="D72" s="2380">
        <f t="shared" si="21"/>
        <v>0</v>
      </c>
      <c r="E72" s="2408"/>
      <c r="F72" s="2409"/>
      <c r="G72" s="2381"/>
      <c r="H72" s="2425" t="str">
        <f t="shared" si="22"/>
        <v>——</v>
      </c>
      <c r="I72" s="2398">
        <v>0.04</v>
      </c>
      <c r="J72" s="2401">
        <f t="shared" si="23"/>
        <v>0</v>
      </c>
      <c r="K72" s="2401">
        <f t="shared" si="24"/>
        <v>0</v>
      </c>
      <c r="L72" s="2401">
        <v>0</v>
      </c>
      <c r="M72" s="2401">
        <f t="shared" si="25"/>
        <v>0</v>
      </c>
      <c r="N72" s="2401">
        <f t="shared" si="25"/>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6">
      <c r="A73" s="1062" t="s">
        <v>1026</v>
      </c>
      <c r="B73" s="2372" t="str">
        <f>估价对象房地状况!C21</f>
        <v>估价对象所在区域公共配套设施齐备情况</v>
      </c>
      <c r="C73" s="1154"/>
      <c r="D73" s="2380">
        <f t="shared" si="21"/>
        <v>0</v>
      </c>
      <c r="E73" s="2408"/>
      <c r="F73" s="2409"/>
      <c r="G73" s="2381"/>
      <c r="H73" s="2425" t="str">
        <f t="shared" si="22"/>
        <v>——</v>
      </c>
      <c r="I73" s="2398">
        <v>0.08</v>
      </c>
      <c r="J73" s="2401">
        <f t="shared" si="23"/>
        <v>0</v>
      </c>
      <c r="K73" s="2401">
        <f t="shared" si="24"/>
        <v>0</v>
      </c>
      <c r="L73" s="2401">
        <v>0</v>
      </c>
      <c r="M73" s="2401">
        <f t="shared" si="25"/>
        <v>0</v>
      </c>
      <c r="N73" s="2401">
        <f t="shared" si="25"/>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6">
      <c r="A74" s="1062" t="s">
        <v>1027</v>
      </c>
      <c r="B74" s="2372" t="str">
        <f>估价对象房地状况!C22</f>
        <v>估价对象所在区域基础设施水平</v>
      </c>
      <c r="C74" s="1154"/>
      <c r="D74" s="2380">
        <f t="shared" si="21"/>
        <v>0</v>
      </c>
      <c r="E74" s="2408"/>
      <c r="F74" s="2409"/>
      <c r="G74" s="2381"/>
      <c r="H74" s="2425" t="str">
        <f t="shared" si="22"/>
        <v>——</v>
      </c>
      <c r="I74" s="2398">
        <v>0.12</v>
      </c>
      <c r="J74" s="2401">
        <f t="shared" si="23"/>
        <v>0</v>
      </c>
      <c r="K74" s="2401">
        <f t="shared" si="24"/>
        <v>0</v>
      </c>
      <c r="L74" s="2401">
        <v>0</v>
      </c>
      <c r="M74" s="2401">
        <f t="shared" si="25"/>
        <v>0</v>
      </c>
      <c r="N74" s="2401">
        <f t="shared" si="25"/>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6">
      <c r="A75" s="1062" t="s">
        <v>1025</v>
      </c>
      <c r="B75" s="3047" t="s">
        <v>2934</v>
      </c>
      <c r="C75" s="1154"/>
      <c r="D75" s="2380">
        <f t="shared" si="21"/>
        <v>0</v>
      </c>
      <c r="E75" s="2408"/>
      <c r="F75" s="2409"/>
      <c r="G75" s="2381"/>
      <c r="H75" s="2425" t="str">
        <f t="shared" si="22"/>
        <v>——</v>
      </c>
      <c r="I75" s="2398">
        <v>0.05</v>
      </c>
      <c r="J75" s="2401">
        <f t="shared" si="23"/>
        <v>0</v>
      </c>
      <c r="K75" s="2401">
        <f t="shared" si="24"/>
        <v>0</v>
      </c>
      <c r="L75" s="2401">
        <v>0</v>
      </c>
      <c r="M75" s="2401">
        <f t="shared" si="25"/>
        <v>0</v>
      </c>
      <c r="N75" s="2401">
        <f t="shared" si="25"/>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9">
      <c r="A76" s="1062" t="s">
        <v>1028</v>
      </c>
      <c r="B76" s="2374" t="str">
        <f>估价对象房地状况!C20</f>
        <v>区域自然环境：；人文环境；综合评价环境状况一般</v>
      </c>
      <c r="C76" s="1154"/>
      <c r="D76" s="2380">
        <f t="shared" si="21"/>
        <v>0</v>
      </c>
      <c r="E76" s="2408"/>
      <c r="F76" s="2409"/>
      <c r="G76" s="2381"/>
      <c r="H76" s="2425" t="str">
        <f t="shared" si="22"/>
        <v>——</v>
      </c>
      <c r="I76" s="2398">
        <v>0.15</v>
      </c>
      <c r="J76" s="2401">
        <f t="shared" si="23"/>
        <v>0</v>
      </c>
      <c r="K76" s="2401">
        <f t="shared" si="24"/>
        <v>0</v>
      </c>
      <c r="L76" s="2401">
        <v>0</v>
      </c>
      <c r="M76" s="2401">
        <f t="shared" si="25"/>
        <v>0</v>
      </c>
      <c r="N76" s="2401">
        <f t="shared" si="25"/>
        <v>0</v>
      </c>
      <c r="P76" s="2183"/>
      <c r="Q76" s="2183"/>
      <c r="R76" s="2184"/>
      <c r="S76" s="2184"/>
      <c r="T76" s="2184"/>
      <c r="U76" s="2184"/>
      <c r="V76" s="2184"/>
      <c r="W76" s="2183"/>
      <c r="X76" s="2183"/>
      <c r="Y76" s="2183"/>
      <c r="Z76" s="2183"/>
      <c r="AA76" s="2183"/>
      <c r="AB76" s="2183"/>
      <c r="AC76" s="2183"/>
      <c r="AD76" s="2184"/>
      <c r="AJ76" s="1398"/>
      <c r="AN76" s="1399"/>
    </row>
    <row r="77" spans="1:40" ht="26.5" thickBot="1">
      <c r="A77" s="2404" t="s">
        <v>1035</v>
      </c>
      <c r="B77" s="1834"/>
      <c r="C77" s="1154"/>
      <c r="D77" s="2380">
        <f t="shared" si="21"/>
        <v>0</v>
      </c>
      <c r="E77" s="2410"/>
      <c r="F77" s="2409"/>
      <c r="G77" s="2381"/>
      <c r="H77" s="2425" t="str">
        <f t="shared" si="22"/>
        <v>——</v>
      </c>
      <c r="I77" s="2405">
        <v>0.04</v>
      </c>
      <c r="J77" s="2401">
        <f t="shared" si="23"/>
        <v>0</v>
      </c>
      <c r="K77" s="2401">
        <f t="shared" si="24"/>
        <v>0</v>
      </c>
      <c r="L77" s="2401">
        <v>0</v>
      </c>
      <c r="M77" s="2401">
        <f t="shared" si="25"/>
        <v>0</v>
      </c>
      <c r="N77" s="2401">
        <f t="shared" si="25"/>
        <v>0</v>
      </c>
      <c r="AC77" s="1400"/>
      <c r="AD77" s="1399"/>
      <c r="AJ77" s="1398"/>
      <c r="AN77" s="1399"/>
    </row>
    <row r="78" spans="1:40" ht="1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6">
      <c r="A79" s="1062" t="s">
        <v>1008</v>
      </c>
      <c r="B79" s="2371"/>
      <c r="C79" s="2393" t="s">
        <v>1010</v>
      </c>
      <c r="D79" s="2394" t="s">
        <v>1011</v>
      </c>
      <c r="E79" s="2395" t="s">
        <v>1013</v>
      </c>
      <c r="F79" s="2396" t="s">
        <v>2251</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9">
      <c r="A80" s="1062" t="s">
        <v>1037</v>
      </c>
      <c r="B80" s="2371" t="str">
        <f>估价对象房地状况!G15</f>
        <v>估价对象位于XX开发区，园区建设成熟度XX，产业集聚程度XX</v>
      </c>
      <c r="C80" s="1049"/>
      <c r="D80" s="2380">
        <f t="shared" ref="D80:D87" si="26">SUMIF($J$79:$N$79,C80,J80:N80)</f>
        <v>0</v>
      </c>
      <c r="E80" s="2399">
        <f>ROUND(SUM(D80:D87),4)</f>
        <v>0</v>
      </c>
      <c r="F80" s="2400" t="str">
        <f>IF(E2="工业",SUMIF(L1:L12,G2,N1:N12),"——")</f>
        <v>——</v>
      </c>
      <c r="G80" s="2378"/>
      <c r="H80" s="2424" t="str">
        <f t="shared" ref="H80:H87" si="27">IFERROR(ROUNDDOWN($F$80*I80/2,4),"——")</f>
        <v>——</v>
      </c>
      <c r="I80" s="2398">
        <v>0.26</v>
      </c>
      <c r="J80" s="2401">
        <f t="shared" ref="J80:J87" si="28">K80+$G80</f>
        <v>0</v>
      </c>
      <c r="K80" s="2401">
        <f t="shared" ref="K80:K87" si="29">$L80+$G80</f>
        <v>0</v>
      </c>
      <c r="L80" s="2401">
        <v>0</v>
      </c>
      <c r="M80" s="2401">
        <f t="shared" ref="M80:N87" si="30">L80-$G80</f>
        <v>0</v>
      </c>
      <c r="N80" s="2401">
        <f t="shared" si="30"/>
        <v>0</v>
      </c>
      <c r="AC80" s="1400"/>
      <c r="AD80" s="1399"/>
      <c r="AJ80" s="1398"/>
      <c r="AN80" s="1399"/>
    </row>
    <row r="81" spans="1:40" ht="52">
      <c r="A81" s="1062" t="s">
        <v>1033</v>
      </c>
      <c r="B81" s="2371" t="str">
        <f>估价对象房地状况!G16</f>
        <v>估价对象周边道路状况、公共交通通达情况、停车便捷程度，综合评价交通便捷度较好</v>
      </c>
      <c r="C81" s="1049"/>
      <c r="D81" s="2380">
        <f t="shared" si="26"/>
        <v>0</v>
      </c>
      <c r="E81" s="2408"/>
      <c r="F81" s="2409"/>
      <c r="G81" s="2378"/>
      <c r="H81" s="2424" t="str">
        <f t="shared" si="27"/>
        <v>——</v>
      </c>
      <c r="I81" s="2398">
        <v>0.33</v>
      </c>
      <c r="J81" s="2401">
        <f t="shared" si="28"/>
        <v>0</v>
      </c>
      <c r="K81" s="2401">
        <f t="shared" si="29"/>
        <v>0</v>
      </c>
      <c r="L81" s="2401">
        <v>0</v>
      </c>
      <c r="M81" s="2401">
        <f t="shared" si="30"/>
        <v>0</v>
      </c>
      <c r="N81" s="2401">
        <f t="shared" si="30"/>
        <v>0</v>
      </c>
      <c r="AC81" s="1400"/>
      <c r="AD81" s="1399"/>
      <c r="AJ81" s="1398"/>
      <c r="AN81" s="1399"/>
    </row>
    <row r="82" spans="1:40" ht="26">
      <c r="A82" s="1062" t="s">
        <v>1022</v>
      </c>
      <c r="B82" s="2371">
        <f>估价对象房地状况!G17</f>
        <v>0</v>
      </c>
      <c r="C82" s="1049"/>
      <c r="D82" s="2380">
        <f t="shared" si="26"/>
        <v>0</v>
      </c>
      <c r="E82" s="2408"/>
      <c r="F82" s="2409"/>
      <c r="G82" s="2378"/>
      <c r="H82" s="2424" t="str">
        <f t="shared" si="27"/>
        <v>——</v>
      </c>
      <c r="I82" s="2398">
        <v>0.05</v>
      </c>
      <c r="J82" s="2401">
        <f t="shared" si="28"/>
        <v>0</v>
      </c>
      <c r="K82" s="2401">
        <f t="shared" si="29"/>
        <v>0</v>
      </c>
      <c r="L82" s="2401">
        <v>0</v>
      </c>
      <c r="M82" s="2401">
        <f t="shared" si="30"/>
        <v>0</v>
      </c>
      <c r="N82" s="2401">
        <f t="shared" si="30"/>
        <v>0</v>
      </c>
      <c r="AC82" s="1400"/>
      <c r="AD82" s="1399"/>
      <c r="AJ82" s="1398"/>
      <c r="AN82" s="1399"/>
    </row>
    <row r="83" spans="1:40" ht="14">
      <c r="A83" s="1062" t="s">
        <v>1034</v>
      </c>
      <c r="B83" s="2371">
        <f>估价对象房地状况!G22</f>
        <v>0</v>
      </c>
      <c r="C83" s="1049"/>
      <c r="D83" s="2380">
        <f t="shared" si="26"/>
        <v>0</v>
      </c>
      <c r="E83" s="2408"/>
      <c r="F83" s="2409"/>
      <c r="G83" s="2378"/>
      <c r="H83" s="2424" t="str">
        <f t="shared" si="27"/>
        <v>——</v>
      </c>
      <c r="I83" s="2398">
        <v>0.04</v>
      </c>
      <c r="J83" s="2401">
        <f t="shared" si="28"/>
        <v>0</v>
      </c>
      <c r="K83" s="2401">
        <f t="shared" si="29"/>
        <v>0</v>
      </c>
      <c r="L83" s="2401">
        <v>0</v>
      </c>
      <c r="M83" s="2401">
        <f t="shared" si="30"/>
        <v>0</v>
      </c>
      <c r="N83" s="2401">
        <f t="shared" si="30"/>
        <v>0</v>
      </c>
      <c r="AC83" s="1400"/>
      <c r="AD83" s="1399"/>
      <c r="AJ83" s="1398"/>
      <c r="AN83" s="1399"/>
    </row>
    <row r="84" spans="1:40" ht="26">
      <c r="A84" s="1062" t="s">
        <v>1026</v>
      </c>
      <c r="B84" s="2372" t="str">
        <f>估价对象房地状况!G19</f>
        <v>估价对象所在区域公共配套设施齐备情况</v>
      </c>
      <c r="C84" s="1049"/>
      <c r="D84" s="2380">
        <f t="shared" si="26"/>
        <v>0</v>
      </c>
      <c r="E84" s="2408"/>
      <c r="F84" s="2409"/>
      <c r="G84" s="2378"/>
      <c r="H84" s="2424" t="str">
        <f t="shared" si="27"/>
        <v>——</v>
      </c>
      <c r="I84" s="2398">
        <v>0.06</v>
      </c>
      <c r="J84" s="2401">
        <f t="shared" si="28"/>
        <v>0</v>
      </c>
      <c r="K84" s="2401">
        <f t="shared" si="29"/>
        <v>0</v>
      </c>
      <c r="L84" s="2401">
        <v>0</v>
      </c>
      <c r="M84" s="2401">
        <f t="shared" si="30"/>
        <v>0</v>
      </c>
      <c r="N84" s="2401">
        <f t="shared" si="30"/>
        <v>0</v>
      </c>
      <c r="AC84" s="1400"/>
      <c r="AD84" s="1399"/>
      <c r="AJ84" s="1398"/>
      <c r="AN84" s="1399"/>
    </row>
    <row r="85" spans="1:40" ht="26">
      <c r="A85" s="1062" t="s">
        <v>1027</v>
      </c>
      <c r="B85" s="2372" t="str">
        <f>估价对象房地状况!G20</f>
        <v>估价对象所在区域基础设施水平</v>
      </c>
      <c r="C85" s="1049"/>
      <c r="D85" s="2380">
        <f t="shared" si="26"/>
        <v>0</v>
      </c>
      <c r="E85" s="2408"/>
      <c r="F85" s="2409"/>
      <c r="G85" s="2378"/>
      <c r="H85" s="2424" t="str">
        <f t="shared" si="27"/>
        <v>——</v>
      </c>
      <c r="I85" s="2398">
        <v>0.15</v>
      </c>
      <c r="J85" s="2401">
        <f t="shared" si="28"/>
        <v>0</v>
      </c>
      <c r="K85" s="2401">
        <f t="shared" si="29"/>
        <v>0</v>
      </c>
      <c r="L85" s="2401">
        <v>0</v>
      </c>
      <c r="M85" s="2401">
        <f t="shared" si="30"/>
        <v>0</v>
      </c>
      <c r="N85" s="2401">
        <f t="shared" si="30"/>
        <v>0</v>
      </c>
      <c r="AC85" s="1400"/>
      <c r="AD85" s="1399"/>
      <c r="AJ85" s="1398"/>
      <c r="AN85" s="1399"/>
    </row>
    <row r="86" spans="1:40" ht="26">
      <c r="A86" s="1062" t="s">
        <v>1025</v>
      </c>
      <c r="B86" s="3047" t="s">
        <v>2934</v>
      </c>
      <c r="C86" s="1049"/>
      <c r="D86" s="2380">
        <f t="shared" si="26"/>
        <v>0</v>
      </c>
      <c r="E86" s="2408"/>
      <c r="F86" s="2409"/>
      <c r="G86" s="2378"/>
      <c r="H86" s="2424" t="str">
        <f t="shared" si="27"/>
        <v>——</v>
      </c>
      <c r="I86" s="2398">
        <v>0.05</v>
      </c>
      <c r="J86" s="2401">
        <f t="shared" si="28"/>
        <v>0</v>
      </c>
      <c r="K86" s="2401">
        <f t="shared" si="29"/>
        <v>0</v>
      </c>
      <c r="L86" s="2401">
        <v>0</v>
      </c>
      <c r="M86" s="2401">
        <f t="shared" si="30"/>
        <v>0</v>
      </c>
      <c r="N86" s="2401">
        <f t="shared" si="30"/>
        <v>0</v>
      </c>
      <c r="AC86" s="1400"/>
      <c r="AD86" s="1399"/>
      <c r="AJ86" s="1398"/>
      <c r="AN86" s="1399"/>
    </row>
    <row r="87" spans="1:40" ht="39.5" thickBot="1">
      <c r="A87" s="2404" t="s">
        <v>1038</v>
      </c>
      <c r="B87" s="2373" t="str">
        <f>估价对象房地状况!G18</f>
        <v>该园区内是否有污染型企业，绿化情况，卫生条件，整体环境状况判断</v>
      </c>
      <c r="C87" s="1049"/>
      <c r="D87" s="2380">
        <f t="shared" si="26"/>
        <v>0</v>
      </c>
      <c r="E87" s="2410"/>
      <c r="F87" s="2409"/>
      <c r="G87" s="2378"/>
      <c r="H87" s="2424" t="str">
        <f t="shared" si="27"/>
        <v>——</v>
      </c>
      <c r="I87" s="2405">
        <v>0.06</v>
      </c>
      <c r="J87" s="2401">
        <f t="shared" si="28"/>
        <v>0</v>
      </c>
      <c r="K87" s="2401">
        <f t="shared" si="29"/>
        <v>0</v>
      </c>
      <c r="L87" s="2401">
        <v>0</v>
      </c>
      <c r="M87" s="2401">
        <f t="shared" si="30"/>
        <v>0</v>
      </c>
      <c r="N87" s="2401">
        <f t="shared" si="30"/>
        <v>0</v>
      </c>
      <c r="AC87" s="1400"/>
      <c r="AD87" s="1399"/>
      <c r="AJ87" s="1398"/>
      <c r="AN87" s="1399"/>
    </row>
    <row r="90" spans="1:40">
      <c r="A90" s="3439" t="s">
        <v>1633</v>
      </c>
      <c r="B90" s="3439"/>
      <c r="C90" s="3439"/>
      <c r="D90" s="3439"/>
      <c r="E90" s="3439"/>
      <c r="F90" s="3439"/>
      <c r="G90" s="3439"/>
      <c r="H90" s="3439"/>
      <c r="I90" s="3439"/>
      <c r="J90" s="3439"/>
      <c r="K90" s="2413"/>
      <c r="L90" s="2413"/>
      <c r="M90" s="2413"/>
      <c r="N90" s="2413"/>
    </row>
    <row r="91" spans="1:40">
      <c r="A91" s="3440" t="s">
        <v>1443</v>
      </c>
      <c r="B91" s="3440" t="s">
        <v>1634</v>
      </c>
      <c r="C91" s="1135" t="s">
        <v>1635</v>
      </c>
      <c r="D91" s="1136"/>
      <c r="E91" s="1136"/>
      <c r="F91" s="1136"/>
      <c r="G91" s="1136"/>
      <c r="H91" s="1136"/>
      <c r="I91" s="1136"/>
      <c r="J91" s="1137"/>
      <c r="K91" s="1129"/>
      <c r="L91" s="1129"/>
      <c r="M91" s="1129"/>
      <c r="N91" s="1129"/>
    </row>
    <row r="92" spans="1:40">
      <c r="A92" s="3440"/>
      <c r="B92" s="3440"/>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6"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7"/>
      <c r="B99" s="1138" t="s">
        <v>1636</v>
      </c>
      <c r="C99" s="1140">
        <f>$I$3</f>
        <v>0</v>
      </c>
      <c r="D99" s="1140">
        <f t="shared" ref="D99:N99" si="31">$I$3</f>
        <v>0</v>
      </c>
      <c r="E99" s="1140">
        <f t="shared" si="31"/>
        <v>0</v>
      </c>
      <c r="F99" s="1140">
        <f t="shared" si="31"/>
        <v>0</v>
      </c>
      <c r="G99" s="1140">
        <f t="shared" si="31"/>
        <v>0</v>
      </c>
      <c r="H99" s="1140">
        <f t="shared" si="31"/>
        <v>0</v>
      </c>
      <c r="I99" s="1140">
        <f t="shared" si="31"/>
        <v>0</v>
      </c>
      <c r="J99" s="1140">
        <f t="shared" si="31"/>
        <v>0</v>
      </c>
      <c r="K99" s="1140">
        <f t="shared" si="31"/>
        <v>0</v>
      </c>
      <c r="L99" s="1140">
        <f t="shared" si="31"/>
        <v>0</v>
      </c>
      <c r="M99" s="1140">
        <f t="shared" si="31"/>
        <v>0</v>
      </c>
      <c r="N99" s="1140">
        <f t="shared" si="31"/>
        <v>0</v>
      </c>
    </row>
    <row r="100" spans="1:14">
      <c r="A100" s="3428"/>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26" t="s">
        <v>1637</v>
      </c>
      <c r="B101" s="1142" t="s">
        <v>906</v>
      </c>
      <c r="C101" s="1143">
        <f>$G$3</f>
        <v>0.9</v>
      </c>
      <c r="D101" s="1143">
        <f t="shared" ref="D101:N101" si="32">$G$3</f>
        <v>0.9</v>
      </c>
      <c r="E101" s="1143">
        <f t="shared" si="32"/>
        <v>0.9</v>
      </c>
      <c r="F101" s="1143">
        <f t="shared" si="32"/>
        <v>0.9</v>
      </c>
      <c r="G101" s="1143">
        <f t="shared" si="32"/>
        <v>0.9</v>
      </c>
      <c r="H101" s="1143">
        <f t="shared" si="32"/>
        <v>0.9</v>
      </c>
      <c r="I101" s="1143">
        <f t="shared" si="32"/>
        <v>0.9</v>
      </c>
      <c r="J101" s="1143">
        <f t="shared" si="32"/>
        <v>0.9</v>
      </c>
      <c r="K101" s="1143">
        <f t="shared" si="32"/>
        <v>0.9</v>
      </c>
      <c r="L101" s="1143">
        <f t="shared" si="32"/>
        <v>0.9</v>
      </c>
      <c r="M101" s="1143">
        <f t="shared" si="32"/>
        <v>0.9</v>
      </c>
      <c r="N101" s="1143">
        <f t="shared" si="32"/>
        <v>0.9</v>
      </c>
    </row>
    <row r="102" spans="1:14">
      <c r="A102" s="3427"/>
      <c r="B102" s="1138">
        <v>1</v>
      </c>
      <c r="C102" s="1139">
        <f>1.9362/C101</f>
        <v>2.1513333333333331</v>
      </c>
      <c r="D102" s="1139">
        <f>1.9362/D101</f>
        <v>2.1513333333333331</v>
      </c>
      <c r="E102" s="1139">
        <f>1.8629/E101</f>
        <v>2.0698888888888889</v>
      </c>
      <c r="F102" s="1139">
        <f>1.8629/F101</f>
        <v>2.0698888888888889</v>
      </c>
      <c r="G102" s="1139">
        <f>1.8629/G101</f>
        <v>2.0698888888888889</v>
      </c>
      <c r="H102" s="1139">
        <f>1.8629/H101</f>
        <v>2.0698888888888889</v>
      </c>
      <c r="I102" s="1139">
        <f>1.8629/I101</f>
        <v>2.0698888888888889</v>
      </c>
      <c r="J102" s="1139">
        <f>1.942/J101</f>
        <v>2.1577777777777776</v>
      </c>
      <c r="K102" s="1139">
        <f>1.942/K101</f>
        <v>2.1577777777777776</v>
      </c>
      <c r="L102" s="1139">
        <f>1.942/L101</f>
        <v>2.1577777777777776</v>
      </c>
      <c r="M102" s="1139">
        <f>1.942/M101</f>
        <v>2.1577777777777776</v>
      </c>
      <c r="N102" s="1139">
        <f>1.942/N101</f>
        <v>2.1577777777777776</v>
      </c>
    </row>
    <row r="103" spans="1:14">
      <c r="A103" s="3427"/>
      <c r="B103" s="1138">
        <v>2</v>
      </c>
      <c r="C103" s="1139">
        <f>1.4198/C101</f>
        <v>1.5775555555555554</v>
      </c>
      <c r="D103" s="1139">
        <f>1.4198/D101</f>
        <v>1.5775555555555554</v>
      </c>
      <c r="E103" s="1139">
        <f>1.3372/E101</f>
        <v>1.4857777777777776</v>
      </c>
      <c r="F103" s="1139">
        <f>1.3372/F101</f>
        <v>1.4857777777777776</v>
      </c>
      <c r="G103" s="1139">
        <f>1.3372/G101</f>
        <v>1.4857777777777776</v>
      </c>
      <c r="H103" s="1139">
        <f>1.3372/H101</f>
        <v>1.4857777777777776</v>
      </c>
      <c r="I103" s="1139">
        <f>1.3372/I101</f>
        <v>1.4857777777777776</v>
      </c>
      <c r="J103" s="1139">
        <f>1.2799/J101</f>
        <v>1.4221111111111111</v>
      </c>
      <c r="K103" s="1139">
        <f>1.2799/K101</f>
        <v>1.4221111111111111</v>
      </c>
      <c r="L103" s="1139">
        <f>1.2799/L101</f>
        <v>1.4221111111111111</v>
      </c>
      <c r="M103" s="1139">
        <f>1.2799/M101</f>
        <v>1.4221111111111111</v>
      </c>
      <c r="N103" s="1139">
        <f>1.2799/N101</f>
        <v>1.4221111111111111</v>
      </c>
    </row>
    <row r="104" spans="1:14">
      <c r="A104" s="3427"/>
      <c r="B104" s="1138">
        <v>3</v>
      </c>
      <c r="C104" s="1139">
        <f>1.1594/C101</f>
        <v>1.2882222222222222</v>
      </c>
      <c r="D104" s="1139">
        <f>1.1594/D101</f>
        <v>1.2882222222222222</v>
      </c>
      <c r="E104" s="1139">
        <f>1.0788/E101</f>
        <v>1.1986666666666665</v>
      </c>
      <c r="F104" s="1139">
        <f>1.0788/F101</f>
        <v>1.1986666666666665</v>
      </c>
      <c r="G104" s="1139">
        <f>1.0788/G101</f>
        <v>1.1986666666666665</v>
      </c>
      <c r="H104" s="1139">
        <f>1.0788/H101</f>
        <v>1.1986666666666665</v>
      </c>
      <c r="I104" s="1139">
        <f>1.0788/I101</f>
        <v>1.1986666666666665</v>
      </c>
      <c r="J104" s="1139">
        <f>1.0072/J101</f>
        <v>1.1191111111111112</v>
      </c>
      <c r="K104" s="1139">
        <f>1.0072/K101</f>
        <v>1.1191111111111112</v>
      </c>
      <c r="L104" s="1139">
        <f>1.0072/L101</f>
        <v>1.1191111111111112</v>
      </c>
      <c r="M104" s="1139">
        <f>1.0072/M101</f>
        <v>1.1191111111111112</v>
      </c>
      <c r="N104" s="1139">
        <f>1.0072/N101</f>
        <v>1.1191111111111112</v>
      </c>
    </row>
    <row r="105" spans="1:14">
      <c r="A105" s="3427"/>
      <c r="B105" s="1138">
        <v>4</v>
      </c>
      <c r="C105" s="1139">
        <f>0.9622/C101</f>
        <v>1.0691111111111111</v>
      </c>
      <c r="D105" s="1139">
        <f>0.9622/D101</f>
        <v>1.0691111111111111</v>
      </c>
      <c r="E105" s="1139">
        <f>0.8656/E101</f>
        <v>0.96177777777777784</v>
      </c>
      <c r="F105" s="1139">
        <f>0.8656/F101</f>
        <v>0.96177777777777784</v>
      </c>
      <c r="G105" s="1139">
        <f>0.8656/G101</f>
        <v>0.96177777777777784</v>
      </c>
      <c r="H105" s="1139">
        <f>0.8656/H101</f>
        <v>0.96177777777777784</v>
      </c>
      <c r="I105" s="1139">
        <f>0.8656/I101</f>
        <v>0.96177777777777784</v>
      </c>
      <c r="J105" s="1139">
        <f>0.7525/J101</f>
        <v>0.83611111111111103</v>
      </c>
      <c r="K105" s="1139">
        <f>0.7525/K101</f>
        <v>0.83611111111111103</v>
      </c>
      <c r="L105" s="1139">
        <f>0.7525/L101</f>
        <v>0.83611111111111103</v>
      </c>
      <c r="M105" s="1139">
        <f>0.7525/M101</f>
        <v>0.83611111111111103</v>
      </c>
      <c r="N105" s="1139">
        <f>0.7525/N101</f>
        <v>0.83611111111111103</v>
      </c>
    </row>
    <row r="106" spans="1:14">
      <c r="A106" s="3427"/>
      <c r="B106" s="1138">
        <v>5</v>
      </c>
      <c r="C106" s="1139">
        <f>0.8417/C101</f>
        <v>0.93522222222222218</v>
      </c>
      <c r="D106" s="1139">
        <f>0.8417/D101</f>
        <v>0.93522222222222218</v>
      </c>
      <c r="E106" s="1139">
        <f>0.7371/E101</f>
        <v>0.81899999999999995</v>
      </c>
      <c r="F106" s="1139">
        <f>0.7371/F101</f>
        <v>0.81899999999999995</v>
      </c>
      <c r="G106" s="1139">
        <f>0.7371/G101</f>
        <v>0.81899999999999995</v>
      </c>
      <c r="H106" s="1139">
        <f>0.7371/H101</f>
        <v>0.81899999999999995</v>
      </c>
      <c r="I106" s="1139">
        <f>0.7371/I101</f>
        <v>0.81899999999999995</v>
      </c>
      <c r="J106" s="1139">
        <f>0.5659/J101</f>
        <v>0.62877777777777777</v>
      </c>
      <c r="K106" s="1139">
        <f>0.5659/K101</f>
        <v>0.62877777777777777</v>
      </c>
      <c r="L106" s="1139">
        <f>0.5659/L101</f>
        <v>0.62877777777777777</v>
      </c>
      <c r="M106" s="1139">
        <f>0.5659/M101</f>
        <v>0.62877777777777777</v>
      </c>
      <c r="N106" s="1139">
        <f>0.5659/N101</f>
        <v>0.62877777777777777</v>
      </c>
    </row>
    <row r="107" spans="1:14">
      <c r="A107" s="3427"/>
      <c r="B107" s="1138">
        <v>6</v>
      </c>
      <c r="C107" s="1139">
        <f>0.7608/C101</f>
        <v>0.84533333333333338</v>
      </c>
      <c r="D107" s="1139">
        <f>0.7608/D101</f>
        <v>0.84533333333333338</v>
      </c>
      <c r="E107" s="1139">
        <f>0.6482/E101</f>
        <v>0.72022222222222221</v>
      </c>
      <c r="F107" s="1139">
        <f>0.6482/F101</f>
        <v>0.72022222222222221</v>
      </c>
      <c r="G107" s="1139">
        <f>0.6482/G101</f>
        <v>0.72022222222222221</v>
      </c>
      <c r="H107" s="1139">
        <f>0.6482/H101</f>
        <v>0.72022222222222221</v>
      </c>
      <c r="I107" s="1139">
        <f>0.6482/I101</f>
        <v>0.72022222222222221</v>
      </c>
      <c r="J107" s="1139">
        <f>0.4525/J101</f>
        <v>0.50277777777777777</v>
      </c>
      <c r="K107" s="1139">
        <f>0.4525/K101</f>
        <v>0.50277777777777777</v>
      </c>
      <c r="L107" s="1139">
        <f>0.4525/L101</f>
        <v>0.50277777777777777</v>
      </c>
      <c r="M107" s="1139">
        <f>0.4525/M101</f>
        <v>0.50277777777777777</v>
      </c>
      <c r="N107" s="1139">
        <f>0.4525/N101</f>
        <v>0.50277777777777777</v>
      </c>
    </row>
    <row r="108" spans="1:14">
      <c r="A108" s="3427"/>
      <c r="B108" s="3429" t="s">
        <v>1638</v>
      </c>
      <c r="C108" s="1140">
        <f>C99</f>
        <v>0</v>
      </c>
      <c r="D108" s="1140">
        <f t="shared" ref="D108:N108" si="33">D99</f>
        <v>0</v>
      </c>
      <c r="E108" s="1140">
        <f t="shared" si="33"/>
        <v>0</v>
      </c>
      <c r="F108" s="1140">
        <f t="shared" si="33"/>
        <v>0</v>
      </c>
      <c r="G108" s="1140">
        <f t="shared" si="33"/>
        <v>0</v>
      </c>
      <c r="H108" s="1140">
        <f t="shared" si="33"/>
        <v>0</v>
      </c>
      <c r="I108" s="1140">
        <f t="shared" si="33"/>
        <v>0</v>
      </c>
      <c r="J108" s="1140">
        <f t="shared" si="33"/>
        <v>0</v>
      </c>
      <c r="K108" s="1140">
        <f t="shared" si="33"/>
        <v>0</v>
      </c>
      <c r="L108" s="1140">
        <f t="shared" si="33"/>
        <v>0</v>
      </c>
      <c r="M108" s="1140">
        <f t="shared" si="33"/>
        <v>0</v>
      </c>
      <c r="N108" s="1140">
        <f t="shared" si="33"/>
        <v>0</v>
      </c>
    </row>
    <row r="109" spans="1:14">
      <c r="A109" s="3428"/>
      <c r="B109" s="3430"/>
      <c r="C109" s="1141">
        <f>(-0.163*(C108^2)-0.59*C108+7617)*(10^(-4))/C101</f>
        <v>0.84633333333333338</v>
      </c>
      <c r="D109" s="1141">
        <f>(-0.163*(D108^2)-0.59*D108+7617)*(10^(-4))/D101</f>
        <v>0.84633333333333338</v>
      </c>
      <c r="E109" s="1141">
        <f>(-0.161*(E108^2)-7.509*E108+6533)*(10^(-4))/E101</f>
        <v>0.72588888888888892</v>
      </c>
      <c r="F109" s="1141">
        <f>(-0.161*(F108^2)-7.509*F108+6533)*(10^(-4))/F101</f>
        <v>0.72588888888888892</v>
      </c>
      <c r="G109" s="1141">
        <f>(-0.161*(G108^2)-7.509*G108+6533)*(10^(-4))/G101</f>
        <v>0.72588888888888892</v>
      </c>
      <c r="H109" s="1141">
        <f>(-0.161*(H108^2)-7.509*H108+6533)*(10^(-4))/H101</f>
        <v>0.72588888888888892</v>
      </c>
      <c r="I109" s="1141">
        <f>(-0.161*(I108^2)-7.509*I108+6533)*(10^(-4))/I101</f>
        <v>0.72588888888888892</v>
      </c>
      <c r="J109" s="1141">
        <f>(-0.214*(J108^2)-21.991*J108+4665)*(10^(-4))/J101</f>
        <v>0.51833333333333331</v>
      </c>
      <c r="K109" s="1141">
        <f>(-0.214*(K108^2)-21.991*K108+4665)*(10^(-4))/K101</f>
        <v>0.51833333333333331</v>
      </c>
      <c r="L109" s="1141">
        <f>(-0.214*(L108^2)-21.991*L108+4665)*(10^(-4))/L101</f>
        <v>0.51833333333333331</v>
      </c>
      <c r="M109" s="1141">
        <f>(-0.214*(M108^2)-21.991*M108+4665)*(10^(-4))/M101</f>
        <v>0.51833333333333331</v>
      </c>
      <c r="N109" s="1141">
        <f>(-0.214*(N108^2)-21.991*N108+4665)*(10^(-4))/N101</f>
        <v>0.51833333333333331</v>
      </c>
    </row>
    <row r="110" spans="1:14">
      <c r="A110" s="3433" t="s">
        <v>1639</v>
      </c>
      <c r="B110" s="3433"/>
      <c r="C110" s="3433"/>
      <c r="D110" s="3433"/>
      <c r="E110" s="3433"/>
      <c r="F110" s="3433"/>
      <c r="G110" s="3433"/>
      <c r="H110" s="3433"/>
      <c r="I110" s="3433"/>
      <c r="J110" s="3433"/>
      <c r="K110" s="2411"/>
      <c r="L110" s="2411"/>
      <c r="M110" s="2411"/>
      <c r="N110" s="2411"/>
    </row>
    <row r="112" spans="1:14" ht="13.5" thickBot="1"/>
    <row r="113" spans="1:13" ht="26" thickBot="1">
      <c r="A113" s="1015" t="s">
        <v>896</v>
      </c>
      <c r="B113" s="2414">
        <f>G3</f>
        <v>0.9</v>
      </c>
      <c r="C113" s="1016" t="s">
        <v>897</v>
      </c>
      <c r="D113" s="1017">
        <f>SUMPRODUCT((A115:A118=F113)*(B114:M114=H113)*B115:M118)</f>
        <v>0.84499999999999997</v>
      </c>
      <c r="E113" s="1018" t="s">
        <v>898</v>
      </c>
      <c r="F113" s="1019" t="str">
        <f>E2</f>
        <v>办公</v>
      </c>
      <c r="G113" s="1018" t="s">
        <v>899</v>
      </c>
      <c r="H113" s="1019" t="str">
        <f>G2</f>
        <v>六级</v>
      </c>
      <c r="I113" s="1018"/>
      <c r="J113" s="1010"/>
      <c r="K113" s="1010"/>
      <c r="L113" s="1010"/>
      <c r="M113" s="1010"/>
    </row>
    <row r="114" spans="1:13">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c r="A115" s="1028" t="s">
        <v>900</v>
      </c>
      <c r="B115" s="1029">
        <f>ROUND(0.9335-0.0094*B113,4)</f>
        <v>0.92500000000000004</v>
      </c>
      <c r="C115" s="1029">
        <f>B115</f>
        <v>0.92500000000000004</v>
      </c>
      <c r="D115" s="1029">
        <f>ROUND(0.8331-0.0109*B113,4)</f>
        <v>0.82330000000000003</v>
      </c>
      <c r="E115" s="1029">
        <f>D115</f>
        <v>0.82330000000000003</v>
      </c>
      <c r="F115" s="1029">
        <f>E115</f>
        <v>0.82330000000000003</v>
      </c>
      <c r="G115" s="1029">
        <f>F115</f>
        <v>0.82330000000000003</v>
      </c>
      <c r="H115" s="1029">
        <f>G115</f>
        <v>0.82330000000000003</v>
      </c>
      <c r="I115" s="1029">
        <f>ROUND(0.689-0.0155*B113,4)</f>
        <v>0.67510000000000003</v>
      </c>
      <c r="J115" s="1029">
        <f t="shared" ref="J115:M118" si="34">I115</f>
        <v>0.67510000000000003</v>
      </c>
      <c r="K115" s="1029">
        <f t="shared" si="34"/>
        <v>0.67510000000000003</v>
      </c>
      <c r="L115" s="1029">
        <f t="shared" si="34"/>
        <v>0.67510000000000003</v>
      </c>
      <c r="M115" s="1030">
        <f t="shared" si="34"/>
        <v>0.67510000000000003</v>
      </c>
    </row>
    <row r="116" spans="1:13">
      <c r="A116" s="1028" t="s">
        <v>901</v>
      </c>
      <c r="B116" s="1029">
        <f>ROUND(0.949-0.012*B113,4)</f>
        <v>0.93820000000000003</v>
      </c>
      <c r="C116" s="1029">
        <f>B116</f>
        <v>0.93820000000000003</v>
      </c>
      <c r="D116" s="1029">
        <f>ROUND(0.8567-0.013*B113,4)</f>
        <v>0.84499999999999997</v>
      </c>
      <c r="E116" s="1029">
        <f t="shared" ref="E116:H117" si="35">D116</f>
        <v>0.84499999999999997</v>
      </c>
      <c r="F116" s="1029">
        <f t="shared" si="35"/>
        <v>0.84499999999999997</v>
      </c>
      <c r="G116" s="1029">
        <f t="shared" si="35"/>
        <v>0.84499999999999997</v>
      </c>
      <c r="H116" s="1029">
        <f t="shared" si="35"/>
        <v>0.84499999999999997</v>
      </c>
      <c r="I116" s="1029">
        <f>ROUND(0.7694-0.014*B113,4)</f>
        <v>0.75680000000000003</v>
      </c>
      <c r="J116" s="1029">
        <f t="shared" si="34"/>
        <v>0.75680000000000003</v>
      </c>
      <c r="K116" s="1029">
        <f t="shared" si="34"/>
        <v>0.75680000000000003</v>
      </c>
      <c r="L116" s="1029">
        <f t="shared" si="34"/>
        <v>0.75680000000000003</v>
      </c>
      <c r="M116" s="1030">
        <f t="shared" si="34"/>
        <v>0.75680000000000003</v>
      </c>
    </row>
    <row r="117" spans="1:13">
      <c r="A117" s="1031" t="s">
        <v>902</v>
      </c>
      <c r="B117" s="1029">
        <f>ROUND(0.8808-0.006*B113,4)</f>
        <v>0.87539999999999996</v>
      </c>
      <c r="C117" s="1029">
        <f>B117</f>
        <v>0.87539999999999996</v>
      </c>
      <c r="D117" s="1029">
        <f>ROUND(0.8748-0.008*B113,4)</f>
        <v>0.86760000000000004</v>
      </c>
      <c r="E117" s="1029">
        <f t="shared" si="35"/>
        <v>0.86760000000000004</v>
      </c>
      <c r="F117" s="1029">
        <f t="shared" si="35"/>
        <v>0.86760000000000004</v>
      </c>
      <c r="G117" s="1029">
        <f t="shared" si="35"/>
        <v>0.86760000000000004</v>
      </c>
      <c r="H117" s="1029">
        <f t="shared" si="35"/>
        <v>0.86760000000000004</v>
      </c>
      <c r="I117" s="1029">
        <f>ROUND(0.7412-0.0095*B113,4)</f>
        <v>0.73270000000000002</v>
      </c>
      <c r="J117" s="1029">
        <f t="shared" si="34"/>
        <v>0.73270000000000002</v>
      </c>
      <c r="K117" s="1029">
        <f t="shared" si="34"/>
        <v>0.73270000000000002</v>
      </c>
      <c r="L117" s="1029">
        <f t="shared" si="34"/>
        <v>0.73270000000000002</v>
      </c>
      <c r="M117" s="1030">
        <f t="shared" si="34"/>
        <v>0.73270000000000002</v>
      </c>
    </row>
    <row r="118" spans="1:13" ht="13.5" thickBot="1">
      <c r="A118" s="1032" t="s">
        <v>903</v>
      </c>
      <c r="B118" s="1033">
        <f>ROUND(0.7275-0.01*B113,4)</f>
        <v>0.71850000000000003</v>
      </c>
      <c r="C118" s="1033">
        <f>B118</f>
        <v>0.71850000000000003</v>
      </c>
      <c r="D118" s="1033">
        <f>ROUND(0.7043-0.012*B113,4)</f>
        <v>0.69350000000000001</v>
      </c>
      <c r="E118" s="1033">
        <f>D118</f>
        <v>0.69350000000000001</v>
      </c>
      <c r="F118" s="1033">
        <f>E118</f>
        <v>0.69350000000000001</v>
      </c>
      <c r="G118" s="1033">
        <f>ROUND(0.6299-0.0122*B113,4)</f>
        <v>0.61890000000000001</v>
      </c>
      <c r="H118" s="1033">
        <f>G118</f>
        <v>0.61890000000000001</v>
      </c>
      <c r="I118" s="1033">
        <f>ROUND(0.5667-0.0136*B113,4)</f>
        <v>0.55449999999999999</v>
      </c>
      <c r="J118" s="1033">
        <f t="shared" si="34"/>
        <v>0.55449999999999999</v>
      </c>
      <c r="K118" s="1033">
        <f t="shared" si="34"/>
        <v>0.55449999999999999</v>
      </c>
      <c r="L118" s="1033">
        <f t="shared" si="34"/>
        <v>0.55449999999999999</v>
      </c>
      <c r="M118" s="1034">
        <f t="shared" si="34"/>
        <v>0.55449999999999999</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1796875" defaultRowHeight="19.5" customHeight="1"/>
  <cols>
    <col min="1" max="1" width="13.6328125" style="1061" customWidth="1"/>
    <col min="2" max="9" width="8.1796875" style="1100" customWidth="1"/>
    <col min="10" max="13" width="8.1796875" style="1061"/>
    <col min="14" max="14" width="10" style="1061" customWidth="1"/>
    <col min="15" max="16" width="8.1796875" style="1061"/>
    <col min="17" max="17" width="34.08984375" style="1061" customWidth="1"/>
    <col min="18" max="18" width="8.1796875" style="1061" customWidth="1"/>
    <col min="19" max="19" width="8.1796875" style="1061"/>
    <col min="20" max="20" width="11.6328125" style="1061" customWidth="1"/>
    <col min="21" max="16384" width="8.1796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2985</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40" t="s">
        <v>1007</v>
      </c>
      <c r="B18" s="1149" t="s">
        <v>1446</v>
      </c>
      <c r="C18" s="1126" t="s">
        <v>1447</v>
      </c>
      <c r="D18" s="1127"/>
      <c r="E18" s="1149">
        <v>1</v>
      </c>
      <c r="F18" s="1128" t="s">
        <v>1448</v>
      </c>
      <c r="G18" s="1129"/>
      <c r="H18" s="1100"/>
      <c r="I18" s="1100"/>
    </row>
    <row r="19" spans="1:9" s="1583" customFormat="1" ht="19.5" customHeight="1">
      <c r="A19" s="3440"/>
      <c r="B19" s="3440" t="s">
        <v>1449</v>
      </c>
      <c r="C19" s="1126" t="s">
        <v>1450</v>
      </c>
      <c r="D19" s="1127"/>
      <c r="E19" s="1149">
        <v>0.9</v>
      </c>
      <c r="F19" s="1128" t="s">
        <v>1451</v>
      </c>
      <c r="G19" s="1129"/>
      <c r="H19" s="1100"/>
      <c r="I19" s="1100"/>
    </row>
    <row r="20" spans="1:9" s="1583" customFormat="1" ht="19.5" customHeight="1">
      <c r="A20" s="3440"/>
      <c r="B20" s="3440"/>
      <c r="C20" s="1126" t="s">
        <v>1452</v>
      </c>
      <c r="D20" s="1127"/>
      <c r="E20" s="1149">
        <v>1.1000000000000001</v>
      </c>
      <c r="F20" s="1128" t="s">
        <v>1453</v>
      </c>
      <c r="G20" s="1129"/>
      <c r="H20" s="1100"/>
      <c r="I20" s="1100"/>
    </row>
    <row r="21" spans="1:9" s="1583" customFormat="1" ht="19.5" customHeight="1">
      <c r="A21" s="3440"/>
      <c r="B21" s="3440"/>
      <c r="C21" s="1126" t="s">
        <v>1454</v>
      </c>
      <c r="D21" s="1127"/>
      <c r="E21" s="1149">
        <v>0.8</v>
      </c>
      <c r="F21" s="1128" t="s">
        <v>1455</v>
      </c>
      <c r="G21" s="1129"/>
      <c r="H21" s="1100"/>
      <c r="I21" s="1100"/>
    </row>
    <row r="22" spans="1:9" s="1583" customFormat="1" ht="19.5" customHeight="1">
      <c r="A22" s="3440"/>
      <c r="B22" s="3440"/>
      <c r="C22" s="1126" t="s">
        <v>1456</v>
      </c>
      <c r="D22" s="1127"/>
      <c r="E22" s="1149">
        <v>0.5</v>
      </c>
      <c r="F22" s="1128"/>
      <c r="G22" s="1129"/>
      <c r="H22" s="1100"/>
      <c r="I22" s="1100"/>
    </row>
    <row r="23" spans="1:9" s="1583" customFormat="1" ht="19.5" customHeight="1">
      <c r="A23" s="3440" t="s">
        <v>1029</v>
      </c>
      <c r="B23" s="1149" t="s">
        <v>1446</v>
      </c>
      <c r="C23" s="1126" t="s">
        <v>1457</v>
      </c>
      <c r="D23" s="1127"/>
      <c r="E23" s="1149">
        <v>1</v>
      </c>
      <c r="F23" s="1128" t="s">
        <v>1458</v>
      </c>
      <c r="G23" s="1129"/>
      <c r="H23" s="1100"/>
      <c r="I23" s="1100"/>
    </row>
    <row r="24" spans="1:9" s="1583" customFormat="1" ht="19.5" customHeight="1">
      <c r="A24" s="3440"/>
      <c r="B24" s="3440" t="s">
        <v>1449</v>
      </c>
      <c r="C24" s="1126" t="s">
        <v>1459</v>
      </c>
      <c r="D24" s="1127"/>
      <c r="E24" s="1149">
        <v>0.5</v>
      </c>
      <c r="F24" s="1128"/>
      <c r="G24" s="1129"/>
      <c r="H24" s="1100"/>
      <c r="I24" s="1100"/>
    </row>
    <row r="25" spans="1:9" s="1583" customFormat="1" ht="19.5" customHeight="1">
      <c r="A25" s="3440"/>
      <c r="B25" s="3440"/>
      <c r="C25" s="1126" t="s">
        <v>1460</v>
      </c>
      <c r="D25" s="1127"/>
      <c r="E25" s="1149">
        <v>1.1000000000000001</v>
      </c>
      <c r="F25" s="1128"/>
      <c r="G25" s="1129"/>
      <c r="H25" s="1100"/>
      <c r="I25" s="1100"/>
    </row>
    <row r="26" spans="1:9" s="1583" customFormat="1" ht="19.5" customHeight="1">
      <c r="A26" s="3440"/>
      <c r="B26" s="3440"/>
      <c r="C26" s="1126" t="s">
        <v>1461</v>
      </c>
      <c r="D26" s="1127"/>
      <c r="E26" s="1149">
        <v>1.1000000000000001</v>
      </c>
      <c r="F26" s="1128"/>
      <c r="G26" s="1129"/>
      <c r="H26" s="1100"/>
      <c r="I26" s="1100"/>
    </row>
    <row r="27" spans="1:9" s="1583" customFormat="1" ht="19.5" customHeight="1">
      <c r="A27" s="3440"/>
      <c r="B27" s="3440"/>
      <c r="C27" s="1126" t="s">
        <v>1462</v>
      </c>
      <c r="D27" s="1127"/>
      <c r="E27" s="1149">
        <v>0.9</v>
      </c>
      <c r="F27" s="1128" t="s">
        <v>1463</v>
      </c>
      <c r="G27" s="1129"/>
      <c r="H27" s="1100"/>
      <c r="I27" s="1100"/>
    </row>
    <row r="28" spans="1:9" s="1583" customFormat="1" ht="19.5" customHeight="1">
      <c r="A28" s="3440"/>
      <c r="B28" s="3440"/>
      <c r="C28" s="1126" t="s">
        <v>1464</v>
      </c>
      <c r="D28" s="1127"/>
      <c r="E28" s="1149">
        <v>0.9</v>
      </c>
      <c r="F28" s="1128" t="s">
        <v>1465</v>
      </c>
      <c r="G28" s="1129"/>
      <c r="H28" s="1100"/>
      <c r="I28" s="1100"/>
    </row>
    <row r="29" spans="1:9" s="1583" customFormat="1" ht="19.5" customHeight="1">
      <c r="A29" s="3440"/>
      <c r="B29" s="3440"/>
      <c r="C29" s="1126" t="s">
        <v>1466</v>
      </c>
      <c r="D29" s="1127"/>
      <c r="E29" s="1149">
        <v>0.9</v>
      </c>
      <c r="F29" s="1128" t="s">
        <v>1467</v>
      </c>
      <c r="G29" s="1129"/>
      <c r="H29" s="1100"/>
      <c r="I29" s="1100"/>
    </row>
    <row r="30" spans="1:9" s="1583" customFormat="1" ht="19.5" customHeight="1">
      <c r="A30" s="3440"/>
      <c r="B30" s="3440"/>
      <c r="C30" s="1126" t="s">
        <v>1468</v>
      </c>
      <c r="D30" s="1127"/>
      <c r="E30" s="1149">
        <v>0.9</v>
      </c>
      <c r="F30" s="1128" t="s">
        <v>1469</v>
      </c>
      <c r="G30" s="1129"/>
      <c r="H30" s="1100"/>
      <c r="I30" s="1100"/>
    </row>
    <row r="31" spans="1:9" s="1583" customFormat="1" ht="19.5" customHeight="1">
      <c r="A31" s="3440"/>
      <c r="B31" s="3440"/>
      <c r="C31" s="1126" t="s">
        <v>1470</v>
      </c>
      <c r="D31" s="1127"/>
      <c r="E31" s="1149">
        <v>0.8</v>
      </c>
      <c r="F31" s="1128" t="s">
        <v>1471</v>
      </c>
      <c r="G31" s="1129"/>
      <c r="H31" s="1100"/>
      <c r="I31" s="1100"/>
    </row>
    <row r="32" spans="1:9" s="1583" customFormat="1" ht="19.5" customHeight="1">
      <c r="A32" s="3440"/>
      <c r="B32" s="3440"/>
      <c r="C32" s="1126" t="s">
        <v>1472</v>
      </c>
      <c r="D32" s="1127"/>
      <c r="E32" s="1149">
        <v>0.8</v>
      </c>
      <c r="F32" s="1128" t="s">
        <v>1473</v>
      </c>
      <c r="G32" s="1129"/>
      <c r="H32" s="1100"/>
      <c r="I32" s="1100"/>
    </row>
    <row r="33" spans="1:9" s="1583" customFormat="1" ht="19.5" customHeight="1">
      <c r="A33" s="3440" t="s">
        <v>1474</v>
      </c>
      <c r="B33" s="1149" t="s">
        <v>1446</v>
      </c>
      <c r="C33" s="1126" t="s">
        <v>1475</v>
      </c>
      <c r="D33" s="1127"/>
      <c r="E33" s="1149">
        <v>1</v>
      </c>
      <c r="F33" s="1128" t="s">
        <v>1476</v>
      </c>
      <c r="G33" s="1129"/>
      <c r="H33" s="1100"/>
      <c r="I33" s="1100"/>
    </row>
    <row r="34" spans="1:9" s="1583" customFormat="1" ht="19.5" customHeight="1">
      <c r="A34" s="3440"/>
      <c r="B34" s="1149" t="s">
        <v>1449</v>
      </c>
      <c r="C34" s="1126" t="s">
        <v>1477</v>
      </c>
      <c r="D34" s="1127"/>
      <c r="E34" s="1149">
        <v>1.5</v>
      </c>
      <c r="F34" s="1128" t="s">
        <v>1478</v>
      </c>
      <c r="G34" s="1129"/>
      <c r="H34" s="1100"/>
      <c r="I34" s="1100"/>
    </row>
    <row r="35" spans="1:9" s="1583" customFormat="1" ht="19.5" customHeight="1">
      <c r="A35" s="3440" t="s">
        <v>1432</v>
      </c>
      <c r="B35" s="1149" t="s">
        <v>1446</v>
      </c>
      <c r="C35" s="1126" t="s">
        <v>1479</v>
      </c>
      <c r="D35" s="1127"/>
      <c r="E35" s="1149">
        <v>1</v>
      </c>
      <c r="F35" s="1128" t="s">
        <v>1480</v>
      </c>
      <c r="G35" s="1129"/>
      <c r="H35" s="1100"/>
      <c r="I35" s="1100"/>
    </row>
    <row r="36" spans="1:9" s="1583" customFormat="1" ht="19.5" customHeight="1">
      <c r="A36" s="3440"/>
      <c r="B36" s="3440" t="s">
        <v>1449</v>
      </c>
      <c r="C36" s="1126" t="s">
        <v>1481</v>
      </c>
      <c r="D36" s="1127"/>
      <c r="E36" s="1149">
        <v>1</v>
      </c>
      <c r="F36" s="1128" t="s">
        <v>1482</v>
      </c>
      <c r="G36" s="1129"/>
      <c r="H36" s="1100"/>
      <c r="I36" s="1100"/>
    </row>
    <row r="37" spans="1:9" s="1583" customFormat="1" ht="19.5" customHeight="1">
      <c r="A37" s="3440"/>
      <c r="B37" s="3440"/>
      <c r="C37" s="1126" t="s">
        <v>1483</v>
      </c>
      <c r="D37" s="1127"/>
      <c r="E37" s="1149">
        <v>1.5</v>
      </c>
      <c r="F37" s="1128" t="s">
        <v>1484</v>
      </c>
      <c r="G37" s="1129"/>
      <c r="H37" s="1100"/>
      <c r="I37" s="1100"/>
    </row>
    <row r="38" spans="1:9" s="1583" customFormat="1" ht="19.5" customHeight="1">
      <c r="A38" s="3440"/>
      <c r="B38" s="3440"/>
      <c r="C38" s="1126" t="s">
        <v>1485</v>
      </c>
      <c r="D38" s="1127"/>
      <c r="E38" s="1149">
        <v>1</v>
      </c>
      <c r="F38" s="1128" t="s">
        <v>1486</v>
      </c>
      <c r="G38" s="1129"/>
      <c r="H38" s="1100"/>
      <c r="I38" s="1100"/>
    </row>
    <row r="39" spans="1:9" s="1583" customFormat="1" ht="19.5" customHeight="1">
      <c r="A39" s="3440"/>
      <c r="B39" s="3440"/>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6">
      <c r="A61" s="1149">
        <v>1</v>
      </c>
      <c r="B61" s="3440" t="s">
        <v>1501</v>
      </c>
      <c r="C61" s="1063" t="s">
        <v>1502</v>
      </c>
      <c r="D61" s="1063" t="s">
        <v>1503</v>
      </c>
      <c r="E61" s="1134">
        <v>0.5</v>
      </c>
      <c r="F61" s="1149">
        <v>80</v>
      </c>
      <c r="H61" s="1100">
        <f>SUMIF(C59:C119,基准地价!C8,E59:E119)</f>
        <v>0</v>
      </c>
    </row>
    <row r="62" spans="1:8" s="1100" customFormat="1" ht="26">
      <c r="A62" s="1149">
        <v>2</v>
      </c>
      <c r="B62" s="3440"/>
      <c r="C62" s="1063" t="s">
        <v>1504</v>
      </c>
      <c r="D62" s="1063" t="s">
        <v>1505</v>
      </c>
      <c r="E62" s="1134">
        <v>0.5</v>
      </c>
      <c r="F62" s="1149">
        <v>80</v>
      </c>
    </row>
    <row r="63" spans="1:8" s="1100" customFormat="1" ht="39">
      <c r="A63" s="1149">
        <v>3</v>
      </c>
      <c r="B63" s="3440"/>
      <c r="C63" s="1063" t="s">
        <v>1506</v>
      </c>
      <c r="D63" s="1063" t="s">
        <v>1507</v>
      </c>
      <c r="E63" s="1134">
        <v>0.5</v>
      </c>
      <c r="F63" s="1149">
        <v>80</v>
      </c>
    </row>
    <row r="64" spans="1:8" s="1100" customFormat="1" ht="39">
      <c r="A64" s="1149">
        <v>4</v>
      </c>
      <c r="B64" s="3440"/>
      <c r="C64" s="1063" t="s">
        <v>1508</v>
      </c>
      <c r="D64" s="1063" t="s">
        <v>1509</v>
      </c>
      <c r="E64" s="1134">
        <v>0.4</v>
      </c>
      <c r="F64" s="1149">
        <v>60</v>
      </c>
    </row>
    <row r="65" spans="1:6" s="1100" customFormat="1" ht="39">
      <c r="A65" s="1149">
        <v>5</v>
      </c>
      <c r="B65" s="3440"/>
      <c r="C65" s="1063" t="s">
        <v>1510</v>
      </c>
      <c r="D65" s="1063" t="s">
        <v>1511</v>
      </c>
      <c r="E65" s="1134">
        <v>0.2</v>
      </c>
      <c r="F65" s="1149">
        <v>30</v>
      </c>
    </row>
    <row r="66" spans="1:6" s="1100" customFormat="1" ht="39">
      <c r="A66" s="1149">
        <v>6</v>
      </c>
      <c r="B66" s="3440"/>
      <c r="C66" s="1063" t="s">
        <v>1512</v>
      </c>
      <c r="D66" s="1063" t="s">
        <v>1513</v>
      </c>
      <c r="E66" s="1134">
        <v>0.3</v>
      </c>
      <c r="F66" s="1149">
        <v>50</v>
      </c>
    </row>
    <row r="67" spans="1:6" s="1100" customFormat="1" ht="39">
      <c r="A67" s="1149">
        <v>7</v>
      </c>
      <c r="B67" s="3440"/>
      <c r="C67" s="1063" t="s">
        <v>1514</v>
      </c>
      <c r="D67" s="1063" t="s">
        <v>1515</v>
      </c>
      <c r="E67" s="1134">
        <v>0.2</v>
      </c>
      <c r="F67" s="1149">
        <v>30</v>
      </c>
    </row>
    <row r="68" spans="1:6" s="1100" customFormat="1" ht="39">
      <c r="A68" s="1149">
        <v>8</v>
      </c>
      <c r="B68" s="3440"/>
      <c r="C68" s="1063" t="s">
        <v>1516</v>
      </c>
      <c r="D68" s="1063" t="s">
        <v>1517</v>
      </c>
      <c r="E68" s="1134">
        <v>0.2</v>
      </c>
      <c r="F68" s="1149">
        <v>30</v>
      </c>
    </row>
    <row r="69" spans="1:6" s="1100" customFormat="1" ht="39">
      <c r="A69" s="1149">
        <v>9</v>
      </c>
      <c r="B69" s="3440"/>
      <c r="C69" s="1063" t="s">
        <v>1518</v>
      </c>
      <c r="D69" s="1063" t="s">
        <v>1519</v>
      </c>
      <c r="E69" s="1134">
        <v>0.2</v>
      </c>
      <c r="F69" s="1149">
        <v>30</v>
      </c>
    </row>
    <row r="70" spans="1:6" s="1100" customFormat="1" ht="52">
      <c r="A70" s="1149">
        <v>10</v>
      </c>
      <c r="B70" s="3440"/>
      <c r="C70" s="1063" t="s">
        <v>1520</v>
      </c>
      <c r="D70" s="1063" t="s">
        <v>1521</v>
      </c>
      <c r="E70" s="1134">
        <v>0.2</v>
      </c>
      <c r="F70" s="1149">
        <v>30</v>
      </c>
    </row>
    <row r="71" spans="1:6" s="1100" customFormat="1" ht="52">
      <c r="A71" s="1149">
        <v>11</v>
      </c>
      <c r="B71" s="3440"/>
      <c r="C71" s="1063" t="s">
        <v>1522</v>
      </c>
      <c r="D71" s="1063" t="s">
        <v>1523</v>
      </c>
      <c r="E71" s="1134">
        <v>0.2</v>
      </c>
      <c r="F71" s="1149">
        <v>30</v>
      </c>
    </row>
    <row r="72" spans="1:6" s="1100" customFormat="1" ht="39">
      <c r="A72" s="1149">
        <v>12</v>
      </c>
      <c r="B72" s="3440"/>
      <c r="C72" s="1063" t="s">
        <v>1524</v>
      </c>
      <c r="D72" s="1063" t="s">
        <v>1525</v>
      </c>
      <c r="E72" s="1134">
        <v>0.5</v>
      </c>
      <c r="F72" s="1149">
        <v>80</v>
      </c>
    </row>
    <row r="73" spans="1:6" s="1100" customFormat="1" ht="26">
      <c r="A73" s="1149">
        <v>13</v>
      </c>
      <c r="B73" s="3440"/>
      <c r="C73" s="1063" t="s">
        <v>1526</v>
      </c>
      <c r="D73" s="1063" t="s">
        <v>1527</v>
      </c>
      <c r="E73" s="1134">
        <v>0.4</v>
      </c>
      <c r="F73" s="1149">
        <v>60</v>
      </c>
    </row>
    <row r="74" spans="1:6" s="1100" customFormat="1" ht="26">
      <c r="A74" s="1149">
        <v>14</v>
      </c>
      <c r="B74" s="3440"/>
      <c r="C74" s="1063" t="s">
        <v>1528</v>
      </c>
      <c r="D74" s="1063" t="s">
        <v>1529</v>
      </c>
      <c r="E74" s="1134">
        <v>0.2</v>
      </c>
      <c r="F74" s="1149">
        <v>30</v>
      </c>
    </row>
    <row r="75" spans="1:6" s="1100" customFormat="1" ht="26">
      <c r="A75" s="1149">
        <v>15</v>
      </c>
      <c r="B75" s="3440"/>
      <c r="C75" s="1063" t="s">
        <v>1530</v>
      </c>
      <c r="D75" s="1063" t="s">
        <v>1531</v>
      </c>
      <c r="E75" s="1134">
        <v>0.2</v>
      </c>
      <c r="F75" s="1149">
        <v>30</v>
      </c>
    </row>
    <row r="76" spans="1:6" s="1100" customFormat="1" ht="26">
      <c r="A76" s="1149">
        <v>16</v>
      </c>
      <c r="B76" s="3440" t="s">
        <v>1532</v>
      </c>
      <c r="C76" s="1063" t="s">
        <v>1533</v>
      </c>
      <c r="D76" s="1063" t="s">
        <v>1534</v>
      </c>
      <c r="E76" s="1134">
        <v>0.5</v>
      </c>
      <c r="F76" s="1149">
        <v>80</v>
      </c>
    </row>
    <row r="77" spans="1:6" s="1100" customFormat="1" ht="26">
      <c r="A77" s="1149">
        <v>17</v>
      </c>
      <c r="B77" s="3440"/>
      <c r="C77" s="1063" t="s">
        <v>1535</v>
      </c>
      <c r="D77" s="1063" t="s">
        <v>1536</v>
      </c>
      <c r="E77" s="1134">
        <v>0.5</v>
      </c>
      <c r="F77" s="1149">
        <v>80</v>
      </c>
    </row>
    <row r="78" spans="1:6" s="1100" customFormat="1" ht="26">
      <c r="A78" s="1149">
        <v>18</v>
      </c>
      <c r="B78" s="3440"/>
      <c r="C78" s="1063" t="s">
        <v>1537</v>
      </c>
      <c r="D78" s="1063" t="s">
        <v>1538</v>
      </c>
      <c r="E78" s="1134">
        <v>0.2</v>
      </c>
      <c r="F78" s="1149">
        <v>30</v>
      </c>
    </row>
    <row r="79" spans="1:6" s="1100" customFormat="1" ht="26">
      <c r="A79" s="1149">
        <v>19</v>
      </c>
      <c r="B79" s="3440"/>
      <c r="C79" s="1063" t="s">
        <v>1539</v>
      </c>
      <c r="D79" s="1063" t="s">
        <v>1540</v>
      </c>
      <c r="E79" s="1134">
        <v>0.5</v>
      </c>
      <c r="F79" s="1149">
        <v>80</v>
      </c>
    </row>
    <row r="80" spans="1:6" s="1100" customFormat="1" ht="39">
      <c r="A80" s="1149">
        <v>20</v>
      </c>
      <c r="B80" s="3440"/>
      <c r="C80" s="1063" t="s">
        <v>1541</v>
      </c>
      <c r="D80" s="1063" t="s">
        <v>1542</v>
      </c>
      <c r="E80" s="1134">
        <v>0.2</v>
      </c>
      <c r="F80" s="1149">
        <v>30</v>
      </c>
    </row>
    <row r="81" spans="1:6" s="1100" customFormat="1" ht="39">
      <c r="A81" s="1149">
        <v>21</v>
      </c>
      <c r="B81" s="3440"/>
      <c r="C81" s="1063" t="s">
        <v>1543</v>
      </c>
      <c r="D81" s="1063" t="s">
        <v>1544</v>
      </c>
      <c r="E81" s="1134">
        <v>0.2</v>
      </c>
      <c r="F81" s="1149">
        <v>30</v>
      </c>
    </row>
    <row r="82" spans="1:6" s="1100" customFormat="1" ht="52">
      <c r="A82" s="1149">
        <v>22</v>
      </c>
      <c r="B82" s="3440"/>
      <c r="C82" s="1063" t="s">
        <v>1545</v>
      </c>
      <c r="D82" s="1063" t="s">
        <v>1546</v>
      </c>
      <c r="E82" s="1134">
        <v>0.2</v>
      </c>
      <c r="F82" s="1149">
        <v>30</v>
      </c>
    </row>
    <row r="83" spans="1:6" s="1100" customFormat="1" ht="52">
      <c r="A83" s="1149">
        <v>23</v>
      </c>
      <c r="B83" s="3440"/>
      <c r="C83" s="1063" t="s">
        <v>1547</v>
      </c>
      <c r="D83" s="1063" t="s">
        <v>1548</v>
      </c>
      <c r="E83" s="1134">
        <v>0.2</v>
      </c>
      <c r="F83" s="1149">
        <v>30</v>
      </c>
    </row>
    <row r="84" spans="1:6" s="1100" customFormat="1" ht="39">
      <c r="A84" s="1149">
        <v>24</v>
      </c>
      <c r="B84" s="3440"/>
      <c r="C84" s="1063" t="s">
        <v>1549</v>
      </c>
      <c r="D84" s="1063" t="s">
        <v>1550</v>
      </c>
      <c r="E84" s="1134">
        <v>0.2</v>
      </c>
      <c r="F84" s="1149">
        <v>30</v>
      </c>
    </row>
    <row r="85" spans="1:6" s="1100" customFormat="1" ht="39">
      <c r="A85" s="1149">
        <v>25</v>
      </c>
      <c r="B85" s="3440"/>
      <c r="C85" s="1063" t="s">
        <v>1551</v>
      </c>
      <c r="D85" s="1063" t="s">
        <v>1552</v>
      </c>
      <c r="E85" s="1134">
        <v>0.5</v>
      </c>
      <c r="F85" s="1149">
        <v>80</v>
      </c>
    </row>
    <row r="86" spans="1:6" s="1100" customFormat="1" ht="39">
      <c r="A86" s="1149">
        <v>26</v>
      </c>
      <c r="B86" s="3440"/>
      <c r="C86" s="1063" t="s">
        <v>1553</v>
      </c>
      <c r="D86" s="1063" t="s">
        <v>1554</v>
      </c>
      <c r="E86" s="1134">
        <v>0.2</v>
      </c>
      <c r="F86" s="1149">
        <v>30</v>
      </c>
    </row>
    <row r="87" spans="1:6" s="1100" customFormat="1" ht="39">
      <c r="A87" s="1149">
        <v>27</v>
      </c>
      <c r="B87" s="3440"/>
      <c r="C87" s="1063" t="s">
        <v>1555</v>
      </c>
      <c r="D87" s="1063" t="s">
        <v>1556</v>
      </c>
      <c r="E87" s="1134">
        <v>0.2</v>
      </c>
      <c r="F87" s="1149">
        <v>30</v>
      </c>
    </row>
    <row r="88" spans="1:6" s="1100" customFormat="1" ht="39">
      <c r="A88" s="1149">
        <v>28</v>
      </c>
      <c r="B88" s="3440"/>
      <c r="C88" s="1063" t="s">
        <v>1557</v>
      </c>
      <c r="D88" s="1063" t="s">
        <v>1558</v>
      </c>
      <c r="E88" s="1134">
        <v>0.2</v>
      </c>
      <c r="F88" s="1149">
        <v>30</v>
      </c>
    </row>
    <row r="89" spans="1:6" s="1100" customFormat="1" ht="26">
      <c r="A89" s="1149">
        <v>29</v>
      </c>
      <c r="B89" s="3440"/>
      <c r="C89" s="1063" t="s">
        <v>1559</v>
      </c>
      <c r="D89" s="1063" t="s">
        <v>1560</v>
      </c>
      <c r="E89" s="1134">
        <v>0.2</v>
      </c>
      <c r="F89" s="1149">
        <v>30</v>
      </c>
    </row>
    <row r="90" spans="1:6" s="1100" customFormat="1" ht="26">
      <c r="A90" s="1149">
        <v>30</v>
      </c>
      <c r="B90" s="3440"/>
      <c r="C90" s="1063" t="s">
        <v>1561</v>
      </c>
      <c r="D90" s="1063" t="s">
        <v>1562</v>
      </c>
      <c r="E90" s="1134">
        <v>0.2</v>
      </c>
      <c r="F90" s="1149">
        <v>30</v>
      </c>
    </row>
    <row r="91" spans="1:6" s="1100" customFormat="1" ht="39">
      <c r="A91" s="1149">
        <v>31</v>
      </c>
      <c r="B91" s="3440"/>
      <c r="C91" s="1063" t="s">
        <v>1563</v>
      </c>
      <c r="D91" s="1063" t="s">
        <v>1564</v>
      </c>
      <c r="E91" s="1134">
        <v>0.2</v>
      </c>
      <c r="F91" s="1149">
        <v>30</v>
      </c>
    </row>
    <row r="92" spans="1:6" s="1100" customFormat="1" ht="26">
      <c r="A92" s="1149">
        <v>32</v>
      </c>
      <c r="B92" s="3440" t="s">
        <v>1565</v>
      </c>
      <c r="C92" s="1149" t="s">
        <v>1566</v>
      </c>
      <c r="D92" s="1063" t="s">
        <v>1567</v>
      </c>
      <c r="E92" s="1134">
        <v>0.2</v>
      </c>
      <c r="F92" s="1149">
        <v>30</v>
      </c>
    </row>
    <row r="93" spans="1:6" s="1100" customFormat="1" ht="39">
      <c r="A93" s="1149">
        <v>33</v>
      </c>
      <c r="B93" s="3440"/>
      <c r="C93" s="1149" t="s">
        <v>1568</v>
      </c>
      <c r="D93" s="1063" t="s">
        <v>1569</v>
      </c>
      <c r="E93" s="1134">
        <v>0.2</v>
      </c>
      <c r="F93" s="1149">
        <v>30</v>
      </c>
    </row>
    <row r="94" spans="1:6" s="1100" customFormat="1" ht="52">
      <c r="A94" s="1149">
        <v>34</v>
      </c>
      <c r="B94" s="3440"/>
      <c r="C94" s="1149" t="s">
        <v>1570</v>
      </c>
      <c r="D94" s="1063" t="s">
        <v>1571</v>
      </c>
      <c r="E94" s="1134">
        <v>0.2</v>
      </c>
      <c r="F94" s="1149">
        <v>30</v>
      </c>
    </row>
    <row r="95" spans="1:6" s="1100" customFormat="1" ht="39">
      <c r="A95" s="1149">
        <v>35</v>
      </c>
      <c r="B95" s="3440"/>
      <c r="C95" s="1149" t="s">
        <v>1572</v>
      </c>
      <c r="D95" s="1063" t="s">
        <v>1573</v>
      </c>
      <c r="E95" s="1134">
        <v>0.2</v>
      </c>
      <c r="F95" s="1149">
        <v>30</v>
      </c>
    </row>
    <row r="96" spans="1:6" s="1100" customFormat="1" ht="52">
      <c r="A96" s="1149">
        <v>36</v>
      </c>
      <c r="B96" s="3440"/>
      <c r="C96" s="1063" t="s">
        <v>1574</v>
      </c>
      <c r="D96" s="1063" t="s">
        <v>1575</v>
      </c>
      <c r="E96" s="1134">
        <v>0.2</v>
      </c>
      <c r="F96" s="1149">
        <v>30</v>
      </c>
    </row>
    <row r="97" spans="1:6" s="1100" customFormat="1" ht="39">
      <c r="A97" s="1149">
        <v>37</v>
      </c>
      <c r="B97" s="3440"/>
      <c r="C97" s="1149" t="s">
        <v>1576</v>
      </c>
      <c r="D97" s="1063" t="s">
        <v>1577</v>
      </c>
      <c r="E97" s="1134">
        <v>0.2</v>
      </c>
      <c r="F97" s="1149">
        <v>30</v>
      </c>
    </row>
    <row r="98" spans="1:6" s="1100" customFormat="1" ht="39">
      <c r="A98" s="1149">
        <v>38</v>
      </c>
      <c r="B98" s="3440"/>
      <c r="C98" s="1149" t="s">
        <v>1578</v>
      </c>
      <c r="D98" s="1063" t="s">
        <v>1579</v>
      </c>
      <c r="E98" s="1134">
        <v>0.2</v>
      </c>
      <c r="F98" s="1149">
        <v>30</v>
      </c>
    </row>
    <row r="99" spans="1:6" s="1100" customFormat="1" ht="39">
      <c r="A99" s="1149">
        <v>39</v>
      </c>
      <c r="B99" s="3440" t="s">
        <v>1580</v>
      </c>
      <c r="C99" s="1149" t="s">
        <v>1581</v>
      </c>
      <c r="D99" s="1063" t="s">
        <v>1582</v>
      </c>
      <c r="E99" s="1134">
        <v>0.3</v>
      </c>
      <c r="F99" s="1149">
        <v>50</v>
      </c>
    </row>
    <row r="100" spans="1:6" s="1100" customFormat="1" ht="26">
      <c r="A100" s="1149">
        <v>40</v>
      </c>
      <c r="B100" s="3440"/>
      <c r="C100" s="1149" t="s">
        <v>1583</v>
      </c>
      <c r="D100" s="1063" t="s">
        <v>1584</v>
      </c>
      <c r="E100" s="1134">
        <v>0.2</v>
      </c>
      <c r="F100" s="1149">
        <v>30</v>
      </c>
    </row>
    <row r="101" spans="1:6" s="1100" customFormat="1" ht="39">
      <c r="A101" s="1149">
        <v>41</v>
      </c>
      <c r="B101" s="3440"/>
      <c r="C101" s="1149" t="s">
        <v>1585</v>
      </c>
      <c r="D101" s="1063" t="s">
        <v>1582</v>
      </c>
      <c r="E101" s="1134">
        <v>0.2</v>
      </c>
      <c r="F101" s="1149">
        <v>30</v>
      </c>
    </row>
    <row r="102" spans="1:6" s="1100" customFormat="1" ht="52">
      <c r="A102" s="1149">
        <v>42</v>
      </c>
      <c r="B102" s="1149" t="s">
        <v>1586</v>
      </c>
      <c r="C102" s="1063" t="s">
        <v>1587</v>
      </c>
      <c r="D102" s="1063" t="s">
        <v>1588</v>
      </c>
      <c r="E102" s="1134">
        <v>0.2</v>
      </c>
      <c r="F102" s="1149">
        <v>30</v>
      </c>
    </row>
    <row r="103" spans="1:6" s="1100" customFormat="1" ht="26">
      <c r="A103" s="1149">
        <v>43</v>
      </c>
      <c r="B103" s="1149" t="s">
        <v>1589</v>
      </c>
      <c r="C103" s="1149" t="s">
        <v>1590</v>
      </c>
      <c r="D103" s="1063" t="s">
        <v>1591</v>
      </c>
      <c r="E103" s="1134">
        <v>0.2</v>
      </c>
      <c r="F103" s="1149">
        <v>30</v>
      </c>
    </row>
    <row r="104" spans="1:6" s="1100" customFormat="1" ht="39">
      <c r="A104" s="1149">
        <v>44</v>
      </c>
      <c r="B104" s="1149" t="s">
        <v>1592</v>
      </c>
      <c r="C104" s="1149" t="s">
        <v>1593</v>
      </c>
      <c r="D104" s="1063" t="s">
        <v>1594</v>
      </c>
      <c r="E104" s="1134">
        <v>0.2</v>
      </c>
      <c r="F104" s="1149">
        <v>30</v>
      </c>
    </row>
    <row r="105" spans="1:6" s="1100" customFormat="1" ht="39">
      <c r="A105" s="1149">
        <v>45</v>
      </c>
      <c r="B105" s="3440" t="s">
        <v>1595</v>
      </c>
      <c r="C105" s="1149" t="s">
        <v>1596</v>
      </c>
      <c r="D105" s="1063" t="s">
        <v>1597</v>
      </c>
      <c r="E105" s="1134">
        <v>0.2</v>
      </c>
      <c r="F105" s="1149">
        <v>30</v>
      </c>
    </row>
    <row r="106" spans="1:6" s="1100" customFormat="1" ht="39">
      <c r="A106" s="1149">
        <v>46</v>
      </c>
      <c r="B106" s="3440"/>
      <c r="C106" s="1149" t="s">
        <v>1598</v>
      </c>
      <c r="D106" s="1063" t="s">
        <v>1599</v>
      </c>
      <c r="E106" s="1134">
        <v>0.2</v>
      </c>
      <c r="F106" s="1149">
        <v>30</v>
      </c>
    </row>
    <row r="107" spans="1:6" s="1100" customFormat="1" ht="39">
      <c r="A107" s="1149">
        <v>47</v>
      </c>
      <c r="B107" s="3440" t="s">
        <v>1600</v>
      </c>
      <c r="C107" s="1149" t="s">
        <v>1601</v>
      </c>
      <c r="D107" s="1063" t="s">
        <v>1602</v>
      </c>
      <c r="E107" s="1134">
        <v>0.3</v>
      </c>
      <c r="F107" s="1149">
        <v>50</v>
      </c>
    </row>
    <row r="108" spans="1:6" s="1100" customFormat="1" ht="39">
      <c r="A108" s="1149">
        <v>48</v>
      </c>
      <c r="B108" s="3440"/>
      <c r="C108" s="1149" t="s">
        <v>1603</v>
      </c>
      <c r="D108" s="1063" t="s">
        <v>1604</v>
      </c>
      <c r="E108" s="1134">
        <v>0.2</v>
      </c>
      <c r="F108" s="1149">
        <v>30</v>
      </c>
    </row>
    <row r="109" spans="1:6" s="1100" customFormat="1" ht="39">
      <c r="A109" s="1149">
        <v>49</v>
      </c>
      <c r="B109" s="1149" t="s">
        <v>1605</v>
      </c>
      <c r="C109" s="1149" t="s">
        <v>1606</v>
      </c>
      <c r="D109" s="1063" t="s">
        <v>1607</v>
      </c>
      <c r="E109" s="1134">
        <v>0.2</v>
      </c>
      <c r="F109" s="1149">
        <v>30</v>
      </c>
    </row>
    <row r="110" spans="1:6" s="1100" customFormat="1" ht="39">
      <c r="A110" s="1149">
        <v>50</v>
      </c>
      <c r="B110" s="1149" t="s">
        <v>1608</v>
      </c>
      <c r="C110" s="1149" t="s">
        <v>1609</v>
      </c>
      <c r="D110" s="1063" t="s">
        <v>1610</v>
      </c>
      <c r="E110" s="1134">
        <v>0.2</v>
      </c>
      <c r="F110" s="1149">
        <v>30</v>
      </c>
    </row>
    <row r="111" spans="1:6" s="1100" customFormat="1" ht="39">
      <c r="A111" s="1149">
        <v>51</v>
      </c>
      <c r="B111" s="3440" t="s">
        <v>1611</v>
      </c>
      <c r="C111" s="1149" t="s">
        <v>1612</v>
      </c>
      <c r="D111" s="1063" t="s">
        <v>1613</v>
      </c>
      <c r="E111" s="1134">
        <v>0.2</v>
      </c>
      <c r="F111" s="1149">
        <v>30</v>
      </c>
    </row>
    <row r="112" spans="1:6" s="1100" customFormat="1" ht="26">
      <c r="A112" s="1149">
        <v>52</v>
      </c>
      <c r="B112" s="3440"/>
      <c r="C112" s="1149" t="s">
        <v>1614</v>
      </c>
      <c r="D112" s="1063" t="s">
        <v>1615</v>
      </c>
      <c r="E112" s="1134">
        <v>0.2</v>
      </c>
      <c r="F112" s="1149">
        <v>30</v>
      </c>
    </row>
    <row r="113" spans="1:14" s="1100" customFormat="1" ht="26">
      <c r="A113" s="1149">
        <v>53</v>
      </c>
      <c r="B113" s="3440"/>
      <c r="C113" s="1149" t="s">
        <v>1616</v>
      </c>
      <c r="D113" s="1063" t="s">
        <v>1617</v>
      </c>
      <c r="E113" s="1134">
        <v>0.2</v>
      </c>
      <c r="F113" s="1149">
        <v>30</v>
      </c>
    </row>
    <row r="114" spans="1:14" ht="39">
      <c r="A114" s="1149">
        <v>54</v>
      </c>
      <c r="B114" s="1149" t="s">
        <v>1618</v>
      </c>
      <c r="C114" s="1149" t="s">
        <v>1619</v>
      </c>
      <c r="D114" s="1063" t="s">
        <v>1620</v>
      </c>
      <c r="E114" s="1134">
        <v>0.2</v>
      </c>
      <c r="F114" s="1149">
        <v>30</v>
      </c>
    </row>
    <row r="115" spans="1:14" ht="26">
      <c r="A115" s="1149">
        <v>55</v>
      </c>
      <c r="B115" s="1149" t="s">
        <v>1621</v>
      </c>
      <c r="C115" s="1149" t="s">
        <v>1622</v>
      </c>
      <c r="D115" s="1063" t="s">
        <v>1623</v>
      </c>
      <c r="E115" s="1134">
        <v>0.2</v>
      </c>
      <c r="F115" s="1149">
        <v>30</v>
      </c>
    </row>
    <row r="116" spans="1:14" ht="26">
      <c r="A116" s="1149">
        <v>56</v>
      </c>
      <c r="B116" s="3440" t="s">
        <v>1624</v>
      </c>
      <c r="C116" s="1149" t="s">
        <v>1625</v>
      </c>
      <c r="D116" s="1063" t="s">
        <v>1626</v>
      </c>
      <c r="E116" s="1134">
        <v>0.2</v>
      </c>
      <c r="F116" s="1149">
        <v>30</v>
      </c>
    </row>
    <row r="117" spans="1:14" ht="39">
      <c r="A117" s="1149">
        <v>57</v>
      </c>
      <c r="B117" s="3440"/>
      <c r="C117" s="1149" t="s">
        <v>1627</v>
      </c>
      <c r="D117" s="1063" t="s">
        <v>1628</v>
      </c>
      <c r="E117" s="1134">
        <v>0.2</v>
      </c>
      <c r="F117" s="1149">
        <v>30</v>
      </c>
    </row>
    <row r="118" spans="1:14" ht="39">
      <c r="A118" s="1149">
        <v>58</v>
      </c>
      <c r="B118" s="1149" t="s">
        <v>1629</v>
      </c>
      <c r="C118" s="1149" t="s">
        <v>1630</v>
      </c>
      <c r="D118" s="1063" t="s">
        <v>1631</v>
      </c>
      <c r="E118" s="1134">
        <v>0.2</v>
      </c>
      <c r="F118" s="1149">
        <v>30</v>
      </c>
    </row>
    <row r="119" spans="1:14" ht="14">
      <c r="A119" s="1149"/>
      <c r="B119" s="1149"/>
      <c r="C119" s="1149"/>
      <c r="D119" s="1149"/>
      <c r="E119" s="1134"/>
      <c r="F119" s="1149"/>
    </row>
    <row r="121" spans="1:14" ht="19.5" customHeight="1">
      <c r="A121" s="3439" t="s">
        <v>1633</v>
      </c>
      <c r="B121" s="3439"/>
      <c r="C121" s="3439"/>
      <c r="D121" s="3439"/>
      <c r="E121" s="3439"/>
      <c r="F121" s="3439"/>
      <c r="G121" s="3439"/>
      <c r="H121" s="3439"/>
      <c r="I121" s="3439"/>
      <c r="J121" s="343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
  <cols>
    <col min="1" max="1" width="12.6328125" style="1100" customWidth="1"/>
    <col min="2" max="5" width="10.1796875" style="1061" customWidth="1"/>
    <col min="6" max="6" width="9" style="1061"/>
    <col min="7" max="7" width="9" style="1064"/>
    <col min="8" max="8" width="9" style="1061"/>
    <col min="9" max="9" width="9" style="1064"/>
    <col min="10" max="16384" width="9" style="1061"/>
  </cols>
  <sheetData>
    <row r="1" spans="1:20">
      <c r="A1" s="3444" t="s">
        <v>1039</v>
      </c>
      <c r="B1" s="3444"/>
      <c r="C1" s="3444"/>
      <c r="D1" s="3444"/>
      <c r="E1" s="3444"/>
      <c r="F1" s="344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5" thickBot="1">
      <c r="A2" s="3445" t="s">
        <v>1052</v>
      </c>
      <c r="B2" s="3445"/>
      <c r="C2" s="3445"/>
      <c r="D2" s="3445"/>
      <c r="E2" s="3445"/>
      <c r="F2" s="344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9270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
  <cols>
    <col min="1" max="1" width="9" style="1036"/>
    <col min="2" max="16384" width="9" style="1010"/>
  </cols>
  <sheetData>
    <row r="1" spans="1:14" ht="1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
      <c r="A103" s="1008" t="s">
        <v>904</v>
      </c>
      <c r="B103" s="1009"/>
      <c r="C103" s="1009"/>
      <c r="D103" s="1009"/>
      <c r="E103" s="1009"/>
      <c r="F103" s="1009"/>
      <c r="G103" s="1009"/>
      <c r="H103" s="1009"/>
      <c r="I103" s="1009"/>
      <c r="J103" s="1009"/>
      <c r="K103" s="1009"/>
      <c r="L103" s="1009"/>
      <c r="M103" s="1009"/>
      <c r="N103" s="1009"/>
    </row>
    <row r="104" spans="1:14" ht="1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1.4208000000000001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
  <cols>
    <col min="1" max="1" width="12.6328125" style="1864" customWidth="1"/>
    <col min="2" max="2" width="10.1796875" style="1865" customWidth="1"/>
  </cols>
  <sheetData>
    <row r="1" spans="1:6">
      <c r="A1" s="3448" t="s">
        <v>2077</v>
      </c>
      <c r="B1" s="3448"/>
    </row>
    <row r="2" spans="1:6" ht="14.5" thickBot="1">
      <c r="A2" s="1835"/>
      <c r="B2" s="1835"/>
    </row>
    <row r="3" spans="1:6" ht="14.5" thickBot="1">
      <c r="A3" s="1835"/>
      <c r="B3" s="1835"/>
      <c r="C3" s="1836" t="s">
        <v>2078</v>
      </c>
      <c r="D3" s="1836" t="s">
        <v>2079</v>
      </c>
      <c r="E3" s="1836" t="s">
        <v>2080</v>
      </c>
      <c r="F3" s="1836" t="s">
        <v>2081</v>
      </c>
    </row>
    <row r="4" spans="1:6" ht="14.5" thickBot="1">
      <c r="A4" s="1837" t="s">
        <v>2082</v>
      </c>
      <c r="B4" s="1838" t="s">
        <v>2083</v>
      </c>
      <c r="C4" s="1836"/>
      <c r="D4" s="1836"/>
      <c r="E4" s="1836"/>
      <c r="F4" s="1836"/>
    </row>
    <row r="5" spans="1:6" ht="14.5" thickBot="1">
      <c r="A5" s="1839" t="s">
        <v>2084</v>
      </c>
      <c r="B5" s="1840" t="s">
        <v>2085</v>
      </c>
      <c r="C5" s="1841">
        <v>8.8999999999999996E-2</v>
      </c>
      <c r="D5" s="1841">
        <v>7.3999999999999996E-2</v>
      </c>
      <c r="E5" s="1841">
        <v>7.4999999999999997E-2</v>
      </c>
      <c r="F5" s="1842">
        <v>0.1</v>
      </c>
    </row>
    <row r="6" spans="1:6" ht="14.5" thickBot="1">
      <c r="A6" s="1839" t="s">
        <v>1096</v>
      </c>
      <c r="B6" s="1843" t="s">
        <v>2086</v>
      </c>
      <c r="C6" s="1844">
        <v>0.1</v>
      </c>
      <c r="D6" s="1844">
        <v>9.0999999999999998E-2</v>
      </c>
      <c r="E6" s="1844">
        <v>9.0999999999999998E-2</v>
      </c>
      <c r="F6" s="1845">
        <v>0.1</v>
      </c>
    </row>
    <row r="7" spans="1:6" ht="14.5" thickBot="1">
      <c r="A7" s="1839" t="s">
        <v>1096</v>
      </c>
      <c r="B7" s="1846" t="s">
        <v>1084</v>
      </c>
      <c r="C7" s="1844">
        <v>8.5999999999999993E-2</v>
      </c>
      <c r="D7" s="1844">
        <v>9.6000000000000002E-2</v>
      </c>
      <c r="E7" s="1844">
        <v>7.5999999999999998E-2</v>
      </c>
      <c r="F7" s="1845">
        <v>0.1</v>
      </c>
    </row>
    <row r="8" spans="1:6" ht="14.5" thickBot="1">
      <c r="A8" s="1839" t="s">
        <v>1096</v>
      </c>
      <c r="B8" s="1843" t="s">
        <v>1097</v>
      </c>
      <c r="C8" s="1844">
        <v>9.9000000000000005E-2</v>
      </c>
      <c r="D8" s="1844">
        <v>9.8000000000000004E-2</v>
      </c>
      <c r="E8" s="1844">
        <v>9.8000000000000004E-2</v>
      </c>
      <c r="F8" s="1845">
        <v>0.1</v>
      </c>
    </row>
    <row r="9" spans="1:6" ht="14.5" thickBot="1">
      <c r="A9" s="1847" t="s">
        <v>1096</v>
      </c>
      <c r="B9" s="1848" t="s">
        <v>1111</v>
      </c>
      <c r="C9" s="1849">
        <v>0.05</v>
      </c>
      <c r="D9" s="1850"/>
      <c r="E9" s="1850"/>
      <c r="F9" s="1851"/>
    </row>
    <row r="10" spans="1:6" ht="14.5" thickBot="1">
      <c r="A10" s="1839" t="s">
        <v>1155</v>
      </c>
      <c r="B10" s="1840" t="s">
        <v>2087</v>
      </c>
      <c r="C10" s="1841">
        <v>8.8999999999999996E-2</v>
      </c>
      <c r="D10" s="1841">
        <v>7.2999999999999995E-2</v>
      </c>
      <c r="E10" s="1841">
        <v>8.2000000000000003E-2</v>
      </c>
      <c r="F10" s="1842">
        <v>0.1</v>
      </c>
    </row>
    <row r="11" spans="1:6" ht="14.5" thickBot="1">
      <c r="A11" s="1839" t="s">
        <v>1155</v>
      </c>
      <c r="B11" s="1846" t="s">
        <v>1071</v>
      </c>
      <c r="C11" s="1844">
        <v>8.8999999999999996E-2</v>
      </c>
      <c r="D11" s="1844">
        <v>7.2999999999999995E-2</v>
      </c>
      <c r="E11" s="1844">
        <v>8.2000000000000003E-2</v>
      </c>
      <c r="F11" s="1845">
        <v>0.1</v>
      </c>
    </row>
    <row r="12" spans="1:6" ht="14.5" thickBot="1">
      <c r="A12" s="1839" t="s">
        <v>1155</v>
      </c>
      <c r="B12" s="1846" t="s">
        <v>1085</v>
      </c>
      <c r="C12" s="1844">
        <v>6.0999999999999999E-2</v>
      </c>
      <c r="D12" s="1844">
        <v>7.0999999999999994E-2</v>
      </c>
      <c r="E12" s="1844">
        <v>9.6000000000000002E-2</v>
      </c>
      <c r="F12" s="1845">
        <v>0.1</v>
      </c>
    </row>
    <row r="13" spans="1:6" ht="14.5" thickBot="1">
      <c r="A13" s="1839" t="s">
        <v>1155</v>
      </c>
      <c r="B13" s="1846" t="s">
        <v>1098</v>
      </c>
      <c r="C13" s="1844">
        <v>6.9000000000000006E-2</v>
      </c>
      <c r="D13" s="1844">
        <v>6.5000000000000002E-2</v>
      </c>
      <c r="E13" s="1844">
        <v>6.6000000000000003E-2</v>
      </c>
      <c r="F13" s="1845">
        <v>0.1</v>
      </c>
    </row>
    <row r="14" spans="1:6" ht="14.5" thickBot="1">
      <c r="A14" s="1839" t="s">
        <v>1155</v>
      </c>
      <c r="B14" s="1846" t="s">
        <v>1112</v>
      </c>
      <c r="C14" s="1844">
        <v>0.1</v>
      </c>
      <c r="D14" s="1844">
        <v>6.5000000000000002E-2</v>
      </c>
      <c r="E14" s="1844">
        <v>7.0000000000000007E-2</v>
      </c>
      <c r="F14" s="1845">
        <v>0.1</v>
      </c>
    </row>
    <row r="15" spans="1:6" ht="14.5" thickBot="1">
      <c r="A15" s="1839" t="s">
        <v>1155</v>
      </c>
      <c r="B15" s="1846" t="s">
        <v>1123</v>
      </c>
      <c r="C15" s="1844">
        <v>9.8000000000000004E-2</v>
      </c>
      <c r="D15" s="1844">
        <v>8.8999999999999996E-2</v>
      </c>
      <c r="E15" s="1844">
        <v>8.8999999999999996E-2</v>
      </c>
      <c r="F15" s="1845">
        <v>0.1</v>
      </c>
    </row>
    <row r="16" spans="1:6" ht="14.5" thickBot="1">
      <c r="A16" s="1839" t="s">
        <v>1155</v>
      </c>
      <c r="B16" s="1846" t="s">
        <v>1134</v>
      </c>
      <c r="C16" s="1844">
        <v>7.0000000000000007E-2</v>
      </c>
      <c r="D16" s="1844">
        <v>9.2999999999999999E-2</v>
      </c>
      <c r="E16" s="1844">
        <v>9.6000000000000002E-2</v>
      </c>
      <c r="F16" s="1845">
        <v>0.1</v>
      </c>
    </row>
    <row r="17" spans="1:6" ht="14.5" thickBot="1">
      <c r="A17" s="1839" t="s">
        <v>1155</v>
      </c>
      <c r="B17" s="1846" t="s">
        <v>1145</v>
      </c>
      <c r="C17" s="1844">
        <v>9.5000000000000001E-2</v>
      </c>
      <c r="D17" s="1844">
        <v>0.1</v>
      </c>
      <c r="E17" s="1844">
        <v>0.1</v>
      </c>
      <c r="F17" s="1852"/>
    </row>
    <row r="18" spans="1:6" ht="14.5" thickBot="1">
      <c r="A18" s="1839" t="s">
        <v>1155</v>
      </c>
      <c r="B18" s="1846" t="s">
        <v>1157</v>
      </c>
      <c r="C18" s="1844">
        <v>7.3999999999999996E-2</v>
      </c>
      <c r="D18" s="1844">
        <v>9.9000000000000005E-2</v>
      </c>
      <c r="E18" s="1844">
        <v>0.1</v>
      </c>
      <c r="F18" s="1852"/>
    </row>
    <row r="19" spans="1:6" ht="14.5" thickBot="1">
      <c r="A19" s="1839" t="s">
        <v>1155</v>
      </c>
      <c r="B19" s="1846" t="s">
        <v>1167</v>
      </c>
      <c r="C19" s="1844">
        <v>9.9000000000000005E-2</v>
      </c>
      <c r="D19" s="1844">
        <v>7.5999999999999998E-2</v>
      </c>
      <c r="E19" s="1844">
        <v>8.6999999999999994E-2</v>
      </c>
      <c r="F19" s="1852"/>
    </row>
    <row r="20" spans="1:6" ht="14.5" thickBot="1">
      <c r="A20" s="1839" t="s">
        <v>1155</v>
      </c>
      <c r="B20" s="1846" t="s">
        <v>1177</v>
      </c>
      <c r="C20" s="1844">
        <v>9.8000000000000004E-2</v>
      </c>
      <c r="D20" s="1844">
        <v>8.5000000000000006E-2</v>
      </c>
      <c r="E20" s="1844">
        <v>8.2000000000000003E-2</v>
      </c>
      <c r="F20" s="1852"/>
    </row>
    <row r="21" spans="1:6" ht="14.5" thickBot="1">
      <c r="A21" s="1839" t="s">
        <v>1155</v>
      </c>
      <c r="B21" s="1846" t="s">
        <v>1187</v>
      </c>
      <c r="C21" s="1844">
        <v>6.6000000000000003E-2</v>
      </c>
      <c r="D21" s="1844">
        <v>6.4000000000000001E-2</v>
      </c>
      <c r="E21" s="1844">
        <v>6.5000000000000002E-2</v>
      </c>
      <c r="F21" s="1852"/>
    </row>
    <row r="22" spans="1:6" ht="14.5" thickBot="1">
      <c r="A22" s="1839" t="s">
        <v>1155</v>
      </c>
      <c r="B22" s="1846" t="s">
        <v>2088</v>
      </c>
      <c r="C22" s="1844">
        <v>0.08</v>
      </c>
      <c r="D22" s="1844">
        <v>9.8000000000000004E-2</v>
      </c>
      <c r="E22" s="1844">
        <v>9.8000000000000004E-2</v>
      </c>
      <c r="F22" s="1852"/>
    </row>
    <row r="23" spans="1:6" ht="14.5" thickBot="1">
      <c r="A23" s="1839" t="s">
        <v>1155</v>
      </c>
      <c r="B23" s="1846" t="s">
        <v>1207</v>
      </c>
      <c r="C23" s="1844">
        <v>9.9000000000000005E-2</v>
      </c>
      <c r="D23" s="1844">
        <v>9.8000000000000004E-2</v>
      </c>
      <c r="E23" s="1844">
        <v>9.0999999999999998E-2</v>
      </c>
      <c r="F23" s="1852"/>
    </row>
    <row r="24" spans="1:6" ht="14.5" thickBot="1">
      <c r="A24" s="1839" t="s">
        <v>1155</v>
      </c>
      <c r="B24" s="1846" t="s">
        <v>1217</v>
      </c>
      <c r="C24" s="1844">
        <v>8.8999999999999996E-2</v>
      </c>
      <c r="D24" s="1844">
        <v>9.7000000000000003E-2</v>
      </c>
      <c r="E24" s="1844">
        <v>7.0000000000000007E-2</v>
      </c>
      <c r="F24" s="1852"/>
    </row>
    <row r="25" spans="1:6" ht="14.5" thickBot="1">
      <c r="A25" s="1839" t="s">
        <v>1155</v>
      </c>
      <c r="B25" s="1846" t="s">
        <v>1227</v>
      </c>
      <c r="C25" s="1844">
        <v>8.8999999999999996E-2</v>
      </c>
      <c r="D25" s="1844">
        <v>0.1</v>
      </c>
      <c r="E25" s="1844">
        <v>8.1000000000000003E-2</v>
      </c>
      <c r="F25" s="1852"/>
    </row>
    <row r="26" spans="1:6" ht="14.5" thickBot="1">
      <c r="A26" s="1839" t="s">
        <v>1155</v>
      </c>
      <c r="B26" s="1846" t="s">
        <v>1237</v>
      </c>
      <c r="C26" s="1853"/>
      <c r="D26" s="1844">
        <v>9.6000000000000002E-2</v>
      </c>
      <c r="E26" s="1844">
        <v>9.2999999999999999E-2</v>
      </c>
      <c r="F26" s="1852"/>
    </row>
    <row r="27" spans="1:6" ht="14.5" thickBot="1">
      <c r="A27" s="1839" t="s">
        <v>1155</v>
      </c>
      <c r="B27" s="1846" t="s">
        <v>1247</v>
      </c>
      <c r="C27" s="1853"/>
      <c r="D27" s="1844">
        <v>7.5999999999999998E-2</v>
      </c>
      <c r="E27" s="1844">
        <v>9.1999999999999998E-2</v>
      </c>
      <c r="F27" s="1852"/>
    </row>
    <row r="28" spans="1:6" ht="14.5" thickBot="1">
      <c r="A28" s="1847" t="s">
        <v>1155</v>
      </c>
      <c r="B28" s="1848" t="s">
        <v>1257</v>
      </c>
      <c r="C28" s="1850"/>
      <c r="D28" s="1849">
        <v>7.5999999999999998E-2</v>
      </c>
      <c r="E28" s="1849">
        <v>9.1999999999999998E-2</v>
      </c>
      <c r="F28" s="1851"/>
    </row>
    <row r="29" spans="1:6" ht="14.5" thickBot="1">
      <c r="A29" s="1839" t="s">
        <v>1326</v>
      </c>
      <c r="B29" s="1840" t="s">
        <v>2089</v>
      </c>
      <c r="C29" s="1841">
        <v>6.4000000000000001E-2</v>
      </c>
      <c r="D29" s="1841">
        <v>6.5000000000000002E-2</v>
      </c>
      <c r="E29" s="1841">
        <v>6.9000000000000006E-2</v>
      </c>
      <c r="F29" s="1842">
        <v>0.1</v>
      </c>
    </row>
    <row r="30" spans="1:6" ht="14.5" thickBot="1">
      <c r="A30" s="1839" t="s">
        <v>1326</v>
      </c>
      <c r="B30" s="1846" t="s">
        <v>1072</v>
      </c>
      <c r="C30" s="1844">
        <v>6.4000000000000001E-2</v>
      </c>
      <c r="D30" s="1844">
        <v>9.9000000000000005E-2</v>
      </c>
      <c r="E30" s="1844">
        <v>0.1</v>
      </c>
      <c r="F30" s="1845">
        <v>0.1</v>
      </c>
    </row>
    <row r="31" spans="1:6" ht="14.5" thickBot="1">
      <c r="A31" s="1839" t="s">
        <v>1326</v>
      </c>
      <c r="B31" s="1846" t="s">
        <v>1086</v>
      </c>
      <c r="C31" s="1844">
        <v>0.1</v>
      </c>
      <c r="D31" s="1844">
        <v>9.5000000000000001E-2</v>
      </c>
      <c r="E31" s="1844">
        <v>8.8999999999999996E-2</v>
      </c>
      <c r="F31" s="1845">
        <v>0.1</v>
      </c>
    </row>
    <row r="32" spans="1:6" ht="14.5" thickBot="1">
      <c r="A32" s="1839" t="s">
        <v>1326</v>
      </c>
      <c r="B32" s="1846" t="s">
        <v>1099</v>
      </c>
      <c r="C32" s="1844">
        <v>0.05</v>
      </c>
      <c r="D32" s="1844">
        <v>0.05</v>
      </c>
      <c r="E32" s="1844">
        <v>8.7999999999999995E-2</v>
      </c>
      <c r="F32" s="1845">
        <v>0.1</v>
      </c>
    </row>
    <row r="33" spans="1:6" ht="14.5" thickBot="1">
      <c r="A33" s="1839" t="s">
        <v>1326</v>
      </c>
      <c r="B33" s="1846" t="s">
        <v>1113</v>
      </c>
      <c r="C33" s="1844">
        <v>7.4999999999999997E-2</v>
      </c>
      <c r="D33" s="1844">
        <v>9.4E-2</v>
      </c>
      <c r="E33" s="1844">
        <v>9.7000000000000003E-2</v>
      </c>
      <c r="F33" s="1845">
        <v>0.1</v>
      </c>
    </row>
    <row r="34" spans="1:6" ht="14.5" thickBot="1">
      <c r="A34" s="1839" t="s">
        <v>1326</v>
      </c>
      <c r="B34" s="1846" t="s">
        <v>1124</v>
      </c>
      <c r="C34" s="1844">
        <v>9.8000000000000004E-2</v>
      </c>
      <c r="D34" s="1844">
        <v>8.5999999999999993E-2</v>
      </c>
      <c r="E34" s="1844">
        <v>9.7000000000000003E-2</v>
      </c>
      <c r="F34" s="1845">
        <v>0.1</v>
      </c>
    </row>
    <row r="35" spans="1:6" ht="14.5" thickBot="1">
      <c r="A35" s="1839" t="s">
        <v>1326</v>
      </c>
      <c r="B35" s="1846" t="s">
        <v>1135</v>
      </c>
      <c r="C35" s="1844">
        <v>5.8999999999999997E-2</v>
      </c>
      <c r="D35" s="1844">
        <v>6.5000000000000002E-2</v>
      </c>
      <c r="E35" s="1844">
        <v>7.0000000000000007E-2</v>
      </c>
      <c r="F35" s="1845">
        <v>0.1</v>
      </c>
    </row>
    <row r="36" spans="1:6" ht="14.5" thickBot="1">
      <c r="A36" s="1839" t="s">
        <v>1326</v>
      </c>
      <c r="B36" s="1846" t="s">
        <v>1146</v>
      </c>
      <c r="C36" s="1844">
        <v>6.3E-2</v>
      </c>
      <c r="D36" s="1844">
        <v>0.1</v>
      </c>
      <c r="E36" s="1844">
        <v>0.1</v>
      </c>
      <c r="F36" s="1845">
        <v>0.1</v>
      </c>
    </row>
    <row r="37" spans="1:6" ht="14.5" thickBot="1">
      <c r="A37" s="1839" t="s">
        <v>1326</v>
      </c>
      <c r="B37" s="1846" t="s">
        <v>1158</v>
      </c>
      <c r="C37" s="1844">
        <v>7.3999999999999996E-2</v>
      </c>
      <c r="D37" s="1844">
        <v>0.1</v>
      </c>
      <c r="E37" s="1844">
        <v>0.1</v>
      </c>
      <c r="F37" s="1845">
        <v>0.1</v>
      </c>
    </row>
    <row r="38" spans="1:6" ht="14.5" thickBot="1">
      <c r="A38" s="1839" t="s">
        <v>1326</v>
      </c>
      <c r="B38" s="1846" t="s">
        <v>1168</v>
      </c>
      <c r="C38" s="1844">
        <v>0.1</v>
      </c>
      <c r="D38" s="1844">
        <v>9.6000000000000002E-2</v>
      </c>
      <c r="E38" s="1844">
        <v>9.6000000000000002E-2</v>
      </c>
      <c r="F38" s="1852"/>
    </row>
    <row r="39" spans="1:6" ht="14.5" thickBot="1">
      <c r="A39" s="1839" t="s">
        <v>1326</v>
      </c>
      <c r="B39" s="1846" t="s">
        <v>1178</v>
      </c>
      <c r="C39" s="1844">
        <v>0.1</v>
      </c>
      <c r="D39" s="1844">
        <v>9.6000000000000002E-2</v>
      </c>
      <c r="E39" s="1844">
        <v>9.6000000000000002E-2</v>
      </c>
      <c r="F39" s="1852"/>
    </row>
    <row r="40" spans="1:6" ht="14.5" thickBot="1">
      <c r="A40" s="1839" t="s">
        <v>1326</v>
      </c>
      <c r="B40" s="1846" t="s">
        <v>1188</v>
      </c>
      <c r="C40" s="1844">
        <v>9.6000000000000002E-2</v>
      </c>
      <c r="D40" s="1844">
        <v>0.1</v>
      </c>
      <c r="E40" s="1844">
        <v>9.9000000000000005E-2</v>
      </c>
      <c r="F40" s="1852"/>
    </row>
    <row r="41" spans="1:6" ht="14.5" thickBot="1">
      <c r="A41" s="1839" t="s">
        <v>1326</v>
      </c>
      <c r="B41" s="1846" t="s">
        <v>1198</v>
      </c>
      <c r="C41" s="1844">
        <v>9.6000000000000002E-2</v>
      </c>
      <c r="D41" s="1844">
        <v>9.8000000000000004E-2</v>
      </c>
      <c r="E41" s="1844">
        <v>9.8000000000000004E-2</v>
      </c>
      <c r="F41" s="1852"/>
    </row>
    <row r="42" spans="1:6" ht="14.5" thickBot="1">
      <c r="A42" s="1839" t="s">
        <v>1326</v>
      </c>
      <c r="B42" s="1846" t="s">
        <v>1208</v>
      </c>
      <c r="C42" s="1844">
        <v>0.1</v>
      </c>
      <c r="D42" s="1844">
        <v>8.7999999999999995E-2</v>
      </c>
      <c r="E42" s="1844">
        <v>0.1</v>
      </c>
      <c r="F42" s="1852"/>
    </row>
    <row r="43" spans="1:6" ht="14.5" thickBot="1">
      <c r="A43" s="1839" t="s">
        <v>1326</v>
      </c>
      <c r="B43" s="1846" t="s">
        <v>1218</v>
      </c>
      <c r="C43" s="1844">
        <v>9.8000000000000004E-2</v>
      </c>
      <c r="D43" s="1844">
        <v>9.7000000000000003E-2</v>
      </c>
      <c r="E43" s="1844">
        <v>9.6000000000000002E-2</v>
      </c>
      <c r="F43" s="1852"/>
    </row>
    <row r="44" spans="1:6" ht="14.5" thickBot="1">
      <c r="A44" s="1839" t="s">
        <v>1326</v>
      </c>
      <c r="B44" s="1846" t="s">
        <v>1228</v>
      </c>
      <c r="C44" s="1844">
        <v>8.5999999999999993E-2</v>
      </c>
      <c r="D44" s="1844">
        <v>7.9000000000000001E-2</v>
      </c>
      <c r="E44" s="1844">
        <v>7.0999999999999994E-2</v>
      </c>
      <c r="F44" s="1852"/>
    </row>
    <row r="45" spans="1:6" ht="14.5" thickBot="1">
      <c r="A45" s="1839" t="s">
        <v>1326</v>
      </c>
      <c r="B45" s="1846" t="s">
        <v>1238</v>
      </c>
      <c r="C45" s="1844">
        <v>9.8000000000000004E-2</v>
      </c>
      <c r="D45" s="1844">
        <v>9.6000000000000002E-2</v>
      </c>
      <c r="E45" s="1844">
        <v>9.6000000000000002E-2</v>
      </c>
      <c r="F45" s="1852"/>
    </row>
    <row r="46" spans="1:6" ht="14.5" thickBot="1">
      <c r="A46" s="1839" t="s">
        <v>1326</v>
      </c>
      <c r="B46" s="1846" t="s">
        <v>1248</v>
      </c>
      <c r="C46" s="1844">
        <v>8.5999999999999993E-2</v>
      </c>
      <c r="D46" s="1844">
        <v>9.8000000000000004E-2</v>
      </c>
      <c r="E46" s="1844">
        <v>8.7999999999999995E-2</v>
      </c>
      <c r="F46" s="1852"/>
    </row>
    <row r="47" spans="1:6" ht="14.5" thickBot="1">
      <c r="A47" s="1839" t="s">
        <v>1326</v>
      </c>
      <c r="B47" s="1846" t="s">
        <v>1258</v>
      </c>
      <c r="C47" s="1844">
        <v>9.6000000000000002E-2</v>
      </c>
      <c r="D47" s="1853"/>
      <c r="E47" s="1844">
        <v>6.9000000000000006E-2</v>
      </c>
      <c r="F47" s="1852"/>
    </row>
    <row r="48" spans="1:6" ht="14.5" thickBot="1">
      <c r="A48" s="1847" t="s">
        <v>1326</v>
      </c>
      <c r="B48" s="1848" t="s">
        <v>1267</v>
      </c>
      <c r="C48" s="1849">
        <v>9.8000000000000004E-2</v>
      </c>
      <c r="D48" s="1850"/>
      <c r="E48" s="1849">
        <v>9.5000000000000001E-2</v>
      </c>
      <c r="F48" s="1851"/>
    </row>
    <row r="49" spans="1:6" ht="14.5" thickBot="1">
      <c r="A49" s="1839" t="s">
        <v>925</v>
      </c>
      <c r="B49" s="1840" t="s">
        <v>2090</v>
      </c>
      <c r="C49" s="1841">
        <v>9.7000000000000003E-2</v>
      </c>
      <c r="D49" s="1841">
        <v>9.5000000000000001E-2</v>
      </c>
      <c r="E49" s="1841">
        <v>9.7000000000000003E-2</v>
      </c>
      <c r="F49" s="1842">
        <v>0.1</v>
      </c>
    </row>
    <row r="50" spans="1:6" ht="14.5" thickBot="1">
      <c r="A50" s="1839" t="s">
        <v>925</v>
      </c>
      <c r="B50" s="1843" t="s">
        <v>1073</v>
      </c>
      <c r="C50" s="1844">
        <v>7.4999999999999997E-2</v>
      </c>
      <c r="D50" s="1844">
        <v>9.5000000000000001E-2</v>
      </c>
      <c r="E50" s="1844">
        <v>0.1</v>
      </c>
      <c r="F50" s="1845">
        <v>0.1</v>
      </c>
    </row>
    <row r="51" spans="1:6" ht="14.5" thickBot="1">
      <c r="A51" s="1839" t="s">
        <v>925</v>
      </c>
      <c r="B51" s="1843" t="s">
        <v>1087</v>
      </c>
      <c r="C51" s="1844">
        <v>9.8000000000000004E-2</v>
      </c>
      <c r="D51" s="1844">
        <v>8.8999999999999996E-2</v>
      </c>
      <c r="E51" s="1844">
        <v>0.1</v>
      </c>
      <c r="F51" s="1845">
        <v>0.1</v>
      </c>
    </row>
    <row r="52" spans="1:6" ht="14.5" thickBot="1">
      <c r="A52" s="1839" t="s">
        <v>925</v>
      </c>
      <c r="B52" s="1843" t="s">
        <v>1100</v>
      </c>
      <c r="C52" s="1844">
        <v>9.8000000000000004E-2</v>
      </c>
      <c r="D52" s="1844">
        <v>9.7000000000000003E-2</v>
      </c>
      <c r="E52" s="1844">
        <v>8.1000000000000003E-2</v>
      </c>
      <c r="F52" s="1845">
        <v>0.1</v>
      </c>
    </row>
    <row r="53" spans="1:6" ht="14.5" thickBot="1">
      <c r="A53" s="1839" t="s">
        <v>925</v>
      </c>
      <c r="B53" s="1843" t="s">
        <v>1114</v>
      </c>
      <c r="C53" s="1844">
        <v>9.7000000000000003E-2</v>
      </c>
      <c r="D53" s="1844">
        <v>7.5999999999999998E-2</v>
      </c>
      <c r="E53" s="1844">
        <v>7.0999999999999994E-2</v>
      </c>
      <c r="F53" s="1845">
        <v>0.1</v>
      </c>
    </row>
    <row r="54" spans="1:6" ht="14.5" thickBot="1">
      <c r="A54" s="1839" t="s">
        <v>925</v>
      </c>
      <c r="B54" s="1843" t="s">
        <v>1125</v>
      </c>
      <c r="C54" s="1844">
        <v>7.5999999999999998E-2</v>
      </c>
      <c r="D54" s="1844">
        <v>0.1</v>
      </c>
      <c r="E54" s="1844">
        <v>9.9000000000000005E-2</v>
      </c>
      <c r="F54" s="1845">
        <v>0.1</v>
      </c>
    </row>
    <row r="55" spans="1:6" ht="14.5" thickBot="1">
      <c r="A55" s="1839" t="s">
        <v>925</v>
      </c>
      <c r="B55" s="1843" t="s">
        <v>1136</v>
      </c>
      <c r="C55" s="1844">
        <v>0.1</v>
      </c>
      <c r="D55" s="1844">
        <v>0.1</v>
      </c>
      <c r="E55" s="1844">
        <v>9.6000000000000002E-2</v>
      </c>
      <c r="F55" s="1845">
        <v>0.1</v>
      </c>
    </row>
    <row r="56" spans="1:6" ht="14.5" thickBot="1">
      <c r="A56" s="1839" t="s">
        <v>925</v>
      </c>
      <c r="B56" s="1843" t="s">
        <v>1147</v>
      </c>
      <c r="C56" s="1844">
        <v>0.1</v>
      </c>
      <c r="D56" s="1844">
        <v>9.6000000000000002E-2</v>
      </c>
      <c r="E56" s="1844">
        <v>5.1999999999999998E-2</v>
      </c>
      <c r="F56" s="1845">
        <v>0.1</v>
      </c>
    </row>
    <row r="57" spans="1:6" ht="14.5" thickBot="1">
      <c r="A57" s="1839" t="s">
        <v>925</v>
      </c>
      <c r="B57" s="1843" t="s">
        <v>1159</v>
      </c>
      <c r="C57" s="1844">
        <v>9.7000000000000003E-2</v>
      </c>
      <c r="D57" s="1844">
        <v>9.6000000000000002E-2</v>
      </c>
      <c r="E57" s="1844">
        <v>9.6000000000000002E-2</v>
      </c>
      <c r="F57" s="1845">
        <v>0.1</v>
      </c>
    </row>
    <row r="58" spans="1:6" ht="14.5" thickBot="1">
      <c r="A58" s="1839" t="s">
        <v>925</v>
      </c>
      <c r="B58" s="1843" t="s">
        <v>1169</v>
      </c>
      <c r="C58" s="1844">
        <v>9.6000000000000002E-2</v>
      </c>
      <c r="D58" s="1844">
        <v>9.9000000000000005E-2</v>
      </c>
      <c r="E58" s="1844">
        <v>9.6000000000000002E-2</v>
      </c>
      <c r="F58" s="1845">
        <v>0.1</v>
      </c>
    </row>
    <row r="59" spans="1:6" ht="14.5" thickBot="1">
      <c r="A59" s="1839" t="s">
        <v>925</v>
      </c>
      <c r="B59" s="1843" t="s">
        <v>1179</v>
      </c>
      <c r="C59" s="1844">
        <v>7.1999999999999995E-2</v>
      </c>
      <c r="D59" s="1844">
        <v>9.6000000000000002E-2</v>
      </c>
      <c r="E59" s="1844">
        <v>7.0999999999999994E-2</v>
      </c>
      <c r="F59" s="1845">
        <v>0.1</v>
      </c>
    </row>
    <row r="60" spans="1:6" ht="14.5" thickBot="1">
      <c r="A60" s="1839" t="s">
        <v>925</v>
      </c>
      <c r="B60" s="1843" t="s">
        <v>1189</v>
      </c>
      <c r="C60" s="1844">
        <v>9.6000000000000002E-2</v>
      </c>
      <c r="D60" s="1844">
        <v>8.8999999999999996E-2</v>
      </c>
      <c r="E60" s="1844">
        <v>9.6000000000000002E-2</v>
      </c>
      <c r="F60" s="1845">
        <v>0.1</v>
      </c>
    </row>
    <row r="61" spans="1:6" ht="14.5" thickBot="1">
      <c r="A61" s="1839" t="s">
        <v>925</v>
      </c>
      <c r="B61" s="1843" t="s">
        <v>1199</v>
      </c>
      <c r="C61" s="1844">
        <v>8.8999999999999996E-2</v>
      </c>
      <c r="D61" s="1844">
        <v>9.8000000000000004E-2</v>
      </c>
      <c r="E61" s="1844">
        <v>8.7999999999999995E-2</v>
      </c>
      <c r="F61" s="1852"/>
    </row>
    <row r="62" spans="1:6" ht="14.5" thickBot="1">
      <c r="A62" s="1839" t="s">
        <v>925</v>
      </c>
      <c r="B62" s="1843" t="s">
        <v>1209</v>
      </c>
      <c r="C62" s="1844">
        <v>9.8000000000000004E-2</v>
      </c>
      <c r="D62" s="1844">
        <v>9.2999999999999999E-2</v>
      </c>
      <c r="E62" s="1844">
        <v>9.7000000000000003E-2</v>
      </c>
      <c r="F62" s="1852"/>
    </row>
    <row r="63" spans="1:6" ht="14.5" thickBot="1">
      <c r="A63" s="1839" t="s">
        <v>925</v>
      </c>
      <c r="B63" s="1843" t="s">
        <v>1219</v>
      </c>
      <c r="C63" s="1844">
        <v>9.6000000000000002E-2</v>
      </c>
      <c r="D63" s="1844">
        <v>9.8000000000000004E-2</v>
      </c>
      <c r="E63" s="1844">
        <v>0.09</v>
      </c>
      <c r="F63" s="1852"/>
    </row>
    <row r="64" spans="1:6" ht="14.5" thickBot="1">
      <c r="A64" s="1839" t="s">
        <v>925</v>
      </c>
      <c r="B64" s="1843" t="s">
        <v>1229</v>
      </c>
      <c r="C64" s="1844">
        <v>9.9000000000000005E-2</v>
      </c>
      <c r="D64" s="1844">
        <v>9.7000000000000003E-2</v>
      </c>
      <c r="E64" s="1844">
        <v>9.9000000000000005E-2</v>
      </c>
      <c r="F64" s="1852"/>
    </row>
    <row r="65" spans="1:6" ht="14.5" thickBot="1">
      <c r="A65" s="1839" t="s">
        <v>925</v>
      </c>
      <c r="B65" s="1843" t="s">
        <v>1239</v>
      </c>
      <c r="C65" s="1844">
        <v>9.8000000000000004E-2</v>
      </c>
      <c r="D65" s="1844">
        <v>9.6000000000000002E-2</v>
      </c>
      <c r="E65" s="1844">
        <v>9.6000000000000002E-2</v>
      </c>
      <c r="F65" s="1852"/>
    </row>
    <row r="66" spans="1:6" ht="14.5" thickBot="1">
      <c r="A66" s="1839" t="s">
        <v>925</v>
      </c>
      <c r="B66" s="1843" t="s">
        <v>1249</v>
      </c>
      <c r="C66" s="1844">
        <v>9.6000000000000002E-2</v>
      </c>
      <c r="D66" s="1844">
        <v>9.1999999999999998E-2</v>
      </c>
      <c r="E66" s="1844">
        <v>9.6000000000000002E-2</v>
      </c>
      <c r="F66" s="1852"/>
    </row>
    <row r="67" spans="1:6" ht="14.5" thickBot="1">
      <c r="A67" s="1839" t="s">
        <v>925</v>
      </c>
      <c r="B67" s="1843" t="s">
        <v>1259</v>
      </c>
      <c r="C67" s="1844">
        <v>9.4E-2</v>
      </c>
      <c r="D67" s="1844">
        <v>0.1</v>
      </c>
      <c r="E67" s="1844">
        <v>8.7999999999999995E-2</v>
      </c>
      <c r="F67" s="1852"/>
    </row>
    <row r="68" spans="1:6" ht="14.5" thickBot="1">
      <c r="A68" s="1839" t="s">
        <v>925</v>
      </c>
      <c r="B68" s="1843" t="s">
        <v>1268</v>
      </c>
      <c r="C68" s="1844">
        <v>0.1</v>
      </c>
      <c r="D68" s="1844">
        <v>8.7999999999999995E-2</v>
      </c>
      <c r="E68" s="1844">
        <v>9.7000000000000003E-2</v>
      </c>
      <c r="F68" s="1852"/>
    </row>
    <row r="69" spans="1:6" ht="14.5" thickBot="1">
      <c r="A69" s="1839" t="s">
        <v>925</v>
      </c>
      <c r="B69" s="1843" t="s">
        <v>1277</v>
      </c>
      <c r="C69" s="1844">
        <v>6.4000000000000001E-2</v>
      </c>
      <c r="D69" s="1844">
        <v>0.1</v>
      </c>
      <c r="E69" s="1844">
        <v>0.1</v>
      </c>
      <c r="F69" s="1852"/>
    </row>
    <row r="70" spans="1:6" ht="14.5" thickBot="1">
      <c r="A70" s="1839" t="s">
        <v>925</v>
      </c>
      <c r="B70" s="1843" t="s">
        <v>1285</v>
      </c>
      <c r="C70" s="1844">
        <v>9.0999999999999998E-2</v>
      </c>
      <c r="D70" s="1853"/>
      <c r="E70" s="1853"/>
      <c r="F70" s="1852"/>
    </row>
    <row r="71" spans="1:6" ht="14.5" thickBot="1">
      <c r="A71" s="1839" t="s">
        <v>925</v>
      </c>
      <c r="B71" s="1843" t="s">
        <v>1292</v>
      </c>
      <c r="C71" s="1844">
        <v>0.1</v>
      </c>
      <c r="D71" s="1853"/>
      <c r="E71" s="1853"/>
      <c r="F71" s="1852"/>
    </row>
    <row r="72" spans="1:6" ht="26.5" thickBot="1">
      <c r="A72" s="1839" t="s">
        <v>925</v>
      </c>
      <c r="B72" s="1843" t="s">
        <v>2091</v>
      </c>
      <c r="C72" s="1853"/>
      <c r="D72" s="1853"/>
      <c r="E72" s="1853"/>
      <c r="F72" s="1845">
        <v>0.05</v>
      </c>
    </row>
    <row r="73" spans="1:6" ht="26.5" thickBot="1">
      <c r="A73" s="1839" t="s">
        <v>925</v>
      </c>
      <c r="B73" s="1843" t="s">
        <v>2092</v>
      </c>
      <c r="C73" s="1853"/>
      <c r="D73" s="1853"/>
      <c r="E73" s="1853"/>
      <c r="F73" s="1845">
        <v>0.05</v>
      </c>
    </row>
    <row r="74" spans="1:6" ht="26.5" thickBot="1">
      <c r="A74" s="1839" t="s">
        <v>925</v>
      </c>
      <c r="B74" s="1843" t="s">
        <v>2093</v>
      </c>
      <c r="C74" s="1853"/>
      <c r="D74" s="1853"/>
      <c r="E74" s="1853"/>
      <c r="F74" s="1845">
        <v>0.05</v>
      </c>
    </row>
    <row r="75" spans="1:6" ht="26.5" thickBot="1">
      <c r="A75" s="1847" t="s">
        <v>925</v>
      </c>
      <c r="B75" s="1854" t="s">
        <v>2094</v>
      </c>
      <c r="C75" s="1850"/>
      <c r="D75" s="1850"/>
      <c r="E75" s="1850"/>
      <c r="F75" s="1855">
        <v>0.05</v>
      </c>
    </row>
    <row r="76" spans="1:6" ht="14.5" thickBot="1">
      <c r="A76" s="1839" t="s">
        <v>1407</v>
      </c>
      <c r="B76" s="1840" t="s">
        <v>2095</v>
      </c>
      <c r="C76" s="1841">
        <v>0.1</v>
      </c>
      <c r="D76" s="1841">
        <v>0.1</v>
      </c>
      <c r="E76" s="1841">
        <v>0.1</v>
      </c>
      <c r="F76" s="1842">
        <v>0.1</v>
      </c>
    </row>
    <row r="77" spans="1:6" ht="14.5" thickBot="1">
      <c r="A77" s="1839" t="s">
        <v>1407</v>
      </c>
      <c r="B77" s="1843" t="s">
        <v>1074</v>
      </c>
      <c r="C77" s="1844">
        <v>8.7999999999999995E-2</v>
      </c>
      <c r="D77" s="1844">
        <v>8.6999999999999994E-2</v>
      </c>
      <c r="E77" s="1844">
        <v>7.9000000000000001E-2</v>
      </c>
      <c r="F77" s="1845">
        <v>0.1</v>
      </c>
    </row>
    <row r="78" spans="1:6" ht="14.5" thickBot="1">
      <c r="A78" s="1839" t="s">
        <v>1407</v>
      </c>
      <c r="B78" s="1843" t="s">
        <v>1088</v>
      </c>
      <c r="C78" s="1844">
        <v>8.6999999999999994E-2</v>
      </c>
      <c r="D78" s="1844">
        <v>8.4000000000000005E-2</v>
      </c>
      <c r="E78" s="1844">
        <v>9.6000000000000002E-2</v>
      </c>
      <c r="F78" s="1845">
        <v>0.1</v>
      </c>
    </row>
    <row r="79" spans="1:6" ht="14.5" thickBot="1">
      <c r="A79" s="1839" t="s">
        <v>1407</v>
      </c>
      <c r="B79" s="1843" t="s">
        <v>1101</v>
      </c>
      <c r="C79" s="1844">
        <v>9.8000000000000004E-2</v>
      </c>
      <c r="D79" s="1844">
        <v>9.8000000000000004E-2</v>
      </c>
      <c r="E79" s="1844">
        <v>9.0999999999999998E-2</v>
      </c>
      <c r="F79" s="1845">
        <v>0.1</v>
      </c>
    </row>
    <row r="80" spans="1:6" ht="14.5" thickBot="1">
      <c r="A80" s="1839" t="s">
        <v>1407</v>
      </c>
      <c r="B80" s="1843" t="s">
        <v>1115</v>
      </c>
      <c r="C80" s="1844">
        <v>9.6000000000000002E-2</v>
      </c>
      <c r="D80" s="1844">
        <v>9.6000000000000002E-2</v>
      </c>
      <c r="E80" s="1844">
        <v>0.1</v>
      </c>
      <c r="F80" s="1845">
        <v>0.1</v>
      </c>
    </row>
    <row r="81" spans="1:6" ht="14.5" thickBot="1">
      <c r="A81" s="1839" t="s">
        <v>1407</v>
      </c>
      <c r="B81" s="1843" t="s">
        <v>1126</v>
      </c>
      <c r="C81" s="1844">
        <v>9.9000000000000005E-2</v>
      </c>
      <c r="D81" s="1844">
        <v>9.9000000000000005E-2</v>
      </c>
      <c r="E81" s="1844">
        <v>9.8000000000000004E-2</v>
      </c>
      <c r="F81" s="1845">
        <v>0.1</v>
      </c>
    </row>
    <row r="82" spans="1:6" ht="14.5" thickBot="1">
      <c r="A82" s="1839" t="s">
        <v>1407</v>
      </c>
      <c r="B82" s="1843" t="s">
        <v>1137</v>
      </c>
      <c r="C82" s="1844">
        <v>9.9000000000000005E-2</v>
      </c>
      <c r="D82" s="1844">
        <v>9.9000000000000005E-2</v>
      </c>
      <c r="E82" s="1844">
        <v>9.7000000000000003E-2</v>
      </c>
      <c r="F82" s="1845">
        <v>0.1</v>
      </c>
    </row>
    <row r="83" spans="1:6" ht="14.5" thickBot="1">
      <c r="A83" s="1839" t="s">
        <v>1407</v>
      </c>
      <c r="B83" s="1843" t="s">
        <v>1148</v>
      </c>
      <c r="C83" s="1844">
        <v>9.8000000000000004E-2</v>
      </c>
      <c r="D83" s="1844">
        <v>9.8000000000000004E-2</v>
      </c>
      <c r="E83" s="1844">
        <v>9.8000000000000004E-2</v>
      </c>
      <c r="F83" s="1845">
        <v>0.1</v>
      </c>
    </row>
    <row r="84" spans="1:6" ht="14.5" thickBot="1">
      <c r="A84" s="1839" t="s">
        <v>1407</v>
      </c>
      <c r="B84" s="1843" t="s">
        <v>1160</v>
      </c>
      <c r="C84" s="1844">
        <v>9.9000000000000005E-2</v>
      </c>
      <c r="D84" s="1844">
        <v>9.9000000000000005E-2</v>
      </c>
      <c r="E84" s="1844">
        <v>9.9000000000000005E-2</v>
      </c>
      <c r="F84" s="1845">
        <v>0.1</v>
      </c>
    </row>
    <row r="85" spans="1:6" ht="14.5" thickBot="1">
      <c r="A85" s="1839" t="s">
        <v>1407</v>
      </c>
      <c r="B85" s="1843" t="s">
        <v>1170</v>
      </c>
      <c r="C85" s="1844">
        <v>9.9000000000000005E-2</v>
      </c>
      <c r="D85" s="1844">
        <v>9.9000000000000005E-2</v>
      </c>
      <c r="E85" s="1844">
        <v>9.9000000000000005E-2</v>
      </c>
      <c r="F85" s="1845">
        <v>0.1</v>
      </c>
    </row>
    <row r="86" spans="1:6" ht="14.5" thickBot="1">
      <c r="A86" s="1839" t="s">
        <v>1407</v>
      </c>
      <c r="B86" s="1843" t="s">
        <v>1180</v>
      </c>
      <c r="C86" s="1844">
        <v>0.1</v>
      </c>
      <c r="D86" s="1844">
        <v>0.1</v>
      </c>
      <c r="E86" s="1844">
        <v>7.6999999999999999E-2</v>
      </c>
      <c r="F86" s="1845">
        <v>0.1</v>
      </c>
    </row>
    <row r="87" spans="1:6" ht="14.5" thickBot="1">
      <c r="A87" s="1839" t="s">
        <v>1407</v>
      </c>
      <c r="B87" s="1843" t="s">
        <v>1190</v>
      </c>
      <c r="C87" s="1844">
        <v>0.1</v>
      </c>
      <c r="D87" s="1844">
        <v>0.1</v>
      </c>
      <c r="E87" s="1844">
        <v>9.8000000000000004E-2</v>
      </c>
      <c r="F87" s="1852"/>
    </row>
    <row r="88" spans="1:6" ht="14.5" thickBot="1">
      <c r="A88" s="1839" t="s">
        <v>1407</v>
      </c>
      <c r="B88" s="1843" t="s">
        <v>1200</v>
      </c>
      <c r="C88" s="1844">
        <v>9.1999999999999998E-2</v>
      </c>
      <c r="D88" s="1844">
        <v>8.5000000000000006E-2</v>
      </c>
      <c r="E88" s="1844">
        <v>9.6000000000000002E-2</v>
      </c>
      <c r="F88" s="1852"/>
    </row>
    <row r="89" spans="1:6" ht="14.5" thickBot="1">
      <c r="A89" s="1839" t="s">
        <v>1407</v>
      </c>
      <c r="B89" s="1843" t="s">
        <v>1210</v>
      </c>
      <c r="C89" s="1844">
        <v>0.1</v>
      </c>
      <c r="D89" s="1844">
        <v>0.1</v>
      </c>
      <c r="E89" s="1844">
        <v>9.7000000000000003E-2</v>
      </c>
      <c r="F89" s="1852"/>
    </row>
    <row r="90" spans="1:6" ht="14.5" thickBot="1">
      <c r="A90" s="1839" t="s">
        <v>1407</v>
      </c>
      <c r="B90" s="1843" t="s">
        <v>1220</v>
      </c>
      <c r="C90" s="1844">
        <v>9.8000000000000004E-2</v>
      </c>
      <c r="D90" s="1844">
        <v>9.8000000000000004E-2</v>
      </c>
      <c r="E90" s="1844">
        <v>8.7999999999999995E-2</v>
      </c>
      <c r="F90" s="1852"/>
    </row>
    <row r="91" spans="1:6" ht="14.5" thickBot="1">
      <c r="A91" s="1839" t="s">
        <v>1407</v>
      </c>
      <c r="B91" s="1843" t="s">
        <v>1230</v>
      </c>
      <c r="C91" s="1844">
        <v>9.9000000000000005E-2</v>
      </c>
      <c r="D91" s="1844">
        <v>9.9000000000000005E-2</v>
      </c>
      <c r="E91" s="1844">
        <v>9.0999999999999998E-2</v>
      </c>
      <c r="F91" s="1852"/>
    </row>
    <row r="92" spans="1:6" ht="14.5" thickBot="1">
      <c r="A92" s="1839" t="s">
        <v>1407</v>
      </c>
      <c r="B92" s="1843" t="s">
        <v>1240</v>
      </c>
      <c r="C92" s="1844">
        <v>9.6000000000000002E-2</v>
      </c>
      <c r="D92" s="1844">
        <v>9.6000000000000002E-2</v>
      </c>
      <c r="E92" s="1844">
        <v>7.2999999999999995E-2</v>
      </c>
      <c r="F92" s="1852"/>
    </row>
    <row r="93" spans="1:6" ht="14.5" thickBot="1">
      <c r="A93" s="1839" t="s">
        <v>1407</v>
      </c>
      <c r="B93" s="1843" t="s">
        <v>1250</v>
      </c>
      <c r="C93" s="1844">
        <v>9.6000000000000002E-2</v>
      </c>
      <c r="D93" s="1844">
        <v>9.6000000000000002E-2</v>
      </c>
      <c r="E93" s="1844">
        <v>9.9000000000000005E-2</v>
      </c>
      <c r="F93" s="1852"/>
    </row>
    <row r="94" spans="1:6" ht="14.5" thickBot="1">
      <c r="A94" s="1839" t="s">
        <v>1407</v>
      </c>
      <c r="B94" s="1843" t="s">
        <v>1260</v>
      </c>
      <c r="C94" s="1844">
        <v>7.5999999999999998E-2</v>
      </c>
      <c r="D94" s="1844">
        <v>7.3999999999999996E-2</v>
      </c>
      <c r="E94" s="1844">
        <v>9.7000000000000003E-2</v>
      </c>
      <c r="F94" s="1852"/>
    </row>
    <row r="95" spans="1:6" ht="14.5" thickBot="1">
      <c r="A95" s="1839" t="s">
        <v>1407</v>
      </c>
      <c r="B95" s="1843" t="s">
        <v>1269</v>
      </c>
      <c r="C95" s="1844">
        <v>9.9000000000000005E-2</v>
      </c>
      <c r="D95" s="1844">
        <v>9.4E-2</v>
      </c>
      <c r="E95" s="1844">
        <v>9.6000000000000002E-2</v>
      </c>
      <c r="F95" s="1852"/>
    </row>
    <row r="96" spans="1:6" ht="14.5" thickBot="1">
      <c r="A96" s="1839" t="s">
        <v>1407</v>
      </c>
      <c r="B96" s="1843" t="s">
        <v>1278</v>
      </c>
      <c r="C96" s="1844">
        <v>9.9000000000000005E-2</v>
      </c>
      <c r="D96" s="1844">
        <v>9.9000000000000005E-2</v>
      </c>
      <c r="E96" s="1844">
        <v>9.9000000000000005E-2</v>
      </c>
      <c r="F96" s="1852"/>
    </row>
    <row r="97" spans="1:6" ht="14.5" thickBot="1">
      <c r="A97" s="1839" t="s">
        <v>1407</v>
      </c>
      <c r="B97" s="1843" t="s">
        <v>1286</v>
      </c>
      <c r="C97" s="1844">
        <v>9.8000000000000004E-2</v>
      </c>
      <c r="D97" s="1844">
        <v>9.8000000000000004E-2</v>
      </c>
      <c r="E97" s="1844">
        <v>9.7000000000000003E-2</v>
      </c>
      <c r="F97" s="1852"/>
    </row>
    <row r="98" spans="1:6" ht="14.5" thickBot="1">
      <c r="A98" s="1839" t="s">
        <v>1407</v>
      </c>
      <c r="B98" s="1843" t="s">
        <v>1293</v>
      </c>
      <c r="C98" s="1844">
        <v>0.1</v>
      </c>
      <c r="D98" s="1844">
        <v>0.1</v>
      </c>
      <c r="E98" s="1844">
        <v>9.7000000000000003E-2</v>
      </c>
      <c r="F98" s="1852"/>
    </row>
    <row r="99" spans="1:6" ht="14.5" thickBot="1">
      <c r="A99" s="1839" t="s">
        <v>1407</v>
      </c>
      <c r="B99" s="1843" t="s">
        <v>1300</v>
      </c>
      <c r="C99" s="1844">
        <v>0.1</v>
      </c>
      <c r="D99" s="1844">
        <v>0.1</v>
      </c>
      <c r="E99" s="1853"/>
      <c r="F99" s="1852"/>
    </row>
    <row r="100" spans="1:6" ht="14.5" thickBot="1">
      <c r="A100" s="1839" t="s">
        <v>1407</v>
      </c>
      <c r="B100" s="1843" t="s">
        <v>1307</v>
      </c>
      <c r="C100" s="1844">
        <v>0.09</v>
      </c>
      <c r="D100" s="1844">
        <v>8.8999999999999996E-2</v>
      </c>
      <c r="E100" s="1853"/>
      <c r="F100" s="1852"/>
    </row>
    <row r="101" spans="1:6" ht="14.5" thickBot="1">
      <c r="A101" s="1839" t="s">
        <v>1407</v>
      </c>
      <c r="B101" s="1843" t="s">
        <v>1314</v>
      </c>
      <c r="C101" s="1844">
        <v>9.8000000000000004E-2</v>
      </c>
      <c r="D101" s="1844">
        <v>9.7000000000000003E-2</v>
      </c>
      <c r="E101" s="1853"/>
      <c r="F101" s="1852"/>
    </row>
    <row r="102" spans="1:6" ht="26.5" thickBot="1">
      <c r="A102" s="1839" t="s">
        <v>1407</v>
      </c>
      <c r="B102" s="1843" t="s">
        <v>2096</v>
      </c>
      <c r="C102" s="1853"/>
      <c r="D102" s="1853"/>
      <c r="E102" s="1853"/>
      <c r="F102" s="1845">
        <v>0.05</v>
      </c>
    </row>
    <row r="103" spans="1:6" ht="26.5" thickBot="1">
      <c r="A103" s="1839" t="s">
        <v>1407</v>
      </c>
      <c r="B103" s="1843" t="s">
        <v>2097</v>
      </c>
      <c r="C103" s="1853"/>
      <c r="D103" s="1853"/>
      <c r="E103" s="1853"/>
      <c r="F103" s="1845">
        <v>0.05</v>
      </c>
    </row>
    <row r="104" spans="1:6" ht="14.5" thickBot="1">
      <c r="A104" s="1839" t="s">
        <v>1407</v>
      </c>
      <c r="B104" s="1843" t="s">
        <v>2098</v>
      </c>
      <c r="C104" s="1853"/>
      <c r="D104" s="1853"/>
      <c r="E104" s="1853"/>
      <c r="F104" s="1845">
        <v>0.05</v>
      </c>
    </row>
    <row r="105" spans="1:6" ht="26.5" thickBot="1">
      <c r="A105" s="1839" t="s">
        <v>1407</v>
      </c>
      <c r="B105" s="1843" t="s">
        <v>2099</v>
      </c>
      <c r="C105" s="1853"/>
      <c r="D105" s="1853"/>
      <c r="E105" s="1853"/>
      <c r="F105" s="1845">
        <v>0.05</v>
      </c>
    </row>
    <row r="106" spans="1:6" ht="26.5" thickBot="1">
      <c r="A106" s="1839" t="s">
        <v>1407</v>
      </c>
      <c r="B106" s="1843" t="s">
        <v>2100</v>
      </c>
      <c r="C106" s="1853"/>
      <c r="D106" s="1853"/>
      <c r="E106" s="1853"/>
      <c r="F106" s="1845">
        <v>0.05</v>
      </c>
    </row>
    <row r="107" spans="1:6" ht="26.5" thickBot="1">
      <c r="A107" s="1839" t="s">
        <v>1407</v>
      </c>
      <c r="B107" s="1843" t="s">
        <v>2101</v>
      </c>
      <c r="C107" s="1853"/>
      <c r="D107" s="1853"/>
      <c r="E107" s="1853"/>
      <c r="F107" s="1845">
        <v>0.05</v>
      </c>
    </row>
    <row r="108" spans="1:6" ht="26.5" thickBot="1">
      <c r="A108" s="1839" t="s">
        <v>1407</v>
      </c>
      <c r="B108" s="1843" t="s">
        <v>2102</v>
      </c>
      <c r="C108" s="1853"/>
      <c r="D108" s="1853"/>
      <c r="E108" s="1853"/>
      <c r="F108" s="1845">
        <v>0.05</v>
      </c>
    </row>
    <row r="109" spans="1:6" ht="26.5" thickBot="1">
      <c r="A109" s="1847" t="s">
        <v>1407</v>
      </c>
      <c r="B109" s="1854" t="s">
        <v>2103</v>
      </c>
      <c r="C109" s="1850"/>
      <c r="D109" s="1850"/>
      <c r="E109" s="1850"/>
      <c r="F109" s="1855">
        <v>0.05</v>
      </c>
    </row>
    <row r="110" spans="1:6" ht="14.5" thickBot="1">
      <c r="A110" s="1839" t="s">
        <v>1409</v>
      </c>
      <c r="B110" s="1840" t="s">
        <v>2104</v>
      </c>
      <c r="C110" s="1841">
        <v>0.129</v>
      </c>
      <c r="D110" s="1841">
        <v>0.129</v>
      </c>
      <c r="E110" s="1841">
        <v>0.126</v>
      </c>
      <c r="F110" s="1842">
        <v>0.13</v>
      </c>
    </row>
    <row r="111" spans="1:6" ht="14.5" thickBot="1">
      <c r="A111" s="1839" t="s">
        <v>1409</v>
      </c>
      <c r="B111" s="1843" t="s">
        <v>1075</v>
      </c>
      <c r="C111" s="1844">
        <v>0.11</v>
      </c>
      <c r="D111" s="1844">
        <v>0.11</v>
      </c>
      <c r="E111" s="1844">
        <v>9.9000000000000005E-2</v>
      </c>
      <c r="F111" s="1845">
        <v>0.128</v>
      </c>
    </row>
    <row r="112" spans="1:6" ht="14.5" thickBot="1">
      <c r="A112" s="1839" t="s">
        <v>1409</v>
      </c>
      <c r="B112" s="1843" t="s">
        <v>1089</v>
      </c>
      <c r="C112" s="1844">
        <v>0.125</v>
      </c>
      <c r="D112" s="1844">
        <v>0.125</v>
      </c>
      <c r="E112" s="1844">
        <v>0.12</v>
      </c>
      <c r="F112" s="1845">
        <v>0.125</v>
      </c>
    </row>
    <row r="113" spans="1:6" ht="14.5" thickBot="1">
      <c r="A113" s="1839" t="s">
        <v>1409</v>
      </c>
      <c r="B113" s="1843" t="s">
        <v>1102</v>
      </c>
      <c r="C113" s="1844">
        <v>0.13</v>
      </c>
      <c r="D113" s="1844">
        <v>0.13</v>
      </c>
      <c r="E113" s="1844">
        <v>0.13</v>
      </c>
      <c r="F113" s="1845">
        <v>0.13</v>
      </c>
    </row>
    <row r="114" spans="1:6" ht="14.5" thickBot="1">
      <c r="A114" s="1839" t="s">
        <v>1409</v>
      </c>
      <c r="B114" s="1843" t="s">
        <v>1116</v>
      </c>
      <c r="C114" s="1844">
        <v>0.123</v>
      </c>
      <c r="D114" s="1844">
        <v>0.123</v>
      </c>
      <c r="E114" s="1844">
        <v>0.12</v>
      </c>
      <c r="F114" s="1845">
        <v>0.13</v>
      </c>
    </row>
    <row r="115" spans="1:6" ht="14.5" thickBot="1">
      <c r="A115" s="1839" t="s">
        <v>1409</v>
      </c>
      <c r="B115" s="1843" t="s">
        <v>1127</v>
      </c>
      <c r="C115" s="1844">
        <v>0.125</v>
      </c>
      <c r="D115" s="1844">
        <v>0.125</v>
      </c>
      <c r="E115" s="1844">
        <v>0.11700000000000001</v>
      </c>
      <c r="F115" s="1845">
        <v>0.13</v>
      </c>
    </row>
    <row r="116" spans="1:6" ht="14.5" thickBot="1">
      <c r="A116" s="1839" t="s">
        <v>1409</v>
      </c>
      <c r="B116" s="1843" t="s">
        <v>1138</v>
      </c>
      <c r="C116" s="1844">
        <v>0.11700000000000001</v>
      </c>
      <c r="D116" s="1844">
        <v>0.11700000000000001</v>
      </c>
      <c r="E116" s="1844">
        <v>8.7999999999999995E-2</v>
      </c>
      <c r="F116" s="1845">
        <v>0.13</v>
      </c>
    </row>
    <row r="117" spans="1:6" ht="14.5" thickBot="1">
      <c r="A117" s="1839" t="s">
        <v>1409</v>
      </c>
      <c r="B117" s="1843" t="s">
        <v>1149</v>
      </c>
      <c r="C117" s="1844">
        <v>0.13</v>
      </c>
      <c r="D117" s="1844">
        <v>0.13</v>
      </c>
      <c r="E117" s="1844">
        <v>0.129</v>
      </c>
      <c r="F117" s="1845">
        <v>0.13</v>
      </c>
    </row>
    <row r="118" spans="1:6" ht="14.5" thickBot="1">
      <c r="A118" s="1839" t="s">
        <v>1409</v>
      </c>
      <c r="B118" s="1843" t="s">
        <v>1161</v>
      </c>
      <c r="C118" s="1844">
        <v>0.123</v>
      </c>
      <c r="D118" s="1844">
        <v>0.123</v>
      </c>
      <c r="E118" s="1844">
        <v>0.11600000000000001</v>
      </c>
      <c r="F118" s="1845">
        <v>0.13</v>
      </c>
    </row>
    <row r="119" spans="1:6" ht="14.5" thickBot="1">
      <c r="A119" s="1839" t="s">
        <v>1409</v>
      </c>
      <c r="B119" s="1843" t="s">
        <v>1171</v>
      </c>
      <c r="C119" s="1844">
        <v>0.127</v>
      </c>
      <c r="D119" s="1844">
        <v>0.127</v>
      </c>
      <c r="E119" s="1844">
        <v>0.124</v>
      </c>
      <c r="F119" s="1845">
        <v>0.13</v>
      </c>
    </row>
    <row r="120" spans="1:6" ht="14.5" thickBot="1">
      <c r="A120" s="1839" t="s">
        <v>1409</v>
      </c>
      <c r="B120" s="1843" t="s">
        <v>1181</v>
      </c>
      <c r="C120" s="1844">
        <v>0.125</v>
      </c>
      <c r="D120" s="1844">
        <v>0.125</v>
      </c>
      <c r="E120" s="1844">
        <v>0.122</v>
      </c>
      <c r="F120" s="1845">
        <v>0.13</v>
      </c>
    </row>
    <row r="121" spans="1:6" ht="14.5" thickBot="1">
      <c r="A121" s="1839" t="s">
        <v>1409</v>
      </c>
      <c r="B121" s="1843" t="s">
        <v>1191</v>
      </c>
      <c r="C121" s="1844">
        <v>0.13</v>
      </c>
      <c r="D121" s="1844">
        <v>0.13</v>
      </c>
      <c r="E121" s="1844">
        <v>0.13</v>
      </c>
      <c r="F121" s="1845">
        <v>0.13</v>
      </c>
    </row>
    <row r="122" spans="1:6" ht="14.5" thickBot="1">
      <c r="A122" s="1839" t="s">
        <v>1409</v>
      </c>
      <c r="B122" s="1843" t="s">
        <v>1201</v>
      </c>
      <c r="C122" s="1844">
        <v>0.13</v>
      </c>
      <c r="D122" s="1844">
        <v>0.13</v>
      </c>
      <c r="E122" s="1844">
        <v>0.125</v>
      </c>
      <c r="F122" s="1845">
        <v>0.13</v>
      </c>
    </row>
    <row r="123" spans="1:6" ht="14.5" thickBot="1">
      <c r="A123" s="1839" t="s">
        <v>1409</v>
      </c>
      <c r="B123" s="1843" t="s">
        <v>1211</v>
      </c>
      <c r="C123" s="1844">
        <v>0.129</v>
      </c>
      <c r="D123" s="1844">
        <v>0.129</v>
      </c>
      <c r="E123" s="1844">
        <v>0.123</v>
      </c>
      <c r="F123" s="1845">
        <v>0.13</v>
      </c>
    </row>
    <row r="124" spans="1:6" ht="14.5" thickBot="1">
      <c r="A124" s="1839" t="s">
        <v>1409</v>
      </c>
      <c r="B124" s="1843" t="s">
        <v>1221</v>
      </c>
      <c r="C124" s="1844">
        <v>0.10199999999999999</v>
      </c>
      <c r="D124" s="1844">
        <v>0.10100000000000001</v>
      </c>
      <c r="E124" s="1844">
        <v>0.08</v>
      </c>
      <c r="F124" s="1852"/>
    </row>
    <row r="125" spans="1:6" ht="14.5" thickBot="1">
      <c r="A125" s="1839" t="s">
        <v>1409</v>
      </c>
      <c r="B125" s="1843" t="s">
        <v>1231</v>
      </c>
      <c r="C125" s="1844">
        <v>0.13</v>
      </c>
      <c r="D125" s="1844">
        <v>0.13</v>
      </c>
      <c r="E125" s="1844">
        <v>0.129</v>
      </c>
      <c r="F125" s="1852"/>
    </row>
    <row r="126" spans="1:6" ht="14.5" thickBot="1">
      <c r="A126" s="1839" t="s">
        <v>1409</v>
      </c>
      <c r="B126" s="1843" t="s">
        <v>1241</v>
      </c>
      <c r="C126" s="1844">
        <v>0.13</v>
      </c>
      <c r="D126" s="1844">
        <v>0.13</v>
      </c>
      <c r="E126" s="1844">
        <v>0.126</v>
      </c>
      <c r="F126" s="1852"/>
    </row>
    <row r="127" spans="1:6" ht="14.5" thickBot="1">
      <c r="A127" s="1839" t="s">
        <v>1409</v>
      </c>
      <c r="B127" s="1843" t="s">
        <v>1251</v>
      </c>
      <c r="C127" s="1844">
        <v>0.125</v>
      </c>
      <c r="D127" s="1844">
        <v>0.125</v>
      </c>
      <c r="E127" s="1844">
        <v>0.121</v>
      </c>
      <c r="F127" s="1852"/>
    </row>
    <row r="128" spans="1:6" ht="14.5" thickBot="1">
      <c r="A128" s="1839" t="s">
        <v>1409</v>
      </c>
      <c r="B128" s="1843" t="s">
        <v>1261</v>
      </c>
      <c r="C128" s="1844">
        <v>0.12</v>
      </c>
      <c r="D128" s="1844">
        <v>0.12</v>
      </c>
      <c r="E128" s="1844">
        <v>0.105</v>
      </c>
      <c r="F128" s="1852"/>
    </row>
    <row r="129" spans="1:6" ht="14.5" thickBot="1">
      <c r="A129" s="1839" t="s">
        <v>1409</v>
      </c>
      <c r="B129" s="1843" t="s">
        <v>1270</v>
      </c>
      <c r="C129" s="1844">
        <v>0.13</v>
      </c>
      <c r="D129" s="1844">
        <v>0.13</v>
      </c>
      <c r="E129" s="1844">
        <v>0.126</v>
      </c>
      <c r="F129" s="1852"/>
    </row>
    <row r="130" spans="1:6" ht="14.5" thickBot="1">
      <c r="A130" s="1839" t="s">
        <v>1409</v>
      </c>
      <c r="B130" s="1843" t="s">
        <v>1279</v>
      </c>
      <c r="C130" s="1844">
        <v>0.125</v>
      </c>
      <c r="D130" s="1844">
        <v>0.125</v>
      </c>
      <c r="E130" s="1844">
        <v>0.122</v>
      </c>
      <c r="F130" s="1852"/>
    </row>
    <row r="131" spans="1:6" ht="14.5" thickBot="1">
      <c r="A131" s="1839" t="s">
        <v>1409</v>
      </c>
      <c r="B131" s="1843" t="s">
        <v>1287</v>
      </c>
      <c r="C131" s="1844">
        <v>0.127</v>
      </c>
      <c r="D131" s="1844">
        <v>0.126</v>
      </c>
      <c r="E131" s="1844">
        <v>0.123</v>
      </c>
      <c r="F131" s="1852"/>
    </row>
    <row r="132" spans="1:6" ht="14.5" thickBot="1">
      <c r="A132" s="1839" t="s">
        <v>1409</v>
      </c>
      <c r="B132" s="1843" t="s">
        <v>1294</v>
      </c>
      <c r="C132" s="1844">
        <v>9.0999999999999998E-2</v>
      </c>
      <c r="D132" s="1844">
        <v>0.121</v>
      </c>
      <c r="E132" s="1844">
        <v>9.9000000000000005E-2</v>
      </c>
      <c r="F132" s="1852"/>
    </row>
    <row r="133" spans="1:6" ht="14.5" thickBot="1">
      <c r="A133" s="1839" t="s">
        <v>1409</v>
      </c>
      <c r="B133" s="1843" t="s">
        <v>1301</v>
      </c>
      <c r="C133" s="1844">
        <v>0.13</v>
      </c>
      <c r="D133" s="1844">
        <v>0.13</v>
      </c>
      <c r="E133" s="1844">
        <v>0.129</v>
      </c>
      <c r="F133" s="1852"/>
    </row>
    <row r="134" spans="1:6" ht="14.5" thickBot="1">
      <c r="A134" s="1839" t="s">
        <v>1409</v>
      </c>
      <c r="B134" s="1843" t="s">
        <v>2105</v>
      </c>
      <c r="C134" s="1844">
        <v>6.8000000000000005E-2</v>
      </c>
      <c r="D134" s="1844">
        <v>6.5000000000000002E-2</v>
      </c>
      <c r="E134" s="1844">
        <v>6.5000000000000002E-2</v>
      </c>
      <c r="F134" s="1845">
        <v>0.13</v>
      </c>
    </row>
    <row r="135" spans="1:6" ht="14.5" thickBot="1">
      <c r="A135" s="1839" t="s">
        <v>1409</v>
      </c>
      <c r="B135" s="1843" t="s">
        <v>1315</v>
      </c>
      <c r="C135" s="1844">
        <v>0.123</v>
      </c>
      <c r="D135" s="1844">
        <v>0.123</v>
      </c>
      <c r="E135" s="1844">
        <v>0.11</v>
      </c>
      <c r="F135" s="1852"/>
    </row>
    <row r="136" spans="1:6" ht="14.5" thickBot="1">
      <c r="A136" s="1839" t="s">
        <v>1409</v>
      </c>
      <c r="B136" s="1843" t="s">
        <v>1322</v>
      </c>
      <c r="C136" s="1844">
        <v>0.13</v>
      </c>
      <c r="D136" s="1844">
        <v>0.13</v>
      </c>
      <c r="E136" s="1844">
        <v>0.125</v>
      </c>
      <c r="F136" s="1852"/>
    </row>
    <row r="137" spans="1:6" ht="14.5" thickBot="1">
      <c r="A137" s="1839" t="s">
        <v>1409</v>
      </c>
      <c r="B137" s="1843" t="s">
        <v>1329</v>
      </c>
      <c r="C137" s="1844">
        <v>0.121</v>
      </c>
      <c r="D137" s="1844">
        <v>0.122</v>
      </c>
      <c r="E137" s="1844">
        <v>0.115</v>
      </c>
      <c r="F137" s="1852"/>
    </row>
    <row r="138" spans="1:6" ht="14.5" thickBot="1">
      <c r="A138" s="1839" t="s">
        <v>1409</v>
      </c>
      <c r="B138" s="1843" t="s">
        <v>2106</v>
      </c>
      <c r="C138" s="1844">
        <v>0.105</v>
      </c>
      <c r="D138" s="1844">
        <v>0.125</v>
      </c>
      <c r="E138" s="1844">
        <v>0.112</v>
      </c>
      <c r="F138" s="1852"/>
    </row>
    <row r="139" spans="1:6" ht="14.5" thickBot="1">
      <c r="A139" s="1839" t="s">
        <v>1409</v>
      </c>
      <c r="B139" s="1843" t="s">
        <v>2107</v>
      </c>
      <c r="C139" s="1844">
        <v>0.127</v>
      </c>
      <c r="D139" s="1844">
        <v>0.127</v>
      </c>
      <c r="E139" s="1844">
        <v>0.122</v>
      </c>
      <c r="F139" s="1845">
        <v>0.13</v>
      </c>
    </row>
    <row r="140" spans="1:6" ht="14.5" thickBot="1">
      <c r="A140" s="1839" t="s">
        <v>1409</v>
      </c>
      <c r="B140" s="1843" t="s">
        <v>2108</v>
      </c>
      <c r="C140" s="1844">
        <v>0.125</v>
      </c>
      <c r="D140" s="1844">
        <v>0.125</v>
      </c>
      <c r="E140" s="1844">
        <v>0.11899999999999999</v>
      </c>
      <c r="F140" s="1845">
        <v>0.13</v>
      </c>
    </row>
    <row r="141" spans="1:6" ht="14.5" thickBot="1">
      <c r="A141" s="1839" t="s">
        <v>1409</v>
      </c>
      <c r="B141" s="1843" t="s">
        <v>1348</v>
      </c>
      <c r="C141" s="1844">
        <v>0.125</v>
      </c>
      <c r="D141" s="1844">
        <v>0.125</v>
      </c>
      <c r="E141" s="1844">
        <v>0.11700000000000001</v>
      </c>
      <c r="F141" s="1852"/>
    </row>
    <row r="142" spans="1:6" ht="14.5" thickBot="1">
      <c r="A142" s="1839" t="s">
        <v>1409</v>
      </c>
      <c r="B142" s="1843" t="s">
        <v>1353</v>
      </c>
      <c r="C142" s="1844">
        <v>0.125</v>
      </c>
      <c r="D142" s="1844">
        <v>0.125</v>
      </c>
      <c r="E142" s="1844">
        <v>0.115</v>
      </c>
      <c r="F142" s="1852"/>
    </row>
    <row r="143" spans="1:6" ht="14.5" thickBot="1">
      <c r="A143" s="1839" t="s">
        <v>1409</v>
      </c>
      <c r="B143" s="1843" t="s">
        <v>1358</v>
      </c>
      <c r="C143" s="1844">
        <v>0.121</v>
      </c>
      <c r="D143" s="1844">
        <v>0.121</v>
      </c>
      <c r="E143" s="1844">
        <v>0.108</v>
      </c>
      <c r="F143" s="1852"/>
    </row>
    <row r="144" spans="1:6" ht="14.5" thickBot="1">
      <c r="A144" s="1839" t="s">
        <v>1409</v>
      </c>
      <c r="B144" s="1856" t="s">
        <v>2109</v>
      </c>
      <c r="C144" s="1857">
        <v>0.126</v>
      </c>
      <c r="D144" s="1857">
        <v>0.126</v>
      </c>
      <c r="E144" s="1857">
        <v>0.121</v>
      </c>
      <c r="F144" s="1852"/>
    </row>
    <row r="145" spans="1:6" ht="14.5" thickBot="1">
      <c r="A145" s="1847" t="s">
        <v>1409</v>
      </c>
      <c r="B145" s="1858" t="s">
        <v>2110</v>
      </c>
      <c r="C145" s="1859"/>
      <c r="D145" s="1859"/>
      <c r="E145" s="1859"/>
      <c r="F145" s="1860">
        <v>0.05</v>
      </c>
    </row>
    <row r="146" spans="1:6" ht="26.5" thickBot="1">
      <c r="A146" s="1861" t="s">
        <v>1409</v>
      </c>
      <c r="B146" s="1846" t="s">
        <v>2111</v>
      </c>
      <c r="C146" s="1853"/>
      <c r="D146" s="1853"/>
      <c r="E146" s="1853"/>
      <c r="F146" s="1862">
        <v>0.05</v>
      </c>
    </row>
    <row r="147" spans="1:6" ht="26.5" thickBot="1">
      <c r="A147" s="1839" t="s">
        <v>1409</v>
      </c>
      <c r="B147" s="1843" t="s">
        <v>2112</v>
      </c>
      <c r="C147" s="1853"/>
      <c r="D147" s="1853"/>
      <c r="E147" s="1853"/>
      <c r="F147" s="1845">
        <v>0.05</v>
      </c>
    </row>
    <row r="148" spans="1:6" ht="26.5" thickBot="1">
      <c r="A148" s="1839" t="s">
        <v>1409</v>
      </c>
      <c r="B148" s="1843" t="s">
        <v>2113</v>
      </c>
      <c r="C148" s="1853"/>
      <c r="D148" s="1853"/>
      <c r="E148" s="1853"/>
      <c r="F148" s="1845">
        <v>0.05</v>
      </c>
    </row>
    <row r="149" spans="1:6" ht="26.5" thickBot="1">
      <c r="A149" s="1839" t="s">
        <v>1409</v>
      </c>
      <c r="B149" s="1843" t="s">
        <v>2114</v>
      </c>
      <c r="C149" s="1853"/>
      <c r="D149" s="1853"/>
      <c r="E149" s="1853"/>
      <c r="F149" s="1845">
        <v>0.05</v>
      </c>
    </row>
    <row r="150" spans="1:6" ht="26.5" thickBot="1">
      <c r="A150" s="1839" t="s">
        <v>1409</v>
      </c>
      <c r="B150" s="1843" t="s">
        <v>2115</v>
      </c>
      <c r="C150" s="1853"/>
      <c r="D150" s="1853"/>
      <c r="E150" s="1853"/>
      <c r="F150" s="1845">
        <v>0.05</v>
      </c>
    </row>
    <row r="151" spans="1:6" ht="26.5" thickBot="1">
      <c r="A151" s="1839" t="s">
        <v>1409</v>
      </c>
      <c r="B151" s="1843" t="s">
        <v>2116</v>
      </c>
      <c r="C151" s="1853"/>
      <c r="D151" s="1853"/>
      <c r="E151" s="1853"/>
      <c r="F151" s="1845">
        <v>0.05</v>
      </c>
    </row>
    <row r="152" spans="1:6" ht="26.5" thickBot="1">
      <c r="A152" s="1839" t="s">
        <v>1409</v>
      </c>
      <c r="B152" s="1843" t="s">
        <v>1391</v>
      </c>
      <c r="C152" s="1853"/>
      <c r="D152" s="1853"/>
      <c r="E152" s="1853"/>
      <c r="F152" s="1845">
        <v>0.05</v>
      </c>
    </row>
    <row r="153" spans="1:6" ht="14.5" thickBot="1">
      <c r="A153" s="1839" t="s">
        <v>1409</v>
      </c>
      <c r="B153" s="1843" t="s">
        <v>2117</v>
      </c>
      <c r="C153" s="1853"/>
      <c r="D153" s="1853"/>
      <c r="E153" s="1853"/>
      <c r="F153" s="1845">
        <v>0.05</v>
      </c>
    </row>
    <row r="154" spans="1:6" ht="14.5" thickBot="1">
      <c r="A154" s="1839" t="s">
        <v>1409</v>
      </c>
      <c r="B154" s="1843" t="s">
        <v>2118</v>
      </c>
      <c r="C154" s="1853"/>
      <c r="D154" s="1853"/>
      <c r="E154" s="1853"/>
      <c r="F154" s="1845">
        <v>0.05</v>
      </c>
    </row>
    <row r="155" spans="1:6" ht="26.5" thickBot="1">
      <c r="A155" s="1839" t="s">
        <v>1409</v>
      </c>
      <c r="B155" s="1843" t="s">
        <v>2119</v>
      </c>
      <c r="C155" s="1853"/>
      <c r="D155" s="1853"/>
      <c r="E155" s="1853"/>
      <c r="F155" s="1845">
        <v>0.05</v>
      </c>
    </row>
    <row r="156" spans="1:6" ht="26.5" thickBot="1">
      <c r="A156" s="1839" t="s">
        <v>1409</v>
      </c>
      <c r="B156" s="1843" t="s">
        <v>2120</v>
      </c>
      <c r="C156" s="1853"/>
      <c r="D156" s="1853"/>
      <c r="E156" s="1853"/>
      <c r="F156" s="1845">
        <v>0.05</v>
      </c>
    </row>
    <row r="157" spans="1:6" ht="14.5" thickBot="1">
      <c r="A157" s="1847" t="s">
        <v>1409</v>
      </c>
      <c r="B157" s="1854" t="s">
        <v>2121</v>
      </c>
      <c r="C157" s="1850"/>
      <c r="D157" s="1850"/>
      <c r="E157" s="1850"/>
      <c r="F157" s="1855">
        <v>0.05</v>
      </c>
    </row>
    <row r="158" spans="1:6" ht="14.5" thickBot="1">
      <c r="A158" s="1839" t="s">
        <v>1411</v>
      </c>
      <c r="B158" s="1840" t="s">
        <v>2122</v>
      </c>
      <c r="C158" s="1841">
        <v>0.13</v>
      </c>
      <c r="D158" s="1841">
        <v>0.13</v>
      </c>
      <c r="E158" s="1841">
        <v>0.13</v>
      </c>
      <c r="F158" s="1842">
        <v>0.13</v>
      </c>
    </row>
    <row r="159" spans="1:6" ht="14.5" thickBot="1">
      <c r="A159" s="1839" t="s">
        <v>1411</v>
      </c>
      <c r="B159" s="1843" t="s">
        <v>1076</v>
      </c>
      <c r="C159" s="1844">
        <v>0.13</v>
      </c>
      <c r="D159" s="1844">
        <v>0.13</v>
      </c>
      <c r="E159" s="1844">
        <v>0.13</v>
      </c>
      <c r="F159" s="1845">
        <v>0.13</v>
      </c>
    </row>
    <row r="160" spans="1:6" ht="14.5" thickBot="1">
      <c r="A160" s="1839" t="s">
        <v>1411</v>
      </c>
      <c r="B160" s="1843" t="s">
        <v>1090</v>
      </c>
      <c r="C160" s="1844">
        <v>0.13</v>
      </c>
      <c r="D160" s="1844">
        <v>0.13</v>
      </c>
      <c r="E160" s="1844">
        <v>0.129</v>
      </c>
      <c r="F160" s="1845">
        <v>0.13</v>
      </c>
    </row>
    <row r="161" spans="1:6" ht="14.5" thickBot="1">
      <c r="A161" s="1839" t="s">
        <v>1411</v>
      </c>
      <c r="B161" s="1843" t="s">
        <v>1103</v>
      </c>
      <c r="C161" s="1844">
        <v>0.128</v>
      </c>
      <c r="D161" s="1844">
        <v>0.128</v>
      </c>
      <c r="E161" s="1844">
        <v>0.125</v>
      </c>
      <c r="F161" s="1845">
        <v>0.13</v>
      </c>
    </row>
    <row r="162" spans="1:6" ht="14.5" thickBot="1">
      <c r="A162" s="1839" t="s">
        <v>1411</v>
      </c>
      <c r="B162" s="1843" t="s">
        <v>1117</v>
      </c>
      <c r="C162" s="1844">
        <v>0.122</v>
      </c>
      <c r="D162" s="1844">
        <v>0.122</v>
      </c>
      <c r="E162" s="1844">
        <v>0.126</v>
      </c>
      <c r="F162" s="1845">
        <v>0.122</v>
      </c>
    </row>
    <row r="163" spans="1:6" ht="14.5" thickBot="1">
      <c r="A163" s="1839" t="s">
        <v>1411</v>
      </c>
      <c r="B163" s="1843" t="s">
        <v>1128</v>
      </c>
      <c r="C163" s="1844">
        <v>0.13</v>
      </c>
      <c r="D163" s="1844">
        <v>0.13</v>
      </c>
      <c r="E163" s="1844">
        <v>0.125</v>
      </c>
      <c r="F163" s="1845">
        <v>0.13</v>
      </c>
    </row>
    <row r="164" spans="1:6" ht="14.5" thickBot="1">
      <c r="A164" s="1839" t="s">
        <v>1411</v>
      </c>
      <c r="B164" s="1843" t="s">
        <v>1139</v>
      </c>
      <c r="C164" s="1844">
        <v>0.13</v>
      </c>
      <c r="D164" s="1844">
        <v>0.13</v>
      </c>
      <c r="E164" s="1844">
        <v>0.13</v>
      </c>
      <c r="F164" s="1845">
        <v>0.13</v>
      </c>
    </row>
    <row r="165" spans="1:6" ht="14.5" thickBot="1">
      <c r="A165" s="1839" t="s">
        <v>1411</v>
      </c>
      <c r="B165" s="1843" t="s">
        <v>1150</v>
      </c>
      <c r="C165" s="1844">
        <v>0.13</v>
      </c>
      <c r="D165" s="1844">
        <v>0.13</v>
      </c>
      <c r="E165" s="1844">
        <v>0.124</v>
      </c>
      <c r="F165" s="1845">
        <v>0.13</v>
      </c>
    </row>
    <row r="166" spans="1:6" ht="14.5" thickBot="1">
      <c r="A166" s="1839" t="s">
        <v>1411</v>
      </c>
      <c r="B166" s="1843" t="s">
        <v>1162</v>
      </c>
      <c r="C166" s="1844">
        <v>0.13</v>
      </c>
      <c r="D166" s="1844">
        <v>0.13</v>
      </c>
      <c r="E166" s="1844">
        <v>0.13</v>
      </c>
      <c r="F166" s="1845">
        <v>0.13</v>
      </c>
    </row>
    <row r="167" spans="1:6" ht="14.5" thickBot="1">
      <c r="A167" s="1839" t="s">
        <v>1411</v>
      </c>
      <c r="B167" s="1843" t="s">
        <v>1172</v>
      </c>
      <c r="C167" s="1844">
        <v>0.125</v>
      </c>
      <c r="D167" s="1844">
        <v>0.125</v>
      </c>
      <c r="E167" s="1844">
        <v>0.121</v>
      </c>
      <c r="F167" s="1852"/>
    </row>
    <row r="168" spans="1:6" ht="14.5" thickBot="1">
      <c r="A168" s="1839" t="s">
        <v>1411</v>
      </c>
      <c r="B168" s="1843" t="s">
        <v>1182</v>
      </c>
      <c r="C168" s="1844">
        <v>0.13</v>
      </c>
      <c r="D168" s="1844">
        <v>0.13</v>
      </c>
      <c r="E168" s="1844">
        <v>0.126</v>
      </c>
      <c r="F168" s="1852"/>
    </row>
    <row r="169" spans="1:6" ht="14.5" thickBot="1">
      <c r="A169" s="1839" t="s">
        <v>1411</v>
      </c>
      <c r="B169" s="1843" t="s">
        <v>1192</v>
      </c>
      <c r="C169" s="1844">
        <v>0.128</v>
      </c>
      <c r="D169" s="1844">
        <v>0.129</v>
      </c>
      <c r="E169" s="1844">
        <v>0.13</v>
      </c>
      <c r="F169" s="1852"/>
    </row>
    <row r="170" spans="1:6" ht="14.5" thickBot="1">
      <c r="A170" s="1839" t="s">
        <v>1411</v>
      </c>
      <c r="B170" s="1843" t="s">
        <v>1202</v>
      </c>
      <c r="C170" s="1844">
        <v>0.14099999999999999</v>
      </c>
      <c r="D170" s="1844">
        <v>0.13</v>
      </c>
      <c r="E170" s="1844">
        <v>0.125</v>
      </c>
      <c r="F170" s="1852"/>
    </row>
    <row r="171" spans="1:6" ht="14.5" thickBot="1">
      <c r="A171" s="1839" t="s">
        <v>1411</v>
      </c>
      <c r="B171" s="1843" t="s">
        <v>2123</v>
      </c>
      <c r="C171" s="1844">
        <v>0.127</v>
      </c>
      <c r="D171" s="1844">
        <v>0.126</v>
      </c>
      <c r="E171" s="1844">
        <v>0.126</v>
      </c>
      <c r="F171" s="1845">
        <v>0.11799999999999999</v>
      </c>
    </row>
    <row r="172" spans="1:6" ht="14.5" thickBot="1">
      <c r="A172" s="1839" t="s">
        <v>1411</v>
      </c>
      <c r="B172" s="1843" t="s">
        <v>2124</v>
      </c>
      <c r="C172" s="1844">
        <v>0.13</v>
      </c>
      <c r="D172" s="1844">
        <v>0.13</v>
      </c>
      <c r="E172" s="1844">
        <v>0.13</v>
      </c>
      <c r="F172" s="1852"/>
    </row>
    <row r="173" spans="1:6" ht="14.5" thickBot="1">
      <c r="A173" s="1839" t="s">
        <v>1411</v>
      </c>
      <c r="B173" s="1843" t="s">
        <v>1232</v>
      </c>
      <c r="C173" s="1844">
        <v>0.13</v>
      </c>
      <c r="D173" s="1844">
        <v>0.13</v>
      </c>
      <c r="E173" s="1844">
        <v>0.13</v>
      </c>
      <c r="F173" s="1852"/>
    </row>
    <row r="174" spans="1:6" ht="14.5" thickBot="1">
      <c r="A174" s="1839" t="s">
        <v>1411</v>
      </c>
      <c r="B174" s="1843" t="s">
        <v>2125</v>
      </c>
      <c r="C174" s="1844">
        <v>0.13</v>
      </c>
      <c r="D174" s="1844">
        <v>0.13</v>
      </c>
      <c r="E174" s="1844">
        <v>0.13</v>
      </c>
      <c r="F174" s="1845">
        <v>0.13</v>
      </c>
    </row>
    <row r="175" spans="1:6" ht="14.5" thickBot="1">
      <c r="A175" s="1839" t="s">
        <v>1411</v>
      </c>
      <c r="B175" s="1843" t="s">
        <v>2126</v>
      </c>
      <c r="C175" s="1844">
        <v>0.13</v>
      </c>
      <c r="D175" s="1844">
        <v>0.13</v>
      </c>
      <c r="E175" s="1844">
        <v>0.13</v>
      </c>
      <c r="F175" s="1845">
        <v>0.13</v>
      </c>
    </row>
    <row r="176" spans="1:6" ht="14.5" thickBot="1">
      <c r="A176" s="1839" t="s">
        <v>1411</v>
      </c>
      <c r="B176" s="1843" t="s">
        <v>1262</v>
      </c>
      <c r="C176" s="1844">
        <v>0.13</v>
      </c>
      <c r="D176" s="1844">
        <v>0.13</v>
      </c>
      <c r="E176" s="1844">
        <v>0.13</v>
      </c>
      <c r="F176" s="1845">
        <v>0.13</v>
      </c>
    </row>
    <row r="177" spans="1:6" ht="14.5" thickBot="1">
      <c r="A177" s="1839" t="s">
        <v>1411</v>
      </c>
      <c r="B177" s="1843" t="s">
        <v>2127</v>
      </c>
      <c r="C177" s="1844">
        <v>0.13</v>
      </c>
      <c r="D177" s="1844">
        <v>0.13</v>
      </c>
      <c r="E177" s="1844">
        <v>0.13</v>
      </c>
      <c r="F177" s="1845">
        <v>0.13</v>
      </c>
    </row>
    <row r="178" spans="1:6" ht="14.5" thickBot="1">
      <c r="A178" s="1839" t="s">
        <v>1411</v>
      </c>
      <c r="B178" s="1843" t="s">
        <v>1280</v>
      </c>
      <c r="C178" s="1844">
        <v>0.13</v>
      </c>
      <c r="D178" s="1844">
        <v>0.13</v>
      </c>
      <c r="E178" s="1844">
        <v>0.13</v>
      </c>
      <c r="F178" s="1845">
        <v>0.127</v>
      </c>
    </row>
    <row r="179" spans="1:6" ht="14.5" thickBot="1">
      <c r="A179" s="1839" t="s">
        <v>1411</v>
      </c>
      <c r="B179" s="1843" t="s">
        <v>1288</v>
      </c>
      <c r="C179" s="1844">
        <v>0.13</v>
      </c>
      <c r="D179" s="1844">
        <v>0.13</v>
      </c>
      <c r="E179" s="1844">
        <v>0.13</v>
      </c>
      <c r="F179" s="1852"/>
    </row>
    <row r="180" spans="1:6" ht="14.5" thickBot="1">
      <c r="A180" s="1839" t="s">
        <v>1411</v>
      </c>
      <c r="B180" s="1843" t="s">
        <v>2128</v>
      </c>
      <c r="C180" s="1844">
        <v>0.13</v>
      </c>
      <c r="D180" s="1844">
        <v>0.13</v>
      </c>
      <c r="E180" s="1844">
        <v>0.125</v>
      </c>
      <c r="F180" s="1845">
        <v>0.13</v>
      </c>
    </row>
    <row r="181" spans="1:6" ht="14.5" thickBot="1">
      <c r="A181" s="1839" t="s">
        <v>1411</v>
      </c>
      <c r="B181" s="1843" t="s">
        <v>1302</v>
      </c>
      <c r="C181" s="1844">
        <v>0.122</v>
      </c>
      <c r="D181" s="1844">
        <v>0.123</v>
      </c>
      <c r="E181" s="1844">
        <v>0.126</v>
      </c>
      <c r="F181" s="1845">
        <v>0.121</v>
      </c>
    </row>
    <row r="182" spans="1:6" ht="14.5" thickBot="1">
      <c r="A182" s="1839" t="s">
        <v>1411</v>
      </c>
      <c r="B182" s="1843" t="s">
        <v>1309</v>
      </c>
      <c r="C182" s="1844">
        <v>0.125</v>
      </c>
      <c r="D182" s="1844">
        <v>0.125</v>
      </c>
      <c r="E182" s="1844">
        <v>0.11700000000000001</v>
      </c>
      <c r="F182" s="1845">
        <v>0.13</v>
      </c>
    </row>
    <row r="183" spans="1:6" ht="14.5" thickBot="1">
      <c r="A183" s="1839" t="s">
        <v>1411</v>
      </c>
      <c r="B183" s="1843" t="s">
        <v>1316</v>
      </c>
      <c r="C183" s="1844">
        <v>0.127</v>
      </c>
      <c r="D183" s="1844">
        <v>0.127</v>
      </c>
      <c r="E183" s="1844">
        <v>0.128</v>
      </c>
      <c r="F183" s="1852"/>
    </row>
    <row r="184" spans="1:6" ht="14.5" thickBot="1">
      <c r="A184" s="1839" t="s">
        <v>1411</v>
      </c>
      <c r="B184" s="1843" t="s">
        <v>1323</v>
      </c>
      <c r="C184" s="1844">
        <v>0.125</v>
      </c>
      <c r="D184" s="1844">
        <v>0.125</v>
      </c>
      <c r="E184" s="1844">
        <v>0.127</v>
      </c>
      <c r="F184" s="1852"/>
    </row>
    <row r="185" spans="1:6" ht="14.5" thickBot="1">
      <c r="A185" s="1839" t="s">
        <v>1411</v>
      </c>
      <c r="B185" s="1843" t="s">
        <v>2129</v>
      </c>
      <c r="C185" s="1844">
        <v>0.127</v>
      </c>
      <c r="D185" s="1844">
        <v>0.127</v>
      </c>
      <c r="E185" s="1844">
        <v>0.128</v>
      </c>
      <c r="F185" s="1845">
        <v>0.13</v>
      </c>
    </row>
    <row r="186" spans="1:6" ht="26.5" thickBot="1">
      <c r="A186" s="1839" t="s">
        <v>1411</v>
      </c>
      <c r="B186" s="1843" t="s">
        <v>2130</v>
      </c>
      <c r="C186" s="1853"/>
      <c r="D186" s="1853"/>
      <c r="E186" s="1853"/>
      <c r="F186" s="1845">
        <v>0.05</v>
      </c>
    </row>
    <row r="187" spans="1:6" ht="14.5" thickBot="1">
      <c r="A187" s="1839" t="s">
        <v>1411</v>
      </c>
      <c r="B187" s="1843" t="s">
        <v>2131</v>
      </c>
      <c r="C187" s="1853"/>
      <c r="D187" s="1853"/>
      <c r="E187" s="1853"/>
      <c r="F187" s="1845">
        <v>0.05</v>
      </c>
    </row>
    <row r="188" spans="1:6" ht="26.5" thickBot="1">
      <c r="A188" s="1839" t="s">
        <v>1411</v>
      </c>
      <c r="B188" s="1843" t="s">
        <v>2132</v>
      </c>
      <c r="C188" s="1853"/>
      <c r="D188" s="1853"/>
      <c r="E188" s="1853"/>
      <c r="F188" s="1845">
        <v>0.05</v>
      </c>
    </row>
    <row r="189" spans="1:6" ht="26.5" thickBot="1">
      <c r="A189" s="1839" t="s">
        <v>1411</v>
      </c>
      <c r="B189" s="1843" t="s">
        <v>2133</v>
      </c>
      <c r="C189" s="1853"/>
      <c r="D189" s="1853"/>
      <c r="E189" s="1853"/>
      <c r="F189" s="1845">
        <v>0.05</v>
      </c>
    </row>
    <row r="190" spans="1:6" ht="26.5" thickBot="1">
      <c r="A190" s="1839" t="s">
        <v>1411</v>
      </c>
      <c r="B190" s="1843" t="s">
        <v>2134</v>
      </c>
      <c r="C190" s="1853"/>
      <c r="D190" s="1853"/>
      <c r="E190" s="1853"/>
      <c r="F190" s="1845">
        <v>0.05</v>
      </c>
    </row>
    <row r="191" spans="1:6" ht="26.5" thickBot="1">
      <c r="A191" s="1839" t="s">
        <v>1411</v>
      </c>
      <c r="B191" s="1843" t="s">
        <v>2135</v>
      </c>
      <c r="C191" s="1853"/>
      <c r="D191" s="1853"/>
      <c r="E191" s="1853"/>
      <c r="F191" s="1845">
        <v>0.05</v>
      </c>
    </row>
    <row r="192" spans="1:6" ht="26.5" thickBot="1">
      <c r="A192" s="1839" t="s">
        <v>1411</v>
      </c>
      <c r="B192" s="1843" t="s">
        <v>2136</v>
      </c>
      <c r="C192" s="1853"/>
      <c r="D192" s="1853"/>
      <c r="E192" s="1853"/>
      <c r="F192" s="1845">
        <v>0.05</v>
      </c>
    </row>
    <row r="193" spans="1:6" ht="26.5" thickBot="1">
      <c r="A193" s="1839" t="s">
        <v>1411</v>
      </c>
      <c r="B193" s="1843" t="s">
        <v>2137</v>
      </c>
      <c r="C193" s="1853"/>
      <c r="D193" s="1853"/>
      <c r="E193" s="1853"/>
      <c r="F193" s="1845">
        <v>0.05</v>
      </c>
    </row>
    <row r="194" spans="1:6" ht="26.5" thickBot="1">
      <c r="A194" s="1839" t="s">
        <v>1411</v>
      </c>
      <c r="B194" s="1843" t="s">
        <v>2138</v>
      </c>
      <c r="C194" s="1853"/>
      <c r="D194" s="1853"/>
      <c r="E194" s="1853"/>
      <c r="F194" s="1845">
        <v>0.05</v>
      </c>
    </row>
    <row r="195" spans="1:6" ht="14.5" thickBot="1">
      <c r="A195" s="1839" t="s">
        <v>1411</v>
      </c>
      <c r="B195" s="1843" t="s">
        <v>2139</v>
      </c>
      <c r="C195" s="1853"/>
      <c r="D195" s="1853"/>
      <c r="E195" s="1853"/>
      <c r="F195" s="1845">
        <v>0.05</v>
      </c>
    </row>
    <row r="196" spans="1:6" ht="26.5" thickBot="1">
      <c r="A196" s="1839" t="s">
        <v>1411</v>
      </c>
      <c r="B196" s="1843" t="s">
        <v>2140</v>
      </c>
      <c r="C196" s="1853"/>
      <c r="D196" s="1853"/>
      <c r="E196" s="1853"/>
      <c r="F196" s="1845">
        <v>0.05</v>
      </c>
    </row>
    <row r="197" spans="1:6" ht="26.5" thickBot="1">
      <c r="A197" s="1839" t="s">
        <v>1411</v>
      </c>
      <c r="B197" s="1843" t="s">
        <v>2141</v>
      </c>
      <c r="C197" s="1853"/>
      <c r="D197" s="1853"/>
      <c r="E197" s="1853"/>
      <c r="F197" s="1845">
        <v>0.05</v>
      </c>
    </row>
    <row r="198" spans="1:6" ht="26.5" thickBot="1">
      <c r="A198" s="1839" t="s">
        <v>1411</v>
      </c>
      <c r="B198" s="1843" t="s">
        <v>2142</v>
      </c>
      <c r="C198" s="1853"/>
      <c r="D198" s="1853"/>
      <c r="E198" s="1853"/>
      <c r="F198" s="1845">
        <v>0.05</v>
      </c>
    </row>
    <row r="199" spans="1:6" ht="26.5" thickBot="1">
      <c r="A199" s="1839" t="s">
        <v>1411</v>
      </c>
      <c r="B199" s="1843" t="s">
        <v>2143</v>
      </c>
      <c r="C199" s="1853"/>
      <c r="D199" s="1853"/>
      <c r="E199" s="1853"/>
      <c r="F199" s="1845">
        <v>0.05</v>
      </c>
    </row>
    <row r="200" spans="1:6" ht="26.5" thickBot="1">
      <c r="A200" s="1839" t="s">
        <v>1411</v>
      </c>
      <c r="B200" s="1843" t="s">
        <v>2144</v>
      </c>
      <c r="C200" s="1853"/>
      <c r="D200" s="1853"/>
      <c r="E200" s="1853"/>
      <c r="F200" s="1845">
        <v>0.05</v>
      </c>
    </row>
    <row r="201" spans="1:6" ht="26.5" thickBot="1">
      <c r="A201" s="1839" t="s">
        <v>1411</v>
      </c>
      <c r="B201" s="1843" t="s">
        <v>2145</v>
      </c>
      <c r="C201" s="1853"/>
      <c r="D201" s="1853"/>
      <c r="E201" s="1853"/>
      <c r="F201" s="1845">
        <v>0.05</v>
      </c>
    </row>
    <row r="202" spans="1:6" ht="26.5" thickBot="1">
      <c r="A202" s="1839" t="s">
        <v>1411</v>
      </c>
      <c r="B202" s="1843" t="s">
        <v>2146</v>
      </c>
      <c r="C202" s="1853"/>
      <c r="D202" s="1853"/>
      <c r="E202" s="1853"/>
      <c r="F202" s="1845">
        <v>0.05</v>
      </c>
    </row>
    <row r="203" spans="1:6" ht="26.5" thickBot="1">
      <c r="A203" s="1839" t="s">
        <v>1411</v>
      </c>
      <c r="B203" s="1843" t="s">
        <v>2147</v>
      </c>
      <c r="C203" s="1853"/>
      <c r="D203" s="1853"/>
      <c r="E203" s="1853"/>
      <c r="F203" s="1845">
        <v>0.05</v>
      </c>
    </row>
    <row r="204" spans="1:6" ht="14.5" thickBot="1">
      <c r="A204" s="1839" t="s">
        <v>1411</v>
      </c>
      <c r="B204" s="1843" t="s">
        <v>2148</v>
      </c>
      <c r="C204" s="1853"/>
      <c r="D204" s="1853"/>
      <c r="E204" s="1853"/>
      <c r="F204" s="1845">
        <v>0.05</v>
      </c>
    </row>
    <row r="205" spans="1:6" ht="14.5" thickBot="1">
      <c r="A205" s="1847" t="s">
        <v>1411</v>
      </c>
      <c r="B205" s="1854" t="s">
        <v>2149</v>
      </c>
      <c r="C205" s="1850"/>
      <c r="D205" s="1850"/>
      <c r="E205" s="1850"/>
      <c r="F205" s="1855">
        <v>0.05</v>
      </c>
    </row>
    <row r="206" spans="1:6" ht="14.5" thickBot="1">
      <c r="A206" s="1839" t="s">
        <v>1413</v>
      </c>
      <c r="B206" s="1840" t="s">
        <v>2150</v>
      </c>
      <c r="C206" s="1841">
        <v>0.15</v>
      </c>
      <c r="D206" s="1841">
        <v>0.15</v>
      </c>
      <c r="E206" s="1841">
        <v>0.15</v>
      </c>
      <c r="F206" s="1842">
        <v>0.15</v>
      </c>
    </row>
    <row r="207" spans="1:6" ht="14.5" thickBot="1">
      <c r="A207" s="1839" t="s">
        <v>1413</v>
      </c>
      <c r="B207" s="1843" t="s">
        <v>1077</v>
      </c>
      <c r="C207" s="1844">
        <v>0.15</v>
      </c>
      <c r="D207" s="1844">
        <v>0.15</v>
      </c>
      <c r="E207" s="1844">
        <v>0.15</v>
      </c>
      <c r="F207" s="1845">
        <v>0.14399999999999999</v>
      </c>
    </row>
    <row r="208" spans="1:6" ht="14.5" thickBot="1">
      <c r="A208" s="1839" t="s">
        <v>1413</v>
      </c>
      <c r="B208" s="1843" t="s">
        <v>1091</v>
      </c>
      <c r="C208" s="1844">
        <v>0.15</v>
      </c>
      <c r="D208" s="1844">
        <v>0.15</v>
      </c>
      <c r="E208" s="1844">
        <v>0.15</v>
      </c>
      <c r="F208" s="1845">
        <v>0.15</v>
      </c>
    </row>
    <row r="209" spans="1:6" ht="14.5" thickBot="1">
      <c r="A209" s="1839" t="s">
        <v>1413</v>
      </c>
      <c r="B209" s="1843" t="s">
        <v>1104</v>
      </c>
      <c r="C209" s="1844">
        <v>0.13700000000000001</v>
      </c>
      <c r="D209" s="1844">
        <v>0.13700000000000001</v>
      </c>
      <c r="E209" s="1844">
        <v>0.14000000000000001</v>
      </c>
      <c r="F209" s="1845">
        <v>0.11700000000000001</v>
      </c>
    </row>
    <row r="210" spans="1:6" ht="14.5" thickBot="1">
      <c r="A210" s="1839" t="s">
        <v>1413</v>
      </c>
      <c r="B210" s="1843" t="s">
        <v>2151</v>
      </c>
      <c r="C210" s="1844">
        <v>0.15</v>
      </c>
      <c r="D210" s="1844">
        <v>0.15</v>
      </c>
      <c r="E210" s="1844">
        <v>0.15</v>
      </c>
      <c r="F210" s="1845">
        <v>0.13800000000000001</v>
      </c>
    </row>
    <row r="211" spans="1:6" ht="14.5" thickBot="1">
      <c r="A211" s="1839" t="s">
        <v>1413</v>
      </c>
      <c r="B211" s="1843" t="s">
        <v>2152</v>
      </c>
      <c r="C211" s="1844">
        <v>0.13700000000000001</v>
      </c>
      <c r="D211" s="1844">
        <v>0.13500000000000001</v>
      </c>
      <c r="E211" s="1844">
        <v>0.13600000000000001</v>
      </c>
      <c r="F211" s="1845">
        <v>0.1</v>
      </c>
    </row>
    <row r="212" spans="1:6" ht="14.5" thickBot="1">
      <c r="A212" s="1839" t="s">
        <v>1413</v>
      </c>
      <c r="B212" s="1843" t="s">
        <v>2153</v>
      </c>
      <c r="C212" s="1844">
        <v>0.15</v>
      </c>
      <c r="D212" s="1844">
        <v>0.15</v>
      </c>
      <c r="E212" s="1844">
        <v>0.14799999999999999</v>
      </c>
      <c r="F212" s="1845">
        <v>0.13600000000000001</v>
      </c>
    </row>
    <row r="213" spans="1:6" ht="14.5" thickBot="1">
      <c r="A213" s="1839" t="s">
        <v>1413</v>
      </c>
      <c r="B213" s="1843" t="s">
        <v>1151</v>
      </c>
      <c r="C213" s="1844">
        <v>0.15</v>
      </c>
      <c r="D213" s="1844">
        <v>0.15</v>
      </c>
      <c r="E213" s="1844">
        <v>0.15</v>
      </c>
      <c r="F213" s="1845">
        <v>0.13800000000000001</v>
      </c>
    </row>
    <row r="214" spans="1:6" ht="14.5" thickBot="1">
      <c r="A214" s="1839" t="s">
        <v>1413</v>
      </c>
      <c r="B214" s="1843" t="s">
        <v>1163</v>
      </c>
      <c r="C214" s="1844">
        <v>9.0999999999999998E-2</v>
      </c>
      <c r="D214" s="1844">
        <v>0.09</v>
      </c>
      <c r="E214" s="1844">
        <v>9.1999999999999998E-2</v>
      </c>
      <c r="F214" s="1852"/>
    </row>
    <row r="215" spans="1:6" ht="14.5" thickBot="1">
      <c r="A215" s="1839" t="s">
        <v>1413</v>
      </c>
      <c r="B215" s="1843" t="s">
        <v>2154</v>
      </c>
      <c r="C215" s="1844">
        <v>0.15</v>
      </c>
      <c r="D215" s="1844">
        <v>0.15</v>
      </c>
      <c r="E215" s="1844">
        <v>0.15</v>
      </c>
      <c r="F215" s="1845">
        <v>0.15</v>
      </c>
    </row>
    <row r="216" spans="1:6" ht="14.5" thickBot="1">
      <c r="A216" s="1839" t="s">
        <v>1413</v>
      </c>
      <c r="B216" s="1843" t="s">
        <v>1183</v>
      </c>
      <c r="C216" s="1844">
        <v>0.14699999999999999</v>
      </c>
      <c r="D216" s="1844">
        <v>0.14699999999999999</v>
      </c>
      <c r="E216" s="1844">
        <v>0.15</v>
      </c>
      <c r="F216" s="1845">
        <v>0.14000000000000001</v>
      </c>
    </row>
    <row r="217" spans="1:6" ht="14.5" thickBot="1">
      <c r="A217" s="1839" t="s">
        <v>1413</v>
      </c>
      <c r="B217" s="1843" t="s">
        <v>1193</v>
      </c>
      <c r="C217" s="1844">
        <v>0.15</v>
      </c>
      <c r="D217" s="1844">
        <v>0.15</v>
      </c>
      <c r="E217" s="1844">
        <v>0.15</v>
      </c>
      <c r="F217" s="1845">
        <v>0.15</v>
      </c>
    </row>
    <row r="218" spans="1:6" ht="14.5" thickBot="1">
      <c r="A218" s="1839" t="s">
        <v>1413</v>
      </c>
      <c r="B218" s="1843" t="s">
        <v>2155</v>
      </c>
      <c r="C218" s="1844">
        <v>0.15</v>
      </c>
      <c r="D218" s="1844">
        <v>0.15</v>
      </c>
      <c r="E218" s="1844">
        <v>0.15</v>
      </c>
      <c r="F218" s="1845">
        <v>0.15</v>
      </c>
    </row>
    <row r="219" spans="1:6" ht="14.5" thickBot="1">
      <c r="A219" s="1839" t="s">
        <v>1413</v>
      </c>
      <c r="B219" s="1843" t="s">
        <v>1213</v>
      </c>
      <c r="C219" s="1844">
        <v>0.15</v>
      </c>
      <c r="D219" s="1844">
        <v>0.15</v>
      </c>
      <c r="E219" s="1844">
        <v>0.15</v>
      </c>
      <c r="F219" s="1845">
        <v>0.14799999999999999</v>
      </c>
    </row>
    <row r="220" spans="1:6" ht="14.5" thickBot="1">
      <c r="A220" s="1839" t="s">
        <v>1413</v>
      </c>
      <c r="B220" s="1843" t="s">
        <v>2156</v>
      </c>
      <c r="C220" s="1844">
        <v>0.15</v>
      </c>
      <c r="D220" s="1844">
        <v>0.15</v>
      </c>
      <c r="E220" s="1844">
        <v>0.15</v>
      </c>
      <c r="F220" s="1845">
        <v>0.15</v>
      </c>
    </row>
    <row r="221" spans="1:6" ht="14.5" thickBot="1">
      <c r="A221" s="1839" t="s">
        <v>1413</v>
      </c>
      <c r="B221" s="1843" t="s">
        <v>1233</v>
      </c>
      <c r="C221" s="1844"/>
      <c r="D221" s="1853"/>
      <c r="E221" s="1853"/>
      <c r="F221" s="1845">
        <v>0.14799999999999999</v>
      </c>
    </row>
    <row r="222" spans="1:6" ht="14.5" thickBot="1">
      <c r="A222" s="1839" t="s">
        <v>1413</v>
      </c>
      <c r="B222" s="1843" t="s">
        <v>1243</v>
      </c>
      <c r="C222" s="1844"/>
      <c r="D222" s="1853"/>
      <c r="E222" s="1853"/>
      <c r="F222" s="1845">
        <v>0.1</v>
      </c>
    </row>
    <row r="223" spans="1:6" ht="14.5" thickBot="1">
      <c r="A223" s="1839" t="s">
        <v>1413</v>
      </c>
      <c r="B223" s="1843" t="s">
        <v>1253</v>
      </c>
      <c r="C223" s="1844"/>
      <c r="D223" s="1853"/>
      <c r="E223" s="1853"/>
      <c r="F223" s="1845">
        <v>0.15</v>
      </c>
    </row>
    <row r="224" spans="1:6" ht="14.5" thickBot="1">
      <c r="A224" s="1839" t="s">
        <v>1413</v>
      </c>
      <c r="B224" s="1843" t="s">
        <v>1263</v>
      </c>
      <c r="C224" s="1844"/>
      <c r="D224" s="1853"/>
      <c r="E224" s="1853"/>
      <c r="F224" s="1845">
        <v>0.15</v>
      </c>
    </row>
    <row r="225" spans="1:6" ht="14.5" thickBot="1">
      <c r="A225" s="1839" t="s">
        <v>1413</v>
      </c>
      <c r="B225" s="1843" t="s">
        <v>2157</v>
      </c>
      <c r="C225" s="1844">
        <v>0.15</v>
      </c>
      <c r="D225" s="1844">
        <v>0.15</v>
      </c>
      <c r="E225" s="1844">
        <v>0.15</v>
      </c>
      <c r="F225" s="1845">
        <v>0.15</v>
      </c>
    </row>
    <row r="226" spans="1:6" ht="14.5" thickBot="1">
      <c r="A226" s="1839" t="s">
        <v>1413</v>
      </c>
      <c r="B226" s="1843" t="s">
        <v>1281</v>
      </c>
      <c r="C226" s="1844">
        <v>0.15</v>
      </c>
      <c r="D226" s="1844">
        <v>0.15</v>
      </c>
      <c r="E226" s="1844">
        <v>0.15</v>
      </c>
      <c r="F226" s="1845">
        <v>0.14799999999999999</v>
      </c>
    </row>
    <row r="227" spans="1:6" ht="14.5" thickBot="1">
      <c r="A227" s="1839" t="s">
        <v>1413</v>
      </c>
      <c r="B227" s="1843" t="s">
        <v>2158</v>
      </c>
      <c r="C227" s="1844">
        <v>0.15</v>
      </c>
      <c r="D227" s="1844">
        <v>0.15</v>
      </c>
      <c r="E227" s="1844">
        <v>0.15</v>
      </c>
      <c r="F227" s="1845">
        <v>0.15</v>
      </c>
    </row>
    <row r="228" spans="1:6" ht="14.5" thickBot="1">
      <c r="A228" s="1839" t="s">
        <v>1413</v>
      </c>
      <c r="B228" s="1843" t="s">
        <v>1296</v>
      </c>
      <c r="C228" s="1844">
        <v>0.15</v>
      </c>
      <c r="D228" s="1844">
        <v>0.15</v>
      </c>
      <c r="E228" s="1844">
        <v>0.15</v>
      </c>
      <c r="F228" s="1845">
        <v>0.15</v>
      </c>
    </row>
    <row r="229" spans="1:6" ht="14.5" thickBot="1">
      <c r="A229" s="1839" t="s">
        <v>1413</v>
      </c>
      <c r="B229" s="1843" t="s">
        <v>1303</v>
      </c>
      <c r="C229" s="1844">
        <v>0.15</v>
      </c>
      <c r="D229" s="1844">
        <v>0.15</v>
      </c>
      <c r="E229" s="1844">
        <v>0.15</v>
      </c>
      <c r="F229" s="1852"/>
    </row>
    <row r="230" spans="1:6" ht="14.5" thickBot="1">
      <c r="A230" s="1839" t="s">
        <v>1413</v>
      </c>
      <c r="B230" s="1843" t="s">
        <v>1310</v>
      </c>
      <c r="C230" s="1844">
        <v>0.14499999999999999</v>
      </c>
      <c r="D230" s="1844">
        <v>0.14499999999999999</v>
      </c>
      <c r="E230" s="1844">
        <v>0.14399999999999999</v>
      </c>
      <c r="F230" s="1852"/>
    </row>
    <row r="231" spans="1:6" ht="14.5" thickBot="1">
      <c r="A231" s="1839" t="s">
        <v>1413</v>
      </c>
      <c r="B231" s="1843" t="s">
        <v>2159</v>
      </c>
      <c r="C231" s="1844">
        <v>0.128</v>
      </c>
      <c r="D231" s="1844">
        <v>0.125</v>
      </c>
      <c r="E231" s="1844">
        <v>0.13200000000000001</v>
      </c>
      <c r="F231" s="1852"/>
    </row>
    <row r="232" spans="1:6" ht="14.5" thickBot="1">
      <c r="A232" s="1839" t="s">
        <v>1413</v>
      </c>
      <c r="B232" s="1843" t="s">
        <v>2160</v>
      </c>
      <c r="C232" s="1844">
        <v>0.14499999999999999</v>
      </c>
      <c r="D232" s="1844">
        <v>0.14399999999999999</v>
      </c>
      <c r="E232" s="1844">
        <v>0.14599999999999999</v>
      </c>
      <c r="F232" s="1845">
        <v>0.13800000000000001</v>
      </c>
    </row>
    <row r="233" spans="1:6" ht="14.5" thickBot="1">
      <c r="A233" s="1839" t="s">
        <v>1413</v>
      </c>
      <c r="B233" s="1843" t="s">
        <v>2161</v>
      </c>
      <c r="C233" s="1844">
        <v>0.14499999999999999</v>
      </c>
      <c r="D233" s="1844">
        <v>0.14299999999999999</v>
      </c>
      <c r="E233" s="1844">
        <v>0.14199999999999999</v>
      </c>
      <c r="F233" s="1852"/>
    </row>
    <row r="234" spans="1:6" ht="14.5" thickBot="1">
      <c r="A234" s="1839" t="s">
        <v>1413</v>
      </c>
      <c r="B234" s="1843" t="s">
        <v>2162</v>
      </c>
      <c r="C234" s="1844">
        <v>0.14000000000000001</v>
      </c>
      <c r="D234" s="1844">
        <v>0.14000000000000001</v>
      </c>
      <c r="E234" s="1844">
        <v>0.14399999999999999</v>
      </c>
      <c r="F234" s="1852"/>
    </row>
    <row r="235" spans="1:6" ht="14.5" thickBot="1">
      <c r="A235" s="1839" t="s">
        <v>1413</v>
      </c>
      <c r="B235" s="1843" t="s">
        <v>2163</v>
      </c>
      <c r="C235" s="1844">
        <v>0.14099999999999999</v>
      </c>
      <c r="D235" s="1844">
        <v>0.14199999999999999</v>
      </c>
      <c r="E235" s="1844">
        <v>0.14499999999999999</v>
      </c>
      <c r="F235" s="1845">
        <v>0.15</v>
      </c>
    </row>
    <row r="236" spans="1:6" ht="14.5" thickBot="1">
      <c r="A236" s="1839" t="s">
        <v>1413</v>
      </c>
      <c r="B236" s="1843" t="s">
        <v>1345</v>
      </c>
      <c r="C236" s="1853"/>
      <c r="D236" s="1853"/>
      <c r="E236" s="1853"/>
      <c r="F236" s="1845">
        <v>0.14299999999999999</v>
      </c>
    </row>
    <row r="237" spans="1:6" ht="26.5" thickBot="1">
      <c r="A237" s="1839" t="s">
        <v>1413</v>
      </c>
      <c r="B237" s="1843" t="s">
        <v>2164</v>
      </c>
      <c r="C237" s="1853"/>
      <c r="D237" s="1853"/>
      <c r="E237" s="1853"/>
      <c r="F237" s="1845">
        <v>0.05</v>
      </c>
    </row>
    <row r="238" spans="1:6" ht="26.5" thickBot="1">
      <c r="A238" s="1839" t="s">
        <v>1413</v>
      </c>
      <c r="B238" s="1843" t="s">
        <v>2165</v>
      </c>
      <c r="C238" s="1853"/>
      <c r="D238" s="1853"/>
      <c r="E238" s="1853"/>
      <c r="F238" s="1845">
        <v>0.05</v>
      </c>
    </row>
    <row r="239" spans="1:6" ht="26.5" thickBot="1">
      <c r="A239" s="1839" t="s">
        <v>1413</v>
      </c>
      <c r="B239" s="1843" t="s">
        <v>2166</v>
      </c>
      <c r="C239" s="1853"/>
      <c r="D239" s="1853"/>
      <c r="E239" s="1853"/>
      <c r="F239" s="1845">
        <v>0.05</v>
      </c>
    </row>
    <row r="240" spans="1:6" ht="26.5" thickBot="1">
      <c r="A240" s="1839" t="s">
        <v>1413</v>
      </c>
      <c r="B240" s="1843" t="s">
        <v>2167</v>
      </c>
      <c r="C240" s="1853"/>
      <c r="D240" s="1853"/>
      <c r="E240" s="1853"/>
      <c r="F240" s="1845">
        <v>0.05</v>
      </c>
    </row>
    <row r="241" spans="1:6" ht="26.5" thickBot="1">
      <c r="A241" s="1839" t="s">
        <v>1413</v>
      </c>
      <c r="B241" s="1843" t="s">
        <v>2168</v>
      </c>
      <c r="C241" s="1853"/>
      <c r="D241" s="1853"/>
      <c r="E241" s="1853"/>
      <c r="F241" s="1845">
        <v>0.05</v>
      </c>
    </row>
    <row r="242" spans="1:6" ht="26.5" thickBot="1">
      <c r="A242" s="1839" t="s">
        <v>1413</v>
      </c>
      <c r="B242" s="1843" t="s">
        <v>2169</v>
      </c>
      <c r="C242" s="1853"/>
      <c r="D242" s="1853"/>
      <c r="E242" s="1853"/>
      <c r="F242" s="1845">
        <v>0.05</v>
      </c>
    </row>
    <row r="243" spans="1:6" ht="26.5" thickBot="1">
      <c r="A243" s="1839" t="s">
        <v>1413</v>
      </c>
      <c r="B243" s="1843" t="s">
        <v>2170</v>
      </c>
      <c r="C243" s="1853"/>
      <c r="D243" s="1853"/>
      <c r="E243" s="1853"/>
      <c r="F243" s="1845">
        <v>0.05</v>
      </c>
    </row>
    <row r="244" spans="1:6" ht="26.5" thickBot="1">
      <c r="A244" s="1847" t="s">
        <v>1413</v>
      </c>
      <c r="B244" s="1854" t="s">
        <v>2171</v>
      </c>
      <c r="C244" s="1850"/>
      <c r="D244" s="1850"/>
      <c r="E244" s="1850"/>
      <c r="F244" s="1855">
        <v>0.05</v>
      </c>
    </row>
    <row r="245" spans="1:6" ht="14.5" thickBot="1">
      <c r="A245" s="1839" t="s">
        <v>1415</v>
      </c>
      <c r="B245" s="1840" t="s">
        <v>2172</v>
      </c>
      <c r="C245" s="1841">
        <v>0.15</v>
      </c>
      <c r="D245" s="1841">
        <v>0.15</v>
      </c>
      <c r="E245" s="1841">
        <v>0.15</v>
      </c>
      <c r="F245" s="1842">
        <v>0.14299999999999999</v>
      </c>
    </row>
    <row r="246" spans="1:6" ht="14.5" thickBot="1">
      <c r="A246" s="1839" t="s">
        <v>1415</v>
      </c>
      <c r="B246" s="1843" t="s">
        <v>1078</v>
      </c>
      <c r="C246" s="1844">
        <v>0.15</v>
      </c>
      <c r="D246" s="1844">
        <v>0.15</v>
      </c>
      <c r="E246" s="1844">
        <v>0.15</v>
      </c>
      <c r="F246" s="1845">
        <v>0.114</v>
      </c>
    </row>
    <row r="247" spans="1:6" ht="14.5" thickBot="1">
      <c r="A247" s="1839" t="s">
        <v>1415</v>
      </c>
      <c r="B247" s="1843" t="s">
        <v>2173</v>
      </c>
      <c r="C247" s="1844">
        <v>0.15</v>
      </c>
      <c r="D247" s="1844">
        <v>0.15</v>
      </c>
      <c r="E247" s="1844">
        <v>0.15</v>
      </c>
      <c r="F247" s="1845">
        <v>0.15</v>
      </c>
    </row>
    <row r="248" spans="1:6" ht="14.5" thickBot="1">
      <c r="A248" s="1839" t="s">
        <v>1415</v>
      </c>
      <c r="B248" s="1843" t="s">
        <v>2174</v>
      </c>
      <c r="C248" s="1844">
        <v>0.15</v>
      </c>
      <c r="D248" s="1844">
        <v>0.15</v>
      </c>
      <c r="E248" s="1844">
        <v>0.15</v>
      </c>
      <c r="F248" s="1845">
        <v>0.14000000000000001</v>
      </c>
    </row>
    <row r="249" spans="1:6" ht="14.5" thickBot="1">
      <c r="A249" s="1839" t="s">
        <v>1415</v>
      </c>
      <c r="B249" s="1843" t="s">
        <v>2175</v>
      </c>
      <c r="C249" s="1844">
        <v>0.15</v>
      </c>
      <c r="D249" s="1844">
        <v>0.14899999999999999</v>
      </c>
      <c r="E249" s="1844">
        <v>0.15</v>
      </c>
      <c r="F249" s="1845">
        <v>0.1</v>
      </c>
    </row>
    <row r="250" spans="1:6" ht="14.5" thickBot="1">
      <c r="A250" s="1839" t="s">
        <v>1415</v>
      </c>
      <c r="B250" s="1843" t="s">
        <v>2176</v>
      </c>
      <c r="C250" s="1844">
        <v>0.15</v>
      </c>
      <c r="D250" s="1844">
        <v>0.15</v>
      </c>
      <c r="E250" s="1844">
        <v>0.15</v>
      </c>
      <c r="F250" s="1845">
        <v>0.14399999999999999</v>
      </c>
    </row>
    <row r="251" spans="1:6" ht="14.5" thickBot="1">
      <c r="A251" s="1839" t="s">
        <v>1415</v>
      </c>
      <c r="B251" s="1843" t="s">
        <v>1141</v>
      </c>
      <c r="C251" s="1844">
        <v>0.15</v>
      </c>
      <c r="D251" s="1844">
        <v>0.15</v>
      </c>
      <c r="E251" s="1844">
        <v>0.15</v>
      </c>
      <c r="F251" s="1845">
        <v>0.14299999999999999</v>
      </c>
    </row>
    <row r="252" spans="1:6" ht="14.5" thickBot="1">
      <c r="A252" s="1839" t="s">
        <v>1415</v>
      </c>
      <c r="B252" s="1843" t="s">
        <v>1152</v>
      </c>
      <c r="C252" s="1844">
        <v>0.15</v>
      </c>
      <c r="D252" s="1844">
        <v>0.15</v>
      </c>
      <c r="E252" s="1844">
        <v>0.15</v>
      </c>
      <c r="F252" s="1845">
        <v>0.1</v>
      </c>
    </row>
    <row r="253" spans="1:6" ht="14.5" thickBot="1">
      <c r="A253" s="1839" t="s">
        <v>1415</v>
      </c>
      <c r="B253" s="1843" t="s">
        <v>1164</v>
      </c>
      <c r="C253" s="1844">
        <v>0.15</v>
      </c>
      <c r="D253" s="1844">
        <v>0.15</v>
      </c>
      <c r="E253" s="1844">
        <v>0.15</v>
      </c>
      <c r="F253" s="1845">
        <v>0.1</v>
      </c>
    </row>
    <row r="254" spans="1:6" ht="14.5" thickBot="1">
      <c r="A254" s="1839" t="s">
        <v>1415</v>
      </c>
      <c r="B254" s="1843" t="s">
        <v>1174</v>
      </c>
      <c r="C254" s="1853"/>
      <c r="D254" s="1853"/>
      <c r="E254" s="1853"/>
      <c r="F254" s="1845">
        <v>0.15</v>
      </c>
    </row>
    <row r="255" spans="1:6" ht="14.5" thickBot="1">
      <c r="A255" s="1839" t="s">
        <v>1415</v>
      </c>
      <c r="B255" s="1843" t="s">
        <v>1184</v>
      </c>
      <c r="C255" s="1853"/>
      <c r="D255" s="1853"/>
      <c r="E255" s="1853"/>
      <c r="F255" s="1845">
        <v>0.14299999999999999</v>
      </c>
    </row>
    <row r="256" spans="1:6" ht="14.5" thickBot="1">
      <c r="A256" s="1839" t="s">
        <v>1415</v>
      </c>
      <c r="B256" s="1843" t="s">
        <v>2177</v>
      </c>
      <c r="C256" s="1844">
        <v>0.14599999999999999</v>
      </c>
      <c r="D256" s="1844">
        <v>0.14699999999999999</v>
      </c>
      <c r="E256" s="1844">
        <v>0.15</v>
      </c>
      <c r="F256" s="1845">
        <v>0.13200000000000001</v>
      </c>
    </row>
    <row r="257" spans="1:6" ht="14.5" thickBot="1">
      <c r="A257" s="1839" t="s">
        <v>1415</v>
      </c>
      <c r="B257" s="1843" t="s">
        <v>1204</v>
      </c>
      <c r="C257" s="1844">
        <v>0.15</v>
      </c>
      <c r="D257" s="1844">
        <v>0.15</v>
      </c>
      <c r="E257" s="1844">
        <v>0.15</v>
      </c>
      <c r="F257" s="1845">
        <v>0.13900000000000001</v>
      </c>
    </row>
    <row r="258" spans="1:6" ht="14.5" thickBot="1">
      <c r="A258" s="1839" t="s">
        <v>1415</v>
      </c>
      <c r="B258" s="1843" t="s">
        <v>1214</v>
      </c>
      <c r="C258" s="1844">
        <v>0.15</v>
      </c>
      <c r="D258" s="1844">
        <v>0.15</v>
      </c>
      <c r="E258" s="1844">
        <v>0.15</v>
      </c>
      <c r="F258" s="1845">
        <v>0.13</v>
      </c>
    </row>
    <row r="259" spans="1:6" ht="14.5" thickBot="1">
      <c r="A259" s="1839" t="s">
        <v>1415</v>
      </c>
      <c r="B259" s="1843" t="s">
        <v>2178</v>
      </c>
      <c r="C259" s="1844">
        <v>0.14799999999999999</v>
      </c>
      <c r="D259" s="1844">
        <v>0.14899999999999999</v>
      </c>
      <c r="E259" s="1844">
        <v>0.15</v>
      </c>
      <c r="F259" s="1845">
        <v>0.13700000000000001</v>
      </c>
    </row>
    <row r="260" spans="1:6" ht="14.5" thickBot="1">
      <c r="A260" s="1839" t="s">
        <v>1415</v>
      </c>
      <c r="B260" s="1843" t="s">
        <v>1234</v>
      </c>
      <c r="C260" s="1844">
        <v>0.15</v>
      </c>
      <c r="D260" s="1844">
        <v>0.15</v>
      </c>
      <c r="E260" s="1844">
        <v>0.15</v>
      </c>
      <c r="F260" s="1845">
        <v>0.14199999999999999</v>
      </c>
    </row>
    <row r="261" spans="1:6" ht="14.5" thickBot="1">
      <c r="A261" s="1839" t="s">
        <v>1415</v>
      </c>
      <c r="B261" s="1843" t="s">
        <v>1244</v>
      </c>
      <c r="C261" s="1844">
        <v>0.15</v>
      </c>
      <c r="D261" s="1844">
        <v>0.15</v>
      </c>
      <c r="E261" s="1844">
        <v>0.14899999999999999</v>
      </c>
      <c r="F261" s="1845">
        <v>0.14799999999999999</v>
      </c>
    </row>
    <row r="262" spans="1:6" ht="14.5" thickBot="1">
      <c r="A262" s="1839" t="s">
        <v>1415</v>
      </c>
      <c r="B262" s="1843" t="s">
        <v>1254</v>
      </c>
      <c r="C262" s="1844">
        <v>0.15</v>
      </c>
      <c r="D262" s="1844">
        <v>0.15</v>
      </c>
      <c r="E262" s="1844">
        <v>0.15</v>
      </c>
      <c r="F262" s="1852"/>
    </row>
    <row r="263" spans="1:6" ht="14.5" thickBot="1">
      <c r="A263" s="1839" t="s">
        <v>1415</v>
      </c>
      <c r="B263" s="1843" t="s">
        <v>2179</v>
      </c>
      <c r="C263" s="1844">
        <v>0.14899999999999999</v>
      </c>
      <c r="D263" s="1844">
        <v>0.14899999999999999</v>
      </c>
      <c r="E263" s="1844">
        <v>0.15</v>
      </c>
      <c r="F263" s="1845">
        <v>0.13</v>
      </c>
    </row>
    <row r="264" spans="1:6" ht="14.5" thickBot="1">
      <c r="A264" s="1839" t="s">
        <v>1415</v>
      </c>
      <c r="B264" s="1843" t="s">
        <v>1273</v>
      </c>
      <c r="C264" s="1844">
        <v>0.14799999999999999</v>
      </c>
      <c r="D264" s="1844">
        <v>0.14699999999999999</v>
      </c>
      <c r="E264" s="1844">
        <v>0.15</v>
      </c>
      <c r="F264" s="1845">
        <v>7.8E-2</v>
      </c>
    </row>
    <row r="265" spans="1:6" ht="14.5" thickBot="1">
      <c r="A265" s="1839" t="s">
        <v>1415</v>
      </c>
      <c r="B265" s="1843" t="s">
        <v>1282</v>
      </c>
      <c r="C265" s="1844">
        <v>0.15</v>
      </c>
      <c r="D265" s="1844">
        <v>0.15</v>
      </c>
      <c r="E265" s="1844">
        <v>0.15</v>
      </c>
      <c r="F265" s="1845">
        <v>7.3999999999999996E-2</v>
      </c>
    </row>
    <row r="266" spans="1:6" ht="14.5" thickBot="1">
      <c r="A266" s="1839" t="s">
        <v>1415</v>
      </c>
      <c r="B266" s="1843" t="s">
        <v>1290</v>
      </c>
      <c r="C266" s="1844">
        <v>0.14699999999999999</v>
      </c>
      <c r="D266" s="1844">
        <v>0.14699999999999999</v>
      </c>
      <c r="E266" s="1844">
        <v>0.15</v>
      </c>
      <c r="F266" s="1845">
        <v>0.14299999999999999</v>
      </c>
    </row>
    <row r="267" spans="1:6" ht="14.5" thickBot="1">
      <c r="A267" s="1839" t="s">
        <v>1415</v>
      </c>
      <c r="B267" s="1843" t="s">
        <v>1297</v>
      </c>
      <c r="C267" s="1844">
        <v>0.14199999999999999</v>
      </c>
      <c r="D267" s="1844">
        <v>0.14299999999999999</v>
      </c>
      <c r="E267" s="1844">
        <v>0.15</v>
      </c>
      <c r="F267" s="1852"/>
    </row>
    <row r="268" spans="1:6" ht="14.5" thickBot="1">
      <c r="A268" s="1839" t="s">
        <v>1415</v>
      </c>
      <c r="B268" s="1843" t="s">
        <v>2180</v>
      </c>
      <c r="C268" s="1844">
        <v>0.15</v>
      </c>
      <c r="D268" s="1844">
        <v>0.15</v>
      </c>
      <c r="E268" s="1844">
        <v>0.15</v>
      </c>
      <c r="F268" s="1845">
        <v>0.13</v>
      </c>
    </row>
    <row r="269" spans="1:6" ht="14.5" thickBot="1">
      <c r="A269" s="1839" t="s">
        <v>1415</v>
      </c>
      <c r="B269" s="1843" t="s">
        <v>1311</v>
      </c>
      <c r="C269" s="1844">
        <v>0.15</v>
      </c>
      <c r="D269" s="1844">
        <v>0.15</v>
      </c>
      <c r="E269" s="1844">
        <v>0.15</v>
      </c>
      <c r="F269" s="1845">
        <v>0.14299999999999999</v>
      </c>
    </row>
    <row r="270" spans="1:6" ht="14.5" thickBot="1">
      <c r="A270" s="1839" t="s">
        <v>1415</v>
      </c>
      <c r="B270" s="1843" t="s">
        <v>1318</v>
      </c>
      <c r="C270" s="1844">
        <v>0.14499999999999999</v>
      </c>
      <c r="D270" s="1844">
        <v>0.14499999999999999</v>
      </c>
      <c r="E270" s="1844">
        <v>0.15</v>
      </c>
      <c r="F270" s="1845">
        <v>0.14699999999999999</v>
      </c>
    </row>
    <row r="271" spans="1:6" ht="14.5" thickBot="1">
      <c r="A271" s="1839" t="s">
        <v>1415</v>
      </c>
      <c r="B271" s="1843" t="s">
        <v>1325</v>
      </c>
      <c r="C271" s="1844">
        <v>0.15</v>
      </c>
      <c r="D271" s="1844">
        <v>0.15</v>
      </c>
      <c r="E271" s="1844">
        <v>0.15</v>
      </c>
      <c r="F271" s="1845">
        <v>0.13800000000000001</v>
      </c>
    </row>
    <row r="272" spans="1:6" ht="14.5" thickBot="1">
      <c r="A272" s="1839" t="s">
        <v>1415</v>
      </c>
      <c r="B272" s="1843" t="s">
        <v>1332</v>
      </c>
      <c r="C272" s="1853"/>
      <c r="D272" s="1853"/>
      <c r="E272" s="1853"/>
      <c r="F272" s="1845">
        <v>0.14000000000000001</v>
      </c>
    </row>
    <row r="273" spans="1:6" ht="14.5" thickBot="1">
      <c r="A273" s="1839" t="s">
        <v>1415</v>
      </c>
      <c r="B273" s="1843" t="s">
        <v>2181</v>
      </c>
      <c r="C273" s="1844">
        <v>0.14199999999999999</v>
      </c>
      <c r="D273" s="1844">
        <v>0.14299999999999999</v>
      </c>
      <c r="E273" s="1844">
        <v>0.15</v>
      </c>
      <c r="F273" s="1845">
        <v>0.1</v>
      </c>
    </row>
    <row r="274" spans="1:6" ht="14.5" thickBot="1">
      <c r="A274" s="1839" t="s">
        <v>1415</v>
      </c>
      <c r="B274" s="1843" t="s">
        <v>2182</v>
      </c>
      <c r="C274" s="1844">
        <v>0.14799999999999999</v>
      </c>
      <c r="D274" s="1844">
        <v>0.14799999999999999</v>
      </c>
      <c r="E274" s="1844">
        <v>0.15</v>
      </c>
      <c r="F274" s="1845">
        <v>6.7000000000000004E-2</v>
      </c>
    </row>
    <row r="275" spans="1:6" ht="14.5" thickBot="1">
      <c r="A275" s="1839" t="s">
        <v>1415</v>
      </c>
      <c r="B275" s="1843" t="s">
        <v>2183</v>
      </c>
      <c r="C275" s="1844">
        <v>0.15</v>
      </c>
      <c r="D275" s="1844">
        <v>0.15</v>
      </c>
      <c r="E275" s="1844">
        <v>0.15</v>
      </c>
      <c r="F275" s="1845">
        <v>0.15</v>
      </c>
    </row>
    <row r="276" spans="1:6" ht="14.5" thickBot="1">
      <c r="A276" s="1839" t="s">
        <v>1415</v>
      </c>
      <c r="B276" s="1843" t="s">
        <v>2184</v>
      </c>
      <c r="C276" s="1844">
        <v>0.14499999999999999</v>
      </c>
      <c r="D276" s="1844">
        <v>0.14299999999999999</v>
      </c>
      <c r="E276" s="1844">
        <v>0.15</v>
      </c>
      <c r="F276" s="1845">
        <v>5.8999999999999997E-2</v>
      </c>
    </row>
    <row r="277" spans="1:6" ht="14.5" thickBot="1">
      <c r="A277" s="1839" t="s">
        <v>1415</v>
      </c>
      <c r="B277" s="1843" t="s">
        <v>2185</v>
      </c>
      <c r="C277" s="1844">
        <v>0.15</v>
      </c>
      <c r="D277" s="1844">
        <v>0.15</v>
      </c>
      <c r="E277" s="1844">
        <v>0.15</v>
      </c>
      <c r="F277" s="1845">
        <v>0.121</v>
      </c>
    </row>
    <row r="278" spans="1:6" ht="14.5" thickBot="1">
      <c r="A278" s="1839" t="s">
        <v>1415</v>
      </c>
      <c r="B278" s="1843" t="s">
        <v>2186</v>
      </c>
      <c r="C278" s="1844">
        <v>0.15</v>
      </c>
      <c r="D278" s="1844">
        <v>0.15</v>
      </c>
      <c r="E278" s="1844">
        <v>0.15</v>
      </c>
      <c r="F278" s="1845">
        <v>0.13800000000000001</v>
      </c>
    </row>
    <row r="279" spans="1:6" ht="26.5" thickBot="1">
      <c r="A279" s="1839" t="s">
        <v>1415</v>
      </c>
      <c r="B279" s="1843" t="s">
        <v>2187</v>
      </c>
      <c r="C279" s="1853"/>
      <c r="D279" s="1853"/>
      <c r="E279" s="1853"/>
      <c r="F279" s="1845">
        <v>0.05</v>
      </c>
    </row>
    <row r="280" spans="1:6" ht="26.5" thickBot="1">
      <c r="A280" s="1839" t="s">
        <v>1415</v>
      </c>
      <c r="B280" s="1843" t="s">
        <v>2188</v>
      </c>
      <c r="C280" s="1853"/>
      <c r="D280" s="1853"/>
      <c r="E280" s="1853"/>
      <c r="F280" s="1845">
        <v>0.05</v>
      </c>
    </row>
    <row r="281" spans="1:6" ht="26.5" thickBot="1">
      <c r="A281" s="1839" t="s">
        <v>1415</v>
      </c>
      <c r="B281" s="1843" t="s">
        <v>2189</v>
      </c>
      <c r="C281" s="1853"/>
      <c r="D281" s="1853"/>
      <c r="E281" s="1853"/>
      <c r="F281" s="1845">
        <v>0.05</v>
      </c>
    </row>
    <row r="282" spans="1:6" ht="26.5" thickBot="1">
      <c r="A282" s="1839" t="s">
        <v>1415</v>
      </c>
      <c r="B282" s="1843" t="s">
        <v>2190</v>
      </c>
      <c r="C282" s="1853"/>
      <c r="D282" s="1853"/>
      <c r="E282" s="1853"/>
      <c r="F282" s="1845">
        <v>0.05</v>
      </c>
    </row>
    <row r="283" spans="1:6" ht="26.5" thickBot="1">
      <c r="A283" s="1839" t="s">
        <v>1415</v>
      </c>
      <c r="B283" s="1843" t="s">
        <v>2191</v>
      </c>
      <c r="C283" s="1853"/>
      <c r="D283" s="1853"/>
      <c r="E283" s="1853"/>
      <c r="F283" s="1845">
        <v>0.05</v>
      </c>
    </row>
    <row r="284" spans="1:6" ht="26.5" thickBot="1">
      <c r="A284" s="1839" t="s">
        <v>1415</v>
      </c>
      <c r="B284" s="1843" t="s">
        <v>2192</v>
      </c>
      <c r="C284" s="1853"/>
      <c r="D284" s="1853"/>
      <c r="E284" s="1853"/>
      <c r="F284" s="1845">
        <v>0.05</v>
      </c>
    </row>
    <row r="285" spans="1:6" ht="26.5" thickBot="1">
      <c r="A285" s="1839" t="s">
        <v>1415</v>
      </c>
      <c r="B285" s="1843" t="s">
        <v>2193</v>
      </c>
      <c r="C285" s="1853"/>
      <c r="D285" s="1853"/>
      <c r="E285" s="1853"/>
      <c r="F285" s="1845">
        <v>0.05</v>
      </c>
    </row>
    <row r="286" spans="1:6" ht="26.5" thickBot="1">
      <c r="A286" s="1839" t="s">
        <v>1415</v>
      </c>
      <c r="B286" s="1843" t="s">
        <v>2194</v>
      </c>
      <c r="C286" s="1853"/>
      <c r="D286" s="1853"/>
      <c r="E286" s="1853"/>
      <c r="F286" s="1845">
        <v>0.05</v>
      </c>
    </row>
    <row r="287" spans="1:6" ht="26.5" thickBot="1">
      <c r="A287" s="1839" t="s">
        <v>1415</v>
      </c>
      <c r="B287" s="1843" t="s">
        <v>2195</v>
      </c>
      <c r="C287" s="1853"/>
      <c r="D287" s="1853"/>
      <c r="E287" s="1853"/>
      <c r="F287" s="1845">
        <v>0.05</v>
      </c>
    </row>
    <row r="288" spans="1:6" ht="26.5" thickBot="1">
      <c r="A288" s="1839" t="s">
        <v>1415</v>
      </c>
      <c r="B288" s="1843" t="s">
        <v>2196</v>
      </c>
      <c r="C288" s="1853"/>
      <c r="D288" s="1853"/>
      <c r="E288" s="1853"/>
      <c r="F288" s="1845">
        <v>0.05</v>
      </c>
    </row>
    <row r="289" spans="1:6" ht="26.5" thickBot="1">
      <c r="A289" s="1847" t="s">
        <v>1415</v>
      </c>
      <c r="B289" s="1854" t="s">
        <v>2197</v>
      </c>
      <c r="C289" s="1850"/>
      <c r="D289" s="1850"/>
      <c r="E289" s="1850"/>
      <c r="F289" s="1855">
        <v>0.05</v>
      </c>
    </row>
    <row r="290" spans="1:6" ht="14.5" thickBot="1">
      <c r="A290" s="1839" t="s">
        <v>1419</v>
      </c>
      <c r="B290" s="1840" t="s">
        <v>2198</v>
      </c>
      <c r="C290" s="1841">
        <v>0.15</v>
      </c>
      <c r="D290" s="1841">
        <v>0.15</v>
      </c>
      <c r="E290" s="1841">
        <v>0.15</v>
      </c>
      <c r="F290" s="1863"/>
    </row>
    <row r="291" spans="1:6" ht="14.5" thickBot="1">
      <c r="A291" s="1839" t="s">
        <v>1419</v>
      </c>
      <c r="B291" s="1843" t="s">
        <v>1079</v>
      </c>
      <c r="C291" s="1844">
        <v>0.15</v>
      </c>
      <c r="D291" s="1844">
        <v>0.15</v>
      </c>
      <c r="E291" s="1844">
        <v>0.15</v>
      </c>
      <c r="F291" s="1852"/>
    </row>
    <row r="292" spans="1:6" ht="14.5" thickBot="1">
      <c r="A292" s="1839" t="s">
        <v>1419</v>
      </c>
      <c r="B292" s="1843" t="s">
        <v>2199</v>
      </c>
      <c r="C292" s="1844">
        <v>0.15</v>
      </c>
      <c r="D292" s="1844">
        <v>0.15</v>
      </c>
      <c r="E292" s="1844">
        <v>0.15</v>
      </c>
      <c r="F292" s="1845">
        <v>0.14699999999999999</v>
      </c>
    </row>
    <row r="293" spans="1:6" ht="14.5" thickBot="1">
      <c r="A293" s="1839" t="s">
        <v>1419</v>
      </c>
      <c r="B293" s="1843" t="s">
        <v>2200</v>
      </c>
      <c r="C293" s="1853"/>
      <c r="D293" s="1853"/>
      <c r="E293" s="1853"/>
      <c r="F293" s="1845">
        <v>0.1</v>
      </c>
    </row>
    <row r="294" spans="1:6" ht="14.5" thickBot="1">
      <c r="A294" s="1839" t="s">
        <v>1419</v>
      </c>
      <c r="B294" s="1843" t="s">
        <v>2201</v>
      </c>
      <c r="C294" s="1844">
        <v>0.15</v>
      </c>
      <c r="D294" s="1844">
        <v>0.15</v>
      </c>
      <c r="E294" s="1844">
        <v>0.15</v>
      </c>
      <c r="F294" s="1845">
        <v>0.15</v>
      </c>
    </row>
    <row r="295" spans="1:6" ht="14.5" thickBot="1">
      <c r="A295" s="1839" t="s">
        <v>1419</v>
      </c>
      <c r="B295" s="1843" t="s">
        <v>1120</v>
      </c>
      <c r="C295" s="1844">
        <v>0.15</v>
      </c>
      <c r="D295" s="1844">
        <v>0.15</v>
      </c>
      <c r="E295" s="1844">
        <v>0.15</v>
      </c>
      <c r="F295" s="1845">
        <v>0.15</v>
      </c>
    </row>
    <row r="296" spans="1:6" ht="14.5" thickBot="1">
      <c r="A296" s="1839" t="s">
        <v>1419</v>
      </c>
      <c r="B296" s="1843" t="s">
        <v>2202</v>
      </c>
      <c r="C296" s="1844">
        <v>0.15</v>
      </c>
      <c r="D296" s="1844">
        <v>0.15</v>
      </c>
      <c r="E296" s="1844">
        <v>0.15</v>
      </c>
      <c r="F296" s="1845">
        <v>0.15</v>
      </c>
    </row>
    <row r="297" spans="1:6" ht="14.5" thickBot="1">
      <c r="A297" s="1839" t="s">
        <v>1419</v>
      </c>
      <c r="B297" s="1843" t="s">
        <v>2203</v>
      </c>
      <c r="C297" s="1844">
        <v>0.14799999999999999</v>
      </c>
      <c r="D297" s="1844">
        <v>0.14899999999999999</v>
      </c>
      <c r="E297" s="1844">
        <v>0.15</v>
      </c>
      <c r="F297" s="1845">
        <v>0.13700000000000001</v>
      </c>
    </row>
    <row r="298" spans="1:6" ht="14.5" thickBot="1">
      <c r="A298" s="1839" t="s">
        <v>1419</v>
      </c>
      <c r="B298" s="1843" t="s">
        <v>1153</v>
      </c>
      <c r="C298" s="1844">
        <v>0.13400000000000001</v>
      </c>
      <c r="D298" s="1844">
        <v>0.13400000000000001</v>
      </c>
      <c r="E298" s="1844">
        <v>0.14499999999999999</v>
      </c>
      <c r="F298" s="1845">
        <v>0.14799999999999999</v>
      </c>
    </row>
    <row r="299" spans="1:6" ht="14.5" thickBot="1">
      <c r="A299" s="1839" t="s">
        <v>1419</v>
      </c>
      <c r="B299" s="1843" t="s">
        <v>1165</v>
      </c>
      <c r="C299" s="1844">
        <v>0.15</v>
      </c>
      <c r="D299" s="1844">
        <v>0.15</v>
      </c>
      <c r="E299" s="1844">
        <v>0.15</v>
      </c>
      <c r="F299" s="1852"/>
    </row>
    <row r="300" spans="1:6" ht="14.5" thickBot="1">
      <c r="A300" s="1839" t="s">
        <v>1419</v>
      </c>
      <c r="B300" s="1843" t="s">
        <v>2204</v>
      </c>
      <c r="C300" s="1844">
        <v>0.15</v>
      </c>
      <c r="D300" s="1844">
        <v>0.15</v>
      </c>
      <c r="E300" s="1844">
        <v>0.15</v>
      </c>
      <c r="F300" s="1845">
        <v>0.15</v>
      </c>
    </row>
    <row r="301" spans="1:6" ht="14.5" thickBot="1">
      <c r="A301" s="1839" t="s">
        <v>1419</v>
      </c>
      <c r="B301" s="1843" t="s">
        <v>1185</v>
      </c>
      <c r="C301" s="1844">
        <v>0.15</v>
      </c>
      <c r="D301" s="1844">
        <v>0.15</v>
      </c>
      <c r="E301" s="1844">
        <v>0.15</v>
      </c>
      <c r="F301" s="1852"/>
    </row>
    <row r="302" spans="1:6" ht="14.5" thickBot="1">
      <c r="A302" s="1839" t="s">
        <v>1419</v>
      </c>
      <c r="B302" s="1843" t="s">
        <v>2205</v>
      </c>
      <c r="C302" s="1844">
        <v>0.15</v>
      </c>
      <c r="D302" s="1844">
        <v>0.15</v>
      </c>
      <c r="E302" s="1844">
        <v>0.15</v>
      </c>
      <c r="F302" s="1845">
        <v>0.15</v>
      </c>
    </row>
    <row r="303" spans="1:6" ht="14.5" thickBot="1">
      <c r="A303" s="1839" t="s">
        <v>1419</v>
      </c>
      <c r="B303" s="1843" t="s">
        <v>1205</v>
      </c>
      <c r="C303" s="1844">
        <v>0.15</v>
      </c>
      <c r="D303" s="1844">
        <v>0.15</v>
      </c>
      <c r="E303" s="1844">
        <v>0.15</v>
      </c>
      <c r="F303" s="1845">
        <v>0.15</v>
      </c>
    </row>
    <row r="304" spans="1:6" ht="14.5" thickBot="1">
      <c r="A304" s="1839" t="s">
        <v>1419</v>
      </c>
      <c r="B304" s="1843" t="s">
        <v>1215</v>
      </c>
      <c r="C304" s="1844">
        <v>0.15</v>
      </c>
      <c r="D304" s="1844">
        <v>0.15</v>
      </c>
      <c r="E304" s="1844">
        <v>0.15</v>
      </c>
      <c r="F304" s="1852"/>
    </row>
    <row r="305" spans="1:6" ht="14.5" thickBot="1">
      <c r="A305" s="1839" t="s">
        <v>1419</v>
      </c>
      <c r="B305" s="1843" t="s">
        <v>2206</v>
      </c>
      <c r="C305" s="1844">
        <v>0.15</v>
      </c>
      <c r="D305" s="1844">
        <v>0.15</v>
      </c>
      <c r="E305" s="1844">
        <v>0.15</v>
      </c>
      <c r="F305" s="1845">
        <v>0.14000000000000001</v>
      </c>
    </row>
    <row r="306" spans="1:6" ht="14.5" thickBot="1">
      <c r="A306" s="1839" t="s">
        <v>1419</v>
      </c>
      <c r="B306" s="1843" t="s">
        <v>1235</v>
      </c>
      <c r="C306" s="1844">
        <v>0.15</v>
      </c>
      <c r="D306" s="1844">
        <v>0.15</v>
      </c>
      <c r="E306" s="1844">
        <v>0.15</v>
      </c>
      <c r="F306" s="1852"/>
    </row>
    <row r="307" spans="1:6" ht="14.5" thickBot="1">
      <c r="A307" s="1839" t="s">
        <v>1419</v>
      </c>
      <c r="B307" s="1843" t="s">
        <v>2207</v>
      </c>
      <c r="C307" s="1844">
        <v>0.15</v>
      </c>
      <c r="D307" s="1844">
        <v>0.15</v>
      </c>
      <c r="E307" s="1844">
        <v>0.15</v>
      </c>
      <c r="F307" s="1845">
        <v>0.14299999999999999</v>
      </c>
    </row>
    <row r="308" spans="1:6" ht="14.5" thickBot="1">
      <c r="A308" s="1839" t="s">
        <v>1419</v>
      </c>
      <c r="B308" s="1843" t="s">
        <v>1255</v>
      </c>
      <c r="C308" s="1844">
        <v>0.15</v>
      </c>
      <c r="D308" s="1844">
        <v>0.15</v>
      </c>
      <c r="E308" s="1844">
        <v>0.15</v>
      </c>
      <c r="F308" s="1845">
        <v>0.15</v>
      </c>
    </row>
    <row r="309" spans="1:6" ht="14.5" thickBot="1">
      <c r="A309" s="1839" t="s">
        <v>1419</v>
      </c>
      <c r="B309" s="1843" t="s">
        <v>1265</v>
      </c>
      <c r="C309" s="1844">
        <v>0.15</v>
      </c>
      <c r="D309" s="1844">
        <v>0.15</v>
      </c>
      <c r="E309" s="1844">
        <v>0.15</v>
      </c>
      <c r="F309" s="1852"/>
    </row>
    <row r="310" spans="1:6" ht="14.5" thickBot="1">
      <c r="A310" s="1839" t="s">
        <v>1419</v>
      </c>
      <c r="B310" s="1843" t="s">
        <v>2208</v>
      </c>
      <c r="C310" s="1844">
        <v>0.15</v>
      </c>
      <c r="D310" s="1844">
        <v>0.15</v>
      </c>
      <c r="E310" s="1844">
        <v>0.15</v>
      </c>
      <c r="F310" s="1845">
        <v>0.13700000000000001</v>
      </c>
    </row>
    <row r="311" spans="1:6" ht="14.5" thickBot="1">
      <c r="A311" s="1839" t="s">
        <v>1419</v>
      </c>
      <c r="B311" s="1843" t="s">
        <v>2209</v>
      </c>
      <c r="C311" s="1844">
        <v>0.15</v>
      </c>
      <c r="D311" s="1844">
        <v>0.15</v>
      </c>
      <c r="E311" s="1844">
        <v>0.15</v>
      </c>
      <c r="F311" s="1845">
        <v>0.15</v>
      </c>
    </row>
    <row r="312" spans="1:6" ht="14.5" thickBot="1">
      <c r="A312" s="1839" t="s">
        <v>1419</v>
      </c>
      <c r="B312" s="1843" t="s">
        <v>1291</v>
      </c>
      <c r="C312" s="1844">
        <v>0.15</v>
      </c>
      <c r="D312" s="1844">
        <v>0.15</v>
      </c>
      <c r="E312" s="1844">
        <v>0.15</v>
      </c>
      <c r="F312" s="1845">
        <v>0.1</v>
      </c>
    </row>
    <row r="313" spans="1:6" ht="14.5" thickBot="1">
      <c r="A313" s="1839" t="s">
        <v>1419</v>
      </c>
      <c r="B313" s="1843" t="s">
        <v>2210</v>
      </c>
      <c r="C313" s="1844">
        <v>0.15</v>
      </c>
      <c r="D313" s="1844">
        <v>0.15</v>
      </c>
      <c r="E313" s="1844">
        <v>0.15</v>
      </c>
      <c r="F313" s="1845">
        <v>0.15</v>
      </c>
    </row>
    <row r="314" spans="1:6" ht="26.5" thickBot="1">
      <c r="A314" s="1839" t="s">
        <v>1419</v>
      </c>
      <c r="B314" s="1843" t="s">
        <v>2211</v>
      </c>
      <c r="C314" s="1853"/>
      <c r="D314" s="1853"/>
      <c r="E314" s="1853"/>
      <c r="F314" s="1845">
        <v>0.05</v>
      </c>
    </row>
    <row r="315" spans="1:6" ht="26.5" thickBot="1">
      <c r="A315" s="1839" t="s">
        <v>1419</v>
      </c>
      <c r="B315" s="1843" t="s">
        <v>2212</v>
      </c>
      <c r="C315" s="1853"/>
      <c r="D315" s="1853"/>
      <c r="E315" s="1853"/>
      <c r="F315" s="1845">
        <v>0.05</v>
      </c>
    </row>
    <row r="316" spans="1:6" ht="26.5" thickBot="1">
      <c r="A316" s="1847" t="s">
        <v>1419</v>
      </c>
      <c r="B316" s="1854" t="s">
        <v>2213</v>
      </c>
      <c r="C316" s="1850"/>
      <c r="D316" s="1850"/>
      <c r="E316" s="1850"/>
      <c r="F316" s="1855">
        <v>0.05</v>
      </c>
    </row>
    <row r="317" spans="1:6" ht="14.5" thickBot="1">
      <c r="A317" s="1839" t="s">
        <v>2214</v>
      </c>
      <c r="B317" s="1840" t="s">
        <v>2215</v>
      </c>
      <c r="C317" s="1841">
        <v>0.15</v>
      </c>
      <c r="D317" s="1841">
        <v>0.15</v>
      </c>
      <c r="E317" s="1841">
        <v>0.15</v>
      </c>
      <c r="F317" s="1842">
        <v>0.15</v>
      </c>
    </row>
    <row r="318" spans="1:6" ht="14.5" thickBot="1">
      <c r="A318" s="1839" t="s">
        <v>2214</v>
      </c>
      <c r="B318" s="1843" t="s">
        <v>2216</v>
      </c>
      <c r="C318" s="1844">
        <v>0.107</v>
      </c>
      <c r="D318" s="1844">
        <v>0.11</v>
      </c>
      <c r="E318" s="1844">
        <v>0.112</v>
      </c>
      <c r="F318" s="1852"/>
    </row>
    <row r="319" spans="1:6" ht="14.5" thickBot="1">
      <c r="A319" s="1839" t="s">
        <v>2214</v>
      </c>
      <c r="B319" s="1843" t="s">
        <v>2217</v>
      </c>
      <c r="C319" s="1844">
        <v>0.15</v>
      </c>
      <c r="D319" s="1844">
        <v>0.15</v>
      </c>
      <c r="E319" s="1844">
        <v>0.15</v>
      </c>
      <c r="F319" s="1845">
        <v>0.15</v>
      </c>
    </row>
    <row r="320" spans="1:6" ht="14.5" thickBot="1">
      <c r="A320" s="1839" t="s">
        <v>2214</v>
      </c>
      <c r="B320" s="1843" t="s">
        <v>1107</v>
      </c>
      <c r="C320" s="1844">
        <v>0.15</v>
      </c>
      <c r="D320" s="1844">
        <v>0.15</v>
      </c>
      <c r="E320" s="1844">
        <v>0.15</v>
      </c>
      <c r="F320" s="1852"/>
    </row>
    <row r="321" spans="1:6" ht="14.5" thickBot="1">
      <c r="A321" s="1839" t="s">
        <v>2214</v>
      </c>
      <c r="B321" s="1843" t="s">
        <v>2218</v>
      </c>
      <c r="C321" s="1844">
        <v>0.15</v>
      </c>
      <c r="D321" s="1844">
        <v>0.15</v>
      </c>
      <c r="E321" s="1844">
        <v>0.15</v>
      </c>
      <c r="F321" s="1852"/>
    </row>
    <row r="322" spans="1:6" ht="14.5" thickBot="1">
      <c r="A322" s="1839" t="s">
        <v>2214</v>
      </c>
      <c r="B322" s="1843" t="s">
        <v>2219</v>
      </c>
      <c r="C322" s="1844">
        <v>0.15</v>
      </c>
      <c r="D322" s="1844">
        <v>0.15</v>
      </c>
      <c r="E322" s="1844">
        <v>0.15</v>
      </c>
      <c r="F322" s="1845">
        <v>0.15</v>
      </c>
    </row>
    <row r="323" spans="1:6" ht="14.5" thickBot="1">
      <c r="A323" s="1839" t="s">
        <v>2214</v>
      </c>
      <c r="B323" s="1843" t="s">
        <v>2220</v>
      </c>
      <c r="C323" s="1844">
        <v>0.15</v>
      </c>
      <c r="D323" s="1844">
        <v>0.15</v>
      </c>
      <c r="E323" s="1844">
        <v>0.15</v>
      </c>
      <c r="F323" s="1852"/>
    </row>
    <row r="324" spans="1:6" ht="14.5" thickBot="1">
      <c r="A324" s="1839" t="s">
        <v>2214</v>
      </c>
      <c r="B324" s="1843" t="s">
        <v>2221</v>
      </c>
      <c r="C324" s="1844">
        <v>0.15</v>
      </c>
      <c r="D324" s="1844">
        <v>0.15</v>
      </c>
      <c r="E324" s="1844">
        <v>0.15</v>
      </c>
      <c r="F324" s="1852"/>
    </row>
    <row r="325" spans="1:6" ht="14.5" thickBot="1">
      <c r="A325" s="1839" t="s">
        <v>2214</v>
      </c>
      <c r="B325" s="1843" t="s">
        <v>2222</v>
      </c>
      <c r="C325" s="1844">
        <v>0.15</v>
      </c>
      <c r="D325" s="1844">
        <v>0.15</v>
      </c>
      <c r="E325" s="1844">
        <v>0.15</v>
      </c>
      <c r="F325" s="1845">
        <v>0.14699999999999999</v>
      </c>
    </row>
    <row r="326" spans="1:6" ht="14.5" thickBot="1">
      <c r="A326" s="1839" t="s">
        <v>2214</v>
      </c>
      <c r="B326" s="1843" t="s">
        <v>1176</v>
      </c>
      <c r="C326" s="1844">
        <v>0.15</v>
      </c>
      <c r="D326" s="1844">
        <v>0.15</v>
      </c>
      <c r="E326" s="1844">
        <v>0.15</v>
      </c>
      <c r="F326" s="1852"/>
    </row>
    <row r="327" spans="1:6" ht="14.5" thickBot="1">
      <c r="A327" s="1839" t="s">
        <v>2214</v>
      </c>
      <c r="B327" s="1843" t="s">
        <v>2223</v>
      </c>
      <c r="C327" s="1844">
        <v>0.15</v>
      </c>
      <c r="D327" s="1844">
        <v>0.15</v>
      </c>
      <c r="E327" s="1844">
        <v>0.15</v>
      </c>
      <c r="F327" s="1845">
        <v>0.15</v>
      </c>
    </row>
    <row r="328" spans="1:6" ht="14.5" thickBot="1">
      <c r="A328" s="1839" t="s">
        <v>2214</v>
      </c>
      <c r="B328" s="1843" t="s">
        <v>1196</v>
      </c>
      <c r="C328" s="1844">
        <v>0.15</v>
      </c>
      <c r="D328" s="1844">
        <v>0.15</v>
      </c>
      <c r="E328" s="1844">
        <v>0.15</v>
      </c>
      <c r="F328" s="1845">
        <v>0.14099999999999999</v>
      </c>
    </row>
    <row r="329" spans="1:6" ht="14.5" thickBot="1">
      <c r="A329" s="1839" t="s">
        <v>2214</v>
      </c>
      <c r="B329" s="1843" t="s">
        <v>1206</v>
      </c>
      <c r="C329" s="1844">
        <v>0.15</v>
      </c>
      <c r="D329" s="1844">
        <v>0.15</v>
      </c>
      <c r="E329" s="1844">
        <v>0.15</v>
      </c>
      <c r="F329" s="1845">
        <v>0.15</v>
      </c>
    </row>
    <row r="330" spans="1:6" ht="14.5" thickBot="1">
      <c r="A330" s="1839" t="s">
        <v>2214</v>
      </c>
      <c r="B330" s="1843" t="s">
        <v>1216</v>
      </c>
      <c r="C330" s="1844">
        <v>0.15</v>
      </c>
      <c r="D330" s="1844">
        <v>0.15</v>
      </c>
      <c r="E330" s="1844">
        <v>0.15</v>
      </c>
      <c r="F330" s="1852"/>
    </row>
    <row r="331" spans="1:6" ht="14.5" thickBot="1">
      <c r="A331" s="1839" t="s">
        <v>2214</v>
      </c>
      <c r="B331" s="1843" t="s">
        <v>2224</v>
      </c>
      <c r="C331" s="1844">
        <v>0.15</v>
      </c>
      <c r="D331" s="1844">
        <v>0.15</v>
      </c>
      <c r="E331" s="1844">
        <v>0.15</v>
      </c>
      <c r="F331" s="1845">
        <v>0.15</v>
      </c>
    </row>
    <row r="332" spans="1:6" ht="14.5" thickBot="1">
      <c r="A332" s="1839" t="s">
        <v>2214</v>
      </c>
      <c r="B332" s="1843" t="s">
        <v>1236</v>
      </c>
      <c r="C332" s="1844">
        <v>0.15</v>
      </c>
      <c r="D332" s="1844">
        <v>0.15</v>
      </c>
      <c r="E332" s="1844">
        <v>0.15</v>
      </c>
      <c r="F332" s="1845">
        <v>0.15</v>
      </c>
    </row>
    <row r="333" spans="1:6" ht="14.5" thickBot="1">
      <c r="A333" s="1839" t="s">
        <v>2214</v>
      </c>
      <c r="B333" s="1843" t="s">
        <v>2225</v>
      </c>
      <c r="C333" s="1844">
        <v>0.15</v>
      </c>
      <c r="D333" s="1844">
        <v>0.15</v>
      </c>
      <c r="E333" s="1844">
        <v>0.15</v>
      </c>
      <c r="F333" s="1845">
        <v>0.14099999999999999</v>
      </c>
    </row>
    <row r="334" spans="1:6" ht="14.5" thickBot="1">
      <c r="A334" s="1839" t="s">
        <v>2214</v>
      </c>
      <c r="B334" s="1843" t="s">
        <v>1256</v>
      </c>
      <c r="C334" s="1844">
        <v>0.15</v>
      </c>
      <c r="D334" s="1844">
        <v>0.15</v>
      </c>
      <c r="E334" s="1844">
        <v>0.15</v>
      </c>
      <c r="F334" s="1845">
        <v>0.15</v>
      </c>
    </row>
    <row r="335" spans="1:6" ht="14.5" thickBot="1">
      <c r="A335" s="1839" t="s">
        <v>2214</v>
      </c>
      <c r="B335" s="1843" t="s">
        <v>1266</v>
      </c>
      <c r="C335" s="1844">
        <v>0.15</v>
      </c>
      <c r="D335" s="1844">
        <v>0.15</v>
      </c>
      <c r="E335" s="1844">
        <v>0.15</v>
      </c>
      <c r="F335" s="1852"/>
    </row>
    <row r="336" spans="1:6" ht="14.5" thickBot="1">
      <c r="A336" s="1839" t="s">
        <v>2214</v>
      </c>
      <c r="B336" s="1843" t="s">
        <v>2226</v>
      </c>
      <c r="C336" s="1844">
        <v>0.15</v>
      </c>
      <c r="D336" s="1844">
        <v>0.15</v>
      </c>
      <c r="E336" s="1844">
        <v>0.15</v>
      </c>
      <c r="F336" s="1845">
        <v>0.11799999999999999</v>
      </c>
    </row>
    <row r="337" spans="1:6" ht="14.5" thickBot="1">
      <c r="A337" s="1847" t="s">
        <v>2214</v>
      </c>
      <c r="B337" s="1854" t="s">
        <v>1284</v>
      </c>
      <c r="C337" s="1850"/>
      <c r="D337" s="1850"/>
      <c r="E337" s="1850"/>
      <c r="F337" s="1855">
        <v>0.14299999999999999</v>
      </c>
    </row>
    <row r="338" spans="1:6" ht="14.5" thickBot="1">
      <c r="A338" s="1839" t="s">
        <v>2227</v>
      </c>
      <c r="B338" s="1840" t="s">
        <v>2228</v>
      </c>
      <c r="C338" s="1841">
        <v>0.15</v>
      </c>
      <c r="D338" s="1841">
        <v>0.15</v>
      </c>
      <c r="E338" s="1841">
        <v>0.15</v>
      </c>
      <c r="F338" s="1863"/>
    </row>
    <row r="339" spans="1:6" ht="14.5" thickBot="1">
      <c r="A339" s="1839" t="s">
        <v>2227</v>
      </c>
      <c r="B339" s="1843" t="s">
        <v>2229</v>
      </c>
      <c r="C339" s="1844">
        <v>0.15</v>
      </c>
      <c r="D339" s="1844">
        <v>0.15</v>
      </c>
      <c r="E339" s="1844">
        <v>0.15</v>
      </c>
      <c r="F339" s="1852"/>
    </row>
    <row r="340" spans="1:6" ht="14.5" thickBot="1">
      <c r="A340" s="1839" t="s">
        <v>2227</v>
      </c>
      <c r="B340" s="1843" t="s">
        <v>2230</v>
      </c>
      <c r="C340" s="1844">
        <v>0.15</v>
      </c>
      <c r="D340" s="1844">
        <v>0.15</v>
      </c>
      <c r="E340" s="1844">
        <v>0.15</v>
      </c>
      <c r="F340" s="1852"/>
    </row>
    <row r="341" spans="1:6" ht="14.5" thickBot="1">
      <c r="A341" s="1839" t="s">
        <v>2231</v>
      </c>
      <c r="B341" s="1843" t="s">
        <v>2232</v>
      </c>
      <c r="C341" s="1844">
        <v>0.15</v>
      </c>
      <c r="D341" s="1844">
        <v>0.15</v>
      </c>
      <c r="E341" s="1844">
        <v>0.15</v>
      </c>
      <c r="F341" s="1845">
        <v>0.15</v>
      </c>
    </row>
    <row r="342" spans="1:6" ht="14.5" thickBot="1">
      <c r="A342" s="1839" t="s">
        <v>2227</v>
      </c>
      <c r="B342" s="1843" t="s">
        <v>2233</v>
      </c>
      <c r="C342" s="1844">
        <v>0.15</v>
      </c>
      <c r="D342" s="1844">
        <v>0.15</v>
      </c>
      <c r="E342" s="1844">
        <v>0.15</v>
      </c>
      <c r="F342" s="1845">
        <v>0.15</v>
      </c>
    </row>
    <row r="343" spans="1:6" ht="14.5" thickBot="1">
      <c r="A343" s="1839" t="s">
        <v>2227</v>
      </c>
      <c r="B343" s="1843" t="s">
        <v>2234</v>
      </c>
      <c r="C343" s="1844">
        <v>0.15</v>
      </c>
      <c r="D343" s="1844">
        <v>0.15</v>
      </c>
      <c r="E343" s="1844">
        <v>0.15</v>
      </c>
      <c r="F343" s="1845">
        <v>0.15</v>
      </c>
    </row>
    <row r="344" spans="1:6" ht="14.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2"/>
  <sheetViews>
    <sheetView zoomScale="80" zoomScaleNormal="80" workbookViewId="0">
      <selection activeCell="L7" sqref="L7"/>
    </sheetView>
  </sheetViews>
  <sheetFormatPr defaultColWidth="9" defaultRowHeight="12.5"/>
  <cols>
    <col min="1" max="1" width="9" style="2625"/>
    <col min="2" max="6" width="9" style="2625" customWidth="1"/>
    <col min="7" max="7" width="9" style="2641" customWidth="1"/>
    <col min="8" max="12" width="9" style="2625" customWidth="1"/>
    <col min="13" max="13" width="2.1796875" style="2625" customWidth="1"/>
    <col min="14" max="14" width="9" style="2641" customWidth="1"/>
    <col min="15" max="17" width="9" style="2625" customWidth="1"/>
    <col min="18" max="18" width="2.36328125" style="2625" customWidth="1"/>
    <col min="19" max="19" width="7.08984375" style="2641" customWidth="1"/>
    <col min="20" max="22" width="7.08984375" style="2625" customWidth="1"/>
    <col min="23" max="23" width="24" style="2625" customWidth="1"/>
    <col min="24" max="25" width="9" style="2625"/>
    <col min="26" max="27" width="11.6328125" style="2625" customWidth="1"/>
    <col min="28" max="28" width="9" style="2625"/>
    <col min="29" max="29" width="2" style="2625" customWidth="1"/>
    <col min="30" max="16384" width="9" style="2625"/>
  </cols>
  <sheetData>
    <row r="1" spans="1:34" s="2616" customFormat="1" ht="13">
      <c r="B1" s="3456" t="s">
        <v>2573</v>
      </c>
      <c r="C1" s="3456"/>
      <c r="D1" s="3456"/>
      <c r="E1" s="3456"/>
      <c r="F1" s="3456"/>
      <c r="G1" s="3455" t="s">
        <v>2574</v>
      </c>
      <c r="H1" s="3455"/>
      <c r="I1" s="3455"/>
      <c r="J1" s="3455"/>
      <c r="K1" s="3455"/>
      <c r="L1" s="3455"/>
      <c r="N1" s="3455" t="s">
        <v>2575</v>
      </c>
      <c r="O1" s="3455"/>
      <c r="P1" s="3455"/>
      <c r="Q1" s="3455"/>
      <c r="R1" s="2617"/>
      <c r="S1" s="3455" t="s">
        <v>2576</v>
      </c>
      <c r="T1" s="3455"/>
      <c r="U1" s="3455"/>
      <c r="V1" s="3455"/>
      <c r="X1" s="3454" t="s">
        <v>2636</v>
      </c>
      <c r="Y1" s="3455"/>
      <c r="Z1" s="3455"/>
      <c r="AA1" s="3455"/>
      <c r="AB1" s="3455"/>
      <c r="AD1" s="3454" t="s">
        <v>2640</v>
      </c>
      <c r="AE1" s="3455"/>
      <c r="AF1" s="3455"/>
      <c r="AG1" s="3455"/>
      <c r="AH1" s="3455"/>
    </row>
    <row r="2" spans="1:34" s="2718" customFormat="1" ht="14.5" thickBot="1">
      <c r="B2" s="2726" t="s">
        <v>2577</v>
      </c>
      <c r="C2" s="2726" t="s">
        <v>2638</v>
      </c>
      <c r="D2" s="2719" t="s">
        <v>1644</v>
      </c>
      <c r="E2" s="2719" t="s">
        <v>1947</v>
      </c>
      <c r="F2" s="2726" t="s">
        <v>2639</v>
      </c>
      <c r="G2" s="2722"/>
      <c r="H2" s="2721"/>
      <c r="I2" s="2726" t="s">
        <v>2953</v>
      </c>
      <c r="J2" s="2719" t="s">
        <v>2955</v>
      </c>
      <c r="K2" s="2719" t="s">
        <v>2956</v>
      </c>
      <c r="L2" s="2726" t="s">
        <v>2957</v>
      </c>
      <c r="N2" s="2726" t="s">
        <v>2577</v>
      </c>
      <c r="O2" s="2719" t="s">
        <v>2954</v>
      </c>
      <c r="P2" s="2719" t="s">
        <v>1947</v>
      </c>
      <c r="Q2" s="2726" t="s">
        <v>2639</v>
      </c>
      <c r="R2" s="2720"/>
      <c r="S2" s="2726" t="s">
        <v>2577</v>
      </c>
      <c r="T2" s="2719" t="s">
        <v>2954</v>
      </c>
      <c r="U2" s="2719" t="s">
        <v>1947</v>
      </c>
      <c r="V2" s="2726" t="s">
        <v>2639</v>
      </c>
      <c r="X2" s="2726" t="s">
        <v>2577</v>
      </c>
      <c r="Y2" s="2726" t="s">
        <v>2638</v>
      </c>
      <c r="Z2" s="2719" t="s">
        <v>1644</v>
      </c>
      <c r="AA2" s="2719" t="s">
        <v>1947</v>
      </c>
      <c r="AB2" s="2726" t="s">
        <v>2639</v>
      </c>
      <c r="AD2" s="2726" t="s">
        <v>2577</v>
      </c>
      <c r="AE2" s="2726" t="s">
        <v>2638</v>
      </c>
      <c r="AF2" s="2719" t="s">
        <v>1644</v>
      </c>
      <c r="AG2" s="2719" t="s">
        <v>1947</v>
      </c>
      <c r="AH2" s="2726" t="s">
        <v>2639</v>
      </c>
    </row>
    <row r="3" spans="1:34" s="3082" customFormat="1" ht="14">
      <c r="A3" s="3094" t="s">
        <v>2966</v>
      </c>
      <c r="B3" s="3083"/>
      <c r="C3" s="3083"/>
      <c r="D3" s="3084"/>
      <c r="E3" s="3084"/>
      <c r="F3" s="3083"/>
      <c r="G3" s="3085"/>
      <c r="H3" s="3086"/>
      <c r="I3" s="3093">
        <f>ROUND(AVERAGE($I4:$I29),2)</f>
        <v>1.92</v>
      </c>
      <c r="J3" s="3093">
        <f>ROUND(AVERAGE($J4:$J29),2)</f>
        <v>1.34</v>
      </c>
      <c r="K3" s="3093">
        <f>ROUND(AVERAGE($K4:$K29),2)</f>
        <v>2.1</v>
      </c>
      <c r="L3" s="3093">
        <f>ROUND(AVERAGE($L4:$L29),2)</f>
        <v>1.35</v>
      </c>
      <c r="N3" s="3085"/>
      <c r="O3" s="3087"/>
      <c r="P3" s="3087"/>
      <c r="Q3" s="3087"/>
      <c r="R3" s="3087"/>
      <c r="S3" s="3085"/>
      <c r="T3" s="3087"/>
      <c r="U3" s="3087"/>
      <c r="V3" s="3087"/>
      <c r="W3" s="3090"/>
      <c r="X3" s="3088">
        <f>ROUND(SUMPRODUCT(PRODUCT(1+N3:N$28)),4)</f>
        <v>1.5586</v>
      </c>
      <c r="Y3" s="3088">
        <f>ROUND(SUMPRODUCT(PRODUCT(1+O3:O$28)),4)</f>
        <v>1.3633</v>
      </c>
      <c r="Z3" s="3088">
        <f t="shared" ref="Z3:Z26" si="0">Y3</f>
        <v>1.3633</v>
      </c>
      <c r="AA3" s="3088">
        <f>ROUND(SUMPRODUCT(PRODUCT(1+P3:P$28)),4)</f>
        <v>1.6221000000000001</v>
      </c>
      <c r="AB3" s="3088">
        <f>ROUND(SUMPRODUCT(PRODUCT(1+Q3:Q$28)),4)</f>
        <v>1.3777999999999999</v>
      </c>
      <c r="AD3" s="3089">
        <f>ROUND(AVERAGE(I3:I$29)/100,4)</f>
        <v>1.9199999999999998E-2</v>
      </c>
      <c r="AE3" s="3089">
        <f>ROUND(AVERAGE(J3:J$29)/100,4)</f>
        <v>1.34E-2</v>
      </c>
      <c r="AF3" s="3089">
        <f t="shared" ref="AF3:AF27" si="1">AE3</f>
        <v>1.34E-2</v>
      </c>
      <c r="AG3" s="3089">
        <f>ROUND(AVERAGE(K3:K$29)/100,4)</f>
        <v>2.1000000000000001E-2</v>
      </c>
      <c r="AH3" s="3089">
        <f>ROUND(AVERAGE(L3:L$29)/100,4)</f>
        <v>1.35E-2</v>
      </c>
    </row>
    <row r="4" spans="1:34" s="2711" customFormat="1" ht="14">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
      <c r="A5" s="3064" t="s">
        <v>2995</v>
      </c>
      <c r="B5" s="2750">
        <f t="shared" ref="B5" si="2">B6*(1+N5)</f>
        <v>479.34737379023579</v>
      </c>
      <c r="C5" s="2750">
        <f t="shared" ref="C5" si="3">C6*(1+O5)</f>
        <v>351.4265287986122</v>
      </c>
      <c r="D5" s="2750">
        <f t="shared" ref="D5" si="4">C5</f>
        <v>351.4265287986122</v>
      </c>
      <c r="E5" s="2750">
        <f t="shared" ref="E5" si="5">E6*(1+P5)</f>
        <v>685.98209703803116</v>
      </c>
      <c r="F5" s="2750">
        <f t="shared" ref="F5" si="6">F6*(1+Q5)</f>
        <v>316.78315206651001</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2967</v>
      </c>
      <c r="X5" s="3069">
        <f>ROUND(IF(项目基本情况!B8="出让",SUMPRODUCT(PRODUCT(1+N5:N$29)),SUMPRODUCT(PRODUCT(1+N5:N$28))),4)</f>
        <v>1.5586</v>
      </c>
      <c r="Y5" s="3069">
        <f>ROUND(IF(项目基本情况!B8="出让",SUMPRODUCT(PRODUCT(1+O5:O$29)),SUMPRODUCT(PRODUCT(1+O5:O$28))),4)</f>
        <v>1.3633</v>
      </c>
      <c r="Z5" s="3069">
        <f t="shared" ref="Z5" si="11">Y5</f>
        <v>1.3633</v>
      </c>
      <c r="AA5" s="3069">
        <f>ROUND(IF(项目基本情况!B8="出让",SUMPRODUCT(PRODUCT(1+P5:P$29)),SUMPRODUCT(PRODUCT(1+P5:P$28))),4)</f>
        <v>1.6221000000000001</v>
      </c>
      <c r="AB5" s="3069">
        <f>ROUND(IF(项目基本情况!B8="出让",SUMPRODUCT(PRODUCT(1+Q5:Q$29)),SUMPRODUCT(PRODUCT(1+Q5:Q$28))),4)</f>
        <v>1.3777999999999999</v>
      </c>
      <c r="AD5" s="3070">
        <f>ROUND(AVERAGE(I5:I$29)/100,4)</f>
        <v>1.9199999999999998E-2</v>
      </c>
      <c r="AE5" s="3070">
        <f>ROUND(AVERAGE(J5:J$29)/100,4)</f>
        <v>1.34E-2</v>
      </c>
      <c r="AF5" s="3070">
        <f t="shared" ref="AF5" si="12">AE5</f>
        <v>1.34E-2</v>
      </c>
      <c r="AG5" s="3070">
        <f>ROUND(AVERAGE(K5:K$29)/100,4)</f>
        <v>2.1000000000000001E-2</v>
      </c>
      <c r="AH5" s="3070">
        <f>ROUND(AVERAGE(L5:L$29)/100,4)</f>
        <v>1.35E-2</v>
      </c>
    </row>
    <row r="6" spans="1:34" s="2723" customFormat="1" ht="13">
      <c r="A6" s="2618" t="s">
        <v>2991</v>
      </c>
      <c r="B6" s="2631">
        <f t="shared" ref="B6" si="13">B7*(1+N6)</f>
        <v>479.34737379023579</v>
      </c>
      <c r="C6" s="2631">
        <f t="shared" ref="C6" si="14">C7*(1+O6)</f>
        <v>351.4265287986122</v>
      </c>
      <c r="D6" s="2631">
        <f t="shared" ref="D6" si="15">C6</f>
        <v>351.4265287986122</v>
      </c>
      <c r="E6" s="2631">
        <f t="shared" ref="E6" si="16">E7*(1+P6)</f>
        <v>685.98209703803116</v>
      </c>
      <c r="F6" s="2631">
        <f t="shared" ref="F6" si="17">F7*(1+Q6)</f>
        <v>316.78315206651001</v>
      </c>
      <c r="G6" s="2717">
        <v>2019</v>
      </c>
      <c r="H6" s="2621">
        <v>4</v>
      </c>
      <c r="I6" s="2621">
        <v>0.45</v>
      </c>
      <c r="J6" s="2621">
        <v>-0.12</v>
      </c>
      <c r="K6" s="2621">
        <v>0.54</v>
      </c>
      <c r="L6" s="2632">
        <v>0.48</v>
      </c>
      <c r="M6" s="2625"/>
      <c r="N6" s="2626">
        <f t="shared" ref="N6" si="18">I6/100</f>
        <v>4.5000000000000005E-3</v>
      </c>
      <c r="O6" s="2627">
        <f t="shared" ref="O6" si="19">J6/100</f>
        <v>-1.1999999999999999E-3</v>
      </c>
      <c r="P6" s="2627">
        <f t="shared" ref="P6" si="20">K6/100</f>
        <v>5.4000000000000003E-3</v>
      </c>
      <c r="Q6" s="2627">
        <f t="shared" ref="Q6" si="21">L6/100</f>
        <v>4.7999999999999996E-3</v>
      </c>
      <c r="R6" s="2628"/>
      <c r="S6" s="2634"/>
      <c r="T6" s="2635"/>
      <c r="U6" s="2635"/>
      <c r="V6" s="2635"/>
      <c r="W6" s="2625"/>
      <c r="X6" s="2716">
        <f>ROUND(IF(项目基本情况!B8="出让",SUMPRODUCT(PRODUCT(1+N6:N$29)),SUMPRODUCT(PRODUCT(1+N6:N$28))),4)</f>
        <v>1.5586</v>
      </c>
      <c r="Y6" s="2716">
        <f>ROUND(IF(项目基本情况!B8="出让",SUMPRODUCT(PRODUCT(1+O6:O$29)),SUMPRODUCT(PRODUCT(1+O6:O$28))),4)</f>
        <v>1.3633</v>
      </c>
      <c r="Z6" s="2716">
        <f t="shared" ref="Z6" si="22">Y6</f>
        <v>1.3633</v>
      </c>
      <c r="AA6" s="2716">
        <f>ROUND(IF(项目基本情况!B8="出让",SUMPRODUCT(PRODUCT(1+P6:P$29)),SUMPRODUCT(PRODUCT(1+P6:P$28))),4)</f>
        <v>1.6221000000000001</v>
      </c>
      <c r="AB6" s="2716">
        <f>ROUND(IF(项目基本情况!B8="出让",SUMPRODUCT(PRODUCT(1+Q6:Q$29)),SUMPRODUCT(PRODUCT(1+Q6:Q$28))),4)</f>
        <v>1.3777999999999999</v>
      </c>
      <c r="AC6" s="2625"/>
      <c r="AD6" s="2636">
        <f>ROUND(AVERAGE(I6:I$29)/100,4)</f>
        <v>0.02</v>
      </c>
      <c r="AE6" s="2636">
        <f>ROUND(AVERAGE(J6:J$29)/100,4)</f>
        <v>1.4E-2</v>
      </c>
      <c r="AF6" s="2636">
        <f t="shared" ref="AF6" si="23">AE6</f>
        <v>1.4E-2</v>
      </c>
      <c r="AG6" s="2636">
        <f>ROUND(AVERAGE(K6:K$29)/100,4)</f>
        <v>2.1899999999999999E-2</v>
      </c>
      <c r="AH6" s="2636">
        <f>ROUND(AVERAGE(L6:L$29)/100,4)</f>
        <v>1.4E-2</v>
      </c>
    </row>
    <row r="7" spans="1:34" s="2723" customFormat="1" ht="13.5" thickBot="1">
      <c r="A7" s="2618" t="s">
        <v>2990</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ht="13">
      <c r="A8" s="2618" t="s">
        <v>2987</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2986</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ht="13">
      <c r="A10" s="2618" t="s">
        <v>2983</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50">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2976</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50"/>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2977</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50"/>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2973</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1"/>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ht="13">
      <c r="A14" s="2618" t="s">
        <v>2964</v>
      </c>
      <c r="B14" s="3096">
        <v>439</v>
      </c>
      <c r="C14" s="3096">
        <v>327</v>
      </c>
      <c r="D14" s="3096">
        <f t="shared" si="87"/>
        <v>327</v>
      </c>
      <c r="E14" s="3096">
        <v>627</v>
      </c>
      <c r="F14" s="3097">
        <v>283</v>
      </c>
      <c r="G14" s="3449">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2968</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50"/>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2578</v>
      </c>
      <c r="B16" s="2631">
        <f t="shared" si="99"/>
        <v>419.31181600000002</v>
      </c>
      <c r="C16" s="2631">
        <f t="shared" si="99"/>
        <v>313.95436800000004</v>
      </c>
      <c r="D16" s="2631">
        <f t="shared" si="87"/>
        <v>313.95436800000004</v>
      </c>
      <c r="E16" s="2631">
        <f t="shared" si="100"/>
        <v>596.63028431999999</v>
      </c>
      <c r="F16" s="2631">
        <f t="shared" si="100"/>
        <v>274.74220703999998</v>
      </c>
      <c r="G16" s="3450"/>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2579</v>
      </c>
      <c r="B17" s="2631">
        <f t="shared" si="99"/>
        <v>405.524</v>
      </c>
      <c r="C17" s="2631">
        <f t="shared" si="99"/>
        <v>307.79840000000002</v>
      </c>
      <c r="D17" s="2631">
        <f t="shared" si="87"/>
        <v>307.79840000000002</v>
      </c>
      <c r="E17" s="2631">
        <f t="shared" si="100"/>
        <v>574.67759999999998</v>
      </c>
      <c r="F17" s="2631">
        <f t="shared" si="100"/>
        <v>270.20280000000002</v>
      </c>
      <c r="G17" s="3451"/>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ht="13">
      <c r="A18" s="2618" t="s">
        <v>970</v>
      </c>
      <c r="B18" s="2623">
        <v>392</v>
      </c>
      <c r="C18" s="2623">
        <v>302</v>
      </c>
      <c r="D18" s="2623">
        <f t="shared" si="87"/>
        <v>302</v>
      </c>
      <c r="E18" s="2623">
        <v>553</v>
      </c>
      <c r="F18" s="2624">
        <v>266</v>
      </c>
      <c r="G18" s="3449">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50"/>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50"/>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53"/>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967</v>
      </c>
      <c r="B22" s="2623">
        <v>333</v>
      </c>
      <c r="C22" s="2623">
        <v>277</v>
      </c>
      <c r="D22" s="2623">
        <f t="shared" si="109"/>
        <v>277</v>
      </c>
      <c r="E22" s="2623">
        <v>459</v>
      </c>
      <c r="F22" s="2624">
        <v>249</v>
      </c>
      <c r="G22" s="3452">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50"/>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50"/>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53"/>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963</v>
      </c>
      <c r="B26" s="2645">
        <v>318</v>
      </c>
      <c r="C26" s="2645">
        <v>268</v>
      </c>
      <c r="D26" s="2645">
        <f t="shared" si="109"/>
        <v>268</v>
      </c>
      <c r="E26" s="2645">
        <v>437</v>
      </c>
      <c r="F26" s="2646">
        <v>237</v>
      </c>
      <c r="G26" s="3452">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50"/>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50"/>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53"/>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2637</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2580</v>
      </c>
      <c r="B30" s="2623">
        <v>299</v>
      </c>
      <c r="C30" s="2623">
        <v>252</v>
      </c>
      <c r="D30" s="2623">
        <f t="shared" si="109"/>
        <v>252</v>
      </c>
      <c r="E30" s="2623">
        <v>409</v>
      </c>
      <c r="F30" s="2624">
        <v>227</v>
      </c>
      <c r="G30" s="3457">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2581</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8"/>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ht="13">
      <c r="A32" s="2618" t="s">
        <v>2582</v>
      </c>
      <c r="B32" s="2631">
        <f t="shared" si="118"/>
        <v>288.2649053828776</v>
      </c>
      <c r="C32" s="2631">
        <f t="shared" si="118"/>
        <v>243.64564425013293</v>
      </c>
      <c r="D32" s="2631">
        <f t="shared" si="109"/>
        <v>243.64564425013293</v>
      </c>
      <c r="E32" s="2631">
        <f t="shared" si="119"/>
        <v>393.31080825986544</v>
      </c>
      <c r="F32" s="2631">
        <f t="shared" si="119"/>
        <v>223.07903790551154</v>
      </c>
      <c r="G32" s="3458"/>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2583</v>
      </c>
      <c r="B33" s="2631">
        <f t="shared" si="118"/>
        <v>282.50186729015837</v>
      </c>
      <c r="C33" s="2631">
        <f t="shared" si="118"/>
        <v>238.09796174155468</v>
      </c>
      <c r="D33" s="2631">
        <f t="shared" si="109"/>
        <v>238.09796174155468</v>
      </c>
      <c r="E33" s="2631">
        <f t="shared" si="119"/>
        <v>385.33438646014054</v>
      </c>
      <c r="F33" s="2631">
        <f t="shared" si="119"/>
        <v>221.55034055567739</v>
      </c>
      <c r="G33" s="3459"/>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2584</v>
      </c>
      <c r="B34" s="2661">
        <v>278</v>
      </c>
      <c r="C34" s="2661">
        <v>234</v>
      </c>
      <c r="D34" s="2661">
        <f t="shared" si="109"/>
        <v>234</v>
      </c>
      <c r="E34" s="2661">
        <v>379</v>
      </c>
      <c r="F34" s="2662">
        <v>220</v>
      </c>
      <c r="G34" s="3452">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2585</v>
      </c>
      <c r="B35" s="2631">
        <f>B34/(1+N34)</f>
        <v>275.49301357645425</v>
      </c>
      <c r="C35" s="2631">
        <f>C34/(1+O34)</f>
        <v>232.41954707985698</v>
      </c>
      <c r="D35" s="2631">
        <f t="shared" si="109"/>
        <v>232.41954707985698</v>
      </c>
      <c r="E35" s="2631">
        <f t="shared" ref="E35:F37" si="120">E34/(1+P34)</f>
        <v>375.32184591008121</v>
      </c>
      <c r="F35" s="2631">
        <f t="shared" si="120"/>
        <v>218.03766105054513</v>
      </c>
      <c r="G35" s="3450"/>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2586</v>
      </c>
      <c r="B36" s="2631">
        <f>B35/(1+N35)</f>
        <v>275.24529281292263</v>
      </c>
      <c r="C36" s="2631">
        <f>C35/(1+O35)</f>
        <v>231.74747938962707</v>
      </c>
      <c r="D36" s="2631">
        <f t="shared" si="109"/>
        <v>231.74747938962707</v>
      </c>
      <c r="E36" s="2631">
        <f t="shared" si="120"/>
        <v>375.35938184826603</v>
      </c>
      <c r="F36" s="2631">
        <f t="shared" si="120"/>
        <v>216.78033510692495</v>
      </c>
      <c r="G36" s="3450"/>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 thickBot="1">
      <c r="A37" s="2618" t="s">
        <v>2587</v>
      </c>
      <c r="B37" s="2631">
        <f>B36/(1+N36)</f>
        <v>275.19025476197027</v>
      </c>
      <c r="C37" s="2663">
        <v>232</v>
      </c>
      <c r="D37" s="2663">
        <f t="shared" si="109"/>
        <v>232</v>
      </c>
      <c r="E37" s="2631">
        <f t="shared" si="120"/>
        <v>375.65990977608692</v>
      </c>
      <c r="F37" s="2631">
        <f t="shared" si="120"/>
        <v>214.12518283971252</v>
      </c>
      <c r="G37" s="3453"/>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2588</v>
      </c>
      <c r="B38" s="2623">
        <v>275</v>
      </c>
      <c r="C38" s="2623">
        <v>232</v>
      </c>
      <c r="D38" s="2623">
        <f t="shared" si="109"/>
        <v>232</v>
      </c>
      <c r="E38" s="2623">
        <v>376</v>
      </c>
      <c r="F38" s="2624">
        <v>213</v>
      </c>
      <c r="G38" s="3452">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2589</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50">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2590</v>
      </c>
      <c r="B40" s="2631">
        <f t="shared" si="121"/>
        <v>275.19335084830601</v>
      </c>
      <c r="C40" s="2631">
        <f t="shared" si="121"/>
        <v>230.18088050139744</v>
      </c>
      <c r="D40" s="2631">
        <f t="shared" si="109"/>
        <v>230.18088050139744</v>
      </c>
      <c r="E40" s="2631">
        <f t="shared" si="122"/>
        <v>377.58482925212331</v>
      </c>
      <c r="F40" s="2631">
        <f t="shared" si="122"/>
        <v>210.90687997847917</v>
      </c>
      <c r="G40" s="3450">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 thickBot="1">
      <c r="A41" s="2618" t="s">
        <v>2591</v>
      </c>
      <c r="B41" s="2631">
        <f t="shared" si="121"/>
        <v>276.29854502841971</v>
      </c>
      <c r="C41" s="2631">
        <f t="shared" si="121"/>
        <v>229.79023709833027</v>
      </c>
      <c r="D41" s="2631">
        <f t="shared" si="109"/>
        <v>229.79023709833027</v>
      </c>
      <c r="E41" s="2631">
        <f t="shared" si="122"/>
        <v>379.78759731655936</v>
      </c>
      <c r="F41" s="2631">
        <f t="shared" si="122"/>
        <v>211.32953905659235</v>
      </c>
      <c r="G41" s="3453">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2592</v>
      </c>
      <c r="B42" s="2623">
        <v>269</v>
      </c>
      <c r="C42" s="2623">
        <v>221</v>
      </c>
      <c r="D42" s="2623">
        <f t="shared" si="109"/>
        <v>221</v>
      </c>
      <c r="E42" s="2623">
        <v>373</v>
      </c>
      <c r="F42" s="2624">
        <v>196</v>
      </c>
      <c r="G42" s="3452">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2593</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50">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2594</v>
      </c>
      <c r="B44" s="2631">
        <f t="shared" si="123"/>
        <v>242.95398227588385</v>
      </c>
      <c r="C44" s="2631">
        <f t="shared" si="123"/>
        <v>199.59137053614126</v>
      </c>
      <c r="D44" s="2631">
        <f t="shared" si="109"/>
        <v>199.59137053614126</v>
      </c>
      <c r="E44" s="2631">
        <f t="shared" si="124"/>
        <v>335.92189522342125</v>
      </c>
      <c r="F44" s="2631">
        <f t="shared" si="124"/>
        <v>183.10139991109489</v>
      </c>
      <c r="G44" s="3450">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 thickBot="1">
      <c r="A45" s="2618" t="s">
        <v>2595</v>
      </c>
      <c r="B45" s="2631">
        <f t="shared" si="123"/>
        <v>232.06990378821649</v>
      </c>
      <c r="C45" s="2631">
        <f t="shared" si="123"/>
        <v>192.74878854286936</v>
      </c>
      <c r="D45" s="2631">
        <f t="shared" si="109"/>
        <v>192.74878854286936</v>
      </c>
      <c r="E45" s="2631">
        <f t="shared" si="124"/>
        <v>319.71247284992984</v>
      </c>
      <c r="F45" s="2631">
        <f t="shared" si="124"/>
        <v>175.67053622862409</v>
      </c>
      <c r="G45" s="3453">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2596</v>
      </c>
      <c r="B46" s="2623">
        <v>220</v>
      </c>
      <c r="C46" s="2623">
        <v>187</v>
      </c>
      <c r="D46" s="2623">
        <f t="shared" si="109"/>
        <v>187</v>
      </c>
      <c r="E46" s="2623">
        <v>301</v>
      </c>
      <c r="F46" s="2624">
        <v>168</v>
      </c>
      <c r="G46" s="3452">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2597</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50">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2598</v>
      </c>
      <c r="B48" s="2631">
        <f t="shared" si="125"/>
        <v>210.630522469011</v>
      </c>
      <c r="C48" s="2631">
        <f t="shared" si="125"/>
        <v>181.69567812247232</v>
      </c>
      <c r="D48" s="2631">
        <f t="shared" si="109"/>
        <v>181.69567812247232</v>
      </c>
      <c r="E48" s="2631">
        <f t="shared" si="126"/>
        <v>286.13517466736738</v>
      </c>
      <c r="F48" s="2631">
        <f t="shared" si="126"/>
        <v>165.47535084591149</v>
      </c>
      <c r="G48" s="3450">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2599</v>
      </c>
      <c r="B49" s="2631">
        <f t="shared" si="125"/>
        <v>208.83454537875372</v>
      </c>
      <c r="C49" s="2631">
        <f t="shared" si="125"/>
        <v>183.77230517090351</v>
      </c>
      <c r="D49" s="2631">
        <f t="shared" si="109"/>
        <v>183.77230517090351</v>
      </c>
      <c r="E49" s="2631">
        <f t="shared" si="126"/>
        <v>281.10342338870947</v>
      </c>
      <c r="F49" s="2631">
        <f t="shared" si="126"/>
        <v>168.97309388942256</v>
      </c>
      <c r="G49" s="3453">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2600</v>
      </c>
      <c r="B50" s="2661">
        <v>214</v>
      </c>
      <c r="C50" s="2661">
        <v>188</v>
      </c>
      <c r="D50" s="2661">
        <f t="shared" si="109"/>
        <v>188</v>
      </c>
      <c r="E50" s="2661">
        <v>289</v>
      </c>
      <c r="F50" s="2662">
        <v>166</v>
      </c>
      <c r="G50" s="3452">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2601</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50">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2602</v>
      </c>
      <c r="B52" s="2631">
        <f t="shared" si="127"/>
        <v>206.31694671589116</v>
      </c>
      <c r="C52" s="2631">
        <f t="shared" si="127"/>
        <v>183.61041121036101</v>
      </c>
      <c r="D52" s="2631">
        <f t="shared" si="109"/>
        <v>183.61041121036101</v>
      </c>
      <c r="E52" s="2631">
        <f t="shared" si="128"/>
        <v>276.66850301795557</v>
      </c>
      <c r="F52" s="2631">
        <f t="shared" si="128"/>
        <v>165.1360938278614</v>
      </c>
      <c r="G52" s="3450">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 thickBot="1">
      <c r="A53" s="2618" t="s">
        <v>2603</v>
      </c>
      <c r="B53" s="2664">
        <f t="shared" si="127"/>
        <v>196.62341248059772</v>
      </c>
      <c r="C53" s="2664">
        <f t="shared" si="127"/>
        <v>170.99125648199012</v>
      </c>
      <c r="D53" s="2664">
        <f t="shared" si="109"/>
        <v>170.99125648199012</v>
      </c>
      <c r="E53" s="2664">
        <f t="shared" si="128"/>
        <v>266.07857570490052</v>
      </c>
      <c r="F53" s="2664">
        <f t="shared" si="128"/>
        <v>154.53499328828505</v>
      </c>
      <c r="G53" s="3453">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2604</v>
      </c>
      <c r="B54" s="2623">
        <v>188</v>
      </c>
      <c r="C54" s="2623">
        <v>165</v>
      </c>
      <c r="D54" s="2623">
        <f t="shared" si="109"/>
        <v>165</v>
      </c>
      <c r="E54" s="2623">
        <v>254</v>
      </c>
      <c r="F54" s="2624">
        <v>148</v>
      </c>
      <c r="G54" s="3452">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2605</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50">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2606</v>
      </c>
      <c r="B56" s="2631">
        <f t="shared" si="131"/>
        <v>168.82017748715555</v>
      </c>
      <c r="C56" s="2631">
        <f t="shared" si="131"/>
        <v>148.06267029972753</v>
      </c>
      <c r="D56" s="2631">
        <f t="shared" si="109"/>
        <v>148.06267029972753</v>
      </c>
      <c r="E56" s="2631">
        <f t="shared" si="132"/>
        <v>216.46288379323747</v>
      </c>
      <c r="F56" s="2631">
        <f t="shared" si="132"/>
        <v>134.23529411764704</v>
      </c>
      <c r="G56" s="3450">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2607</v>
      </c>
      <c r="B57" s="2631">
        <f t="shared" si="131"/>
        <v>163.84913591779542</v>
      </c>
      <c r="C57" s="2631">
        <f t="shared" si="131"/>
        <v>145.0283378746594</v>
      </c>
      <c r="D57" s="2631">
        <f t="shared" si="109"/>
        <v>145.0283378746594</v>
      </c>
      <c r="E57" s="2631">
        <f t="shared" si="132"/>
        <v>204.95180722891567</v>
      </c>
      <c r="F57" s="2631">
        <f t="shared" si="132"/>
        <v>125.95920303605313</v>
      </c>
      <c r="G57" s="3453">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2608</v>
      </c>
      <c r="B58" s="2645">
        <v>159</v>
      </c>
      <c r="C58" s="2645">
        <v>141</v>
      </c>
      <c r="D58" s="2645">
        <f t="shared" si="109"/>
        <v>141</v>
      </c>
      <c r="E58" s="2645">
        <v>195</v>
      </c>
      <c r="F58" s="2646">
        <v>122</v>
      </c>
      <c r="G58" s="3452">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2609</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50">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2610</v>
      </c>
      <c r="B60" s="2631">
        <f t="shared" si="135"/>
        <v>146.57412060301507</v>
      </c>
      <c r="C60" s="2631">
        <f t="shared" si="135"/>
        <v>136.46831955922866</v>
      </c>
      <c r="D60" s="2631">
        <f t="shared" si="109"/>
        <v>136.46831955922866</v>
      </c>
      <c r="E60" s="2631">
        <f t="shared" si="136"/>
        <v>166.73864894795128</v>
      </c>
      <c r="F60" s="2631">
        <f t="shared" si="136"/>
        <v>115.05882352941177</v>
      </c>
      <c r="G60" s="3450">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2611</v>
      </c>
      <c r="B61" s="2631">
        <f t="shared" si="135"/>
        <v>144.04145728643215</v>
      </c>
      <c r="C61" s="2631">
        <f t="shared" si="135"/>
        <v>136.12396694214877</v>
      </c>
      <c r="D61" s="2631">
        <f t="shared" si="109"/>
        <v>136.12396694214877</v>
      </c>
      <c r="E61" s="2631">
        <f t="shared" si="136"/>
        <v>158.32225913621264</v>
      </c>
      <c r="F61" s="2631">
        <f t="shared" si="136"/>
        <v>114.04278074866311</v>
      </c>
      <c r="G61" s="3453">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2612</v>
      </c>
      <c r="B62" s="2645">
        <v>138</v>
      </c>
      <c r="C62" s="2645">
        <v>131</v>
      </c>
      <c r="D62" s="2645">
        <f t="shared" si="109"/>
        <v>131</v>
      </c>
      <c r="E62" s="2645">
        <v>155</v>
      </c>
      <c r="F62" s="2646">
        <v>114</v>
      </c>
      <c r="G62" s="3452">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2613</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50">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2614</v>
      </c>
      <c r="B64" s="2631">
        <f t="shared" si="139"/>
        <v>124.29032258064517</v>
      </c>
      <c r="C64" s="2631">
        <f t="shared" si="139"/>
        <v>123.8968609865471</v>
      </c>
      <c r="D64" s="2631">
        <f t="shared" si="109"/>
        <v>123.8968609865471</v>
      </c>
      <c r="E64" s="2631">
        <f t="shared" si="140"/>
        <v>138.00507614213197</v>
      </c>
      <c r="F64" s="2631">
        <f t="shared" si="140"/>
        <v>107.96106557377048</v>
      </c>
      <c r="G64" s="3450">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2615</v>
      </c>
      <c r="B65" s="2631">
        <f t="shared" si="139"/>
        <v>122.57204301075269</v>
      </c>
      <c r="C65" s="2631">
        <f t="shared" si="139"/>
        <v>123.4932735426009</v>
      </c>
      <c r="D65" s="2631">
        <f t="shared" si="109"/>
        <v>123.4932735426009</v>
      </c>
      <c r="E65" s="2631">
        <f t="shared" si="140"/>
        <v>129.82233502538071</v>
      </c>
      <c r="F65" s="2631">
        <f t="shared" si="140"/>
        <v>107.39446721311475</v>
      </c>
      <c r="G65" s="3453">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2616</v>
      </c>
      <c r="B66" s="2661">
        <v>121</v>
      </c>
      <c r="C66" s="2661">
        <v>122</v>
      </c>
      <c r="D66" s="2661">
        <f t="shared" si="109"/>
        <v>122</v>
      </c>
      <c r="E66" s="2661">
        <v>124</v>
      </c>
      <c r="F66" s="2662">
        <v>107</v>
      </c>
      <c r="G66" s="3452">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2617</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50">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2618</v>
      </c>
      <c r="B68" s="2631">
        <f t="shared" si="143"/>
        <v>116.99099099099099</v>
      </c>
      <c r="C68" s="2631">
        <f t="shared" si="143"/>
        <v>118.84848484848486</v>
      </c>
      <c r="D68" s="2631">
        <f t="shared" si="109"/>
        <v>118.84848484848486</v>
      </c>
      <c r="E68" s="2631">
        <f t="shared" si="144"/>
        <v>117.60960960960961</v>
      </c>
      <c r="F68" s="2631">
        <f t="shared" si="144"/>
        <v>104</v>
      </c>
      <c r="G68" s="3450">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 thickBot="1">
      <c r="A69" s="2618" t="s">
        <v>2619</v>
      </c>
      <c r="B69" s="2664">
        <f t="shared" si="143"/>
        <v>112.48648648648648</v>
      </c>
      <c r="C69" s="2664">
        <f t="shared" si="143"/>
        <v>115.21212121212122</v>
      </c>
      <c r="D69" s="2664">
        <f t="shared" si="109"/>
        <v>115.21212121212122</v>
      </c>
      <c r="E69" s="2664">
        <f t="shared" si="144"/>
        <v>110.4024024024024</v>
      </c>
      <c r="F69" s="2664">
        <f t="shared" si="144"/>
        <v>104</v>
      </c>
      <c r="G69" s="3453">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2620</v>
      </c>
      <c r="B70" s="2682">
        <v>111</v>
      </c>
      <c r="C70" s="2682">
        <v>114</v>
      </c>
      <c r="D70" s="2682">
        <f t="shared" si="109"/>
        <v>114</v>
      </c>
      <c r="E70" s="2682">
        <v>108</v>
      </c>
      <c r="F70" s="2683">
        <v>104</v>
      </c>
      <c r="G70" s="3452">
        <v>2003</v>
      </c>
      <c r="H70" s="2672">
        <v>4</v>
      </c>
      <c r="I70" s="2684"/>
      <c r="J70" s="2684"/>
      <c r="K70" s="2684"/>
      <c r="L70" s="2684"/>
      <c r="N70" s="2685"/>
      <c r="O70" s="2684"/>
      <c r="P70" s="2684"/>
      <c r="Q70" s="2684"/>
      <c r="S70" s="2685"/>
      <c r="T70" s="2684"/>
      <c r="U70" s="2684"/>
      <c r="V70" s="2684"/>
      <c r="X70" s="2676"/>
      <c r="Y70" s="2676"/>
      <c r="Z70" s="2676"/>
    </row>
    <row r="71" spans="1:26">
      <c r="A71" s="2618" t="s">
        <v>2621</v>
      </c>
      <c r="B71" s="2686">
        <f t="shared" ref="B71:C73" si="145">B72+(B$70-B$74)/4</f>
        <v>109.75</v>
      </c>
      <c r="C71" s="2686">
        <f t="shared" si="145"/>
        <v>112.25</v>
      </c>
      <c r="D71" s="2686">
        <f t="shared" si="109"/>
        <v>112.25</v>
      </c>
      <c r="E71" s="2686">
        <f t="shared" ref="E71:F73" si="146">E72+(E$70-E$74)/4</f>
        <v>107.25</v>
      </c>
      <c r="F71" s="2686">
        <f t="shared" si="146"/>
        <v>103.5</v>
      </c>
      <c r="G71" s="3450">
        <v>2003</v>
      </c>
      <c r="H71" s="2642">
        <v>3</v>
      </c>
      <c r="I71" s="2684"/>
      <c r="J71" s="2684"/>
      <c r="K71" s="2684"/>
      <c r="L71" s="2684"/>
      <c r="X71" s="2676"/>
      <c r="Y71" s="2676"/>
      <c r="Z71" s="2676"/>
    </row>
    <row r="72" spans="1:26">
      <c r="A72" s="2618" t="s">
        <v>2622</v>
      </c>
      <c r="B72" s="2686">
        <f t="shared" si="145"/>
        <v>108.5</v>
      </c>
      <c r="C72" s="2686">
        <f t="shared" si="145"/>
        <v>110.5</v>
      </c>
      <c r="D72" s="2686">
        <f t="shared" si="109"/>
        <v>110.5</v>
      </c>
      <c r="E72" s="2686">
        <f t="shared" si="146"/>
        <v>106.5</v>
      </c>
      <c r="F72" s="2686">
        <f t="shared" si="146"/>
        <v>103</v>
      </c>
      <c r="G72" s="3450">
        <v>2003</v>
      </c>
      <c r="H72" s="2622">
        <v>2</v>
      </c>
      <c r="I72" s="2684"/>
      <c r="J72" s="2684"/>
      <c r="K72" s="2684"/>
      <c r="L72" s="2684"/>
      <c r="X72" s="2676"/>
      <c r="Y72" s="2676"/>
      <c r="Z72" s="2676"/>
    </row>
    <row r="73" spans="1:26" ht="13" thickBot="1">
      <c r="A73" s="2618" t="s">
        <v>2623</v>
      </c>
      <c r="B73" s="2686">
        <f t="shared" si="145"/>
        <v>107.25</v>
      </c>
      <c r="C73" s="2686">
        <f t="shared" si="145"/>
        <v>108.75</v>
      </c>
      <c r="D73" s="2686">
        <f t="shared" si="109"/>
        <v>108.75</v>
      </c>
      <c r="E73" s="2686">
        <f t="shared" si="146"/>
        <v>105.75</v>
      </c>
      <c r="F73" s="2686">
        <f t="shared" si="146"/>
        <v>102.5</v>
      </c>
      <c r="G73" s="3453">
        <v>2003</v>
      </c>
      <c r="H73" s="2687">
        <v>1</v>
      </c>
      <c r="I73" s="2684"/>
      <c r="J73" s="2684"/>
      <c r="K73" s="2684"/>
      <c r="L73" s="2684"/>
      <c r="S73" s="2626"/>
      <c r="T73" s="2627"/>
      <c r="U73" s="2627"/>
      <c r="X73" s="2676"/>
      <c r="Y73" s="2676"/>
      <c r="Z73" s="2676"/>
    </row>
    <row r="74" spans="1:26" ht="13.5" thickBot="1">
      <c r="A74" s="2618" t="s">
        <v>2624</v>
      </c>
      <c r="B74" s="2688">
        <v>106</v>
      </c>
      <c r="C74" s="2688">
        <v>107</v>
      </c>
      <c r="D74" s="2688">
        <f t="shared" si="109"/>
        <v>107</v>
      </c>
      <c r="E74" s="2688">
        <v>105</v>
      </c>
      <c r="F74" s="2689">
        <v>102</v>
      </c>
      <c r="G74" s="3452">
        <v>2002</v>
      </c>
      <c r="H74" s="2637">
        <v>4</v>
      </c>
      <c r="I74" s="2684"/>
      <c r="J74" s="2684"/>
      <c r="K74" s="2684"/>
      <c r="L74" s="2684"/>
      <c r="N74" s="2685"/>
      <c r="O74" s="2684"/>
      <c r="P74" s="2684"/>
      <c r="Q74" s="2684"/>
      <c r="S74" s="2685"/>
      <c r="T74" s="2684"/>
      <c r="U74" s="2684"/>
      <c r="V74" s="2684"/>
      <c r="X74" s="2676"/>
      <c r="Y74" s="2676"/>
      <c r="Z74" s="2676"/>
    </row>
    <row r="75" spans="1:26">
      <c r="A75" s="2618" t="s">
        <v>2625</v>
      </c>
      <c r="B75" s="2686">
        <f t="shared" ref="B75:C77" si="147">B76+(B$74-B$78)/4</f>
        <v>105</v>
      </c>
      <c r="C75" s="2686">
        <f t="shared" si="147"/>
        <v>106</v>
      </c>
      <c r="D75" s="2686">
        <f t="shared" si="109"/>
        <v>106</v>
      </c>
      <c r="E75" s="2686">
        <f t="shared" ref="E75:F77" si="148">E76+(E$74-E$78)/4</f>
        <v>104.5</v>
      </c>
      <c r="F75" s="2686">
        <f t="shared" si="148"/>
        <v>101.5</v>
      </c>
      <c r="G75" s="3450">
        <v>2002</v>
      </c>
      <c r="H75" s="2642">
        <v>3</v>
      </c>
      <c r="I75" s="2684"/>
      <c r="J75" s="2684"/>
      <c r="K75" s="2684"/>
      <c r="L75" s="2684"/>
      <c r="X75" s="2676"/>
      <c r="Y75" s="2676"/>
      <c r="Z75" s="2676"/>
    </row>
    <row r="76" spans="1:26">
      <c r="A76" s="2618" t="s">
        <v>2626</v>
      </c>
      <c r="B76" s="2686">
        <f t="shared" si="147"/>
        <v>104</v>
      </c>
      <c r="C76" s="2686">
        <f t="shared" si="147"/>
        <v>105</v>
      </c>
      <c r="D76" s="2686">
        <f t="shared" si="109"/>
        <v>105</v>
      </c>
      <c r="E76" s="2686">
        <f t="shared" si="148"/>
        <v>104</v>
      </c>
      <c r="F76" s="2686">
        <f t="shared" si="148"/>
        <v>101</v>
      </c>
      <c r="G76" s="3450">
        <v>2002</v>
      </c>
      <c r="H76" s="2622">
        <v>2</v>
      </c>
      <c r="I76" s="2684"/>
      <c r="J76" s="2684"/>
      <c r="K76" s="2684"/>
      <c r="L76" s="2684"/>
      <c r="X76" s="2676"/>
      <c r="Y76" s="2676"/>
      <c r="Z76" s="2676"/>
    </row>
    <row r="77" spans="1:26" s="2653" customFormat="1" ht="13" thickBot="1">
      <c r="A77" s="2649" t="s">
        <v>2627</v>
      </c>
      <c r="B77" s="2690">
        <f t="shared" si="147"/>
        <v>103</v>
      </c>
      <c r="C77" s="2690">
        <f t="shared" si="147"/>
        <v>104</v>
      </c>
      <c r="D77" s="2690">
        <f t="shared" si="109"/>
        <v>104</v>
      </c>
      <c r="E77" s="2690">
        <f t="shared" si="148"/>
        <v>103.5</v>
      </c>
      <c r="F77" s="2690">
        <f t="shared" si="148"/>
        <v>100.5</v>
      </c>
      <c r="G77" s="3453">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ht="13">
      <c r="A80" s="2698" t="s">
        <v>2628</v>
      </c>
      <c r="G80" s="2700"/>
      <c r="N80" s="2700"/>
      <c r="S80" s="2700"/>
    </row>
    <row r="81" spans="1:22" s="2699" customFormat="1" ht="13">
      <c r="A81" s="2699" t="s">
        <v>2629</v>
      </c>
      <c r="G81" s="2700"/>
      <c r="N81" s="2700"/>
      <c r="S81" s="2700"/>
    </row>
    <row r="82" spans="1:22" s="2699" customFormat="1" ht="13">
      <c r="A82" s="2699" t="s">
        <v>2630</v>
      </c>
      <c r="G82" s="2700"/>
      <c r="I82" s="2701"/>
      <c r="J82" s="2701"/>
      <c r="K82" s="2701"/>
      <c r="L82" s="2701"/>
      <c r="N82" s="2702"/>
      <c r="O82" s="2701"/>
      <c r="P82" s="2701"/>
      <c r="Q82" s="2701"/>
      <c r="S82" s="2702"/>
      <c r="T82" s="2701"/>
      <c r="U82" s="2701"/>
      <c r="V82" s="2701"/>
    </row>
    <row r="83" spans="1:22" s="2699" customFormat="1" ht="13">
      <c r="A83" s="2699" t="s">
        <v>2631</v>
      </c>
      <c r="G83" s="2700"/>
      <c r="N83" s="2700"/>
      <c r="S83" s="2700"/>
    </row>
    <row r="90" spans="1:22" ht="13" thickBot="1"/>
    <row r="91" spans="1:22" ht="13">
      <c r="G91" s="2625"/>
      <c r="S91" s="2703" t="s">
        <v>2632</v>
      </c>
      <c r="T91" s="2704" t="s">
        <v>2633</v>
      </c>
      <c r="U91" s="2704" t="s">
        <v>2634</v>
      </c>
      <c r="V91" s="2704" t="s">
        <v>2635</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762" customWidth="1"/>
    <col min="2" max="2" width="9" style="1762"/>
    <col min="3" max="4" width="9.6328125" style="1762" customWidth="1"/>
    <col min="5" max="16384" width="9" style="1762"/>
  </cols>
  <sheetData>
    <row r="1" spans="1:4" ht="23">
      <c r="A1" s="1761" t="s">
        <v>1904</v>
      </c>
    </row>
    <row r="2" spans="1:4">
      <c r="A2" s="1763"/>
    </row>
    <row r="3" spans="1:4" ht="17.5">
      <c r="A3" s="1781" t="str">
        <f>项目基本情况!B5&amp;"："</f>
        <v>：</v>
      </c>
    </row>
    <row r="4" spans="1:4" ht="35">
      <c r="A4" s="1775" t="str">
        <f>"受贵公司委托，我公司对"&amp;项目基本情况!K2&amp;项目基本情况!B9&amp;"进行了预评估。"</f>
        <v>受贵公司委托，我公司对出让国有建设用地使用权抵押价格进行了预评估。</v>
      </c>
    </row>
    <row r="5" spans="1:4" ht="17.5">
      <c r="A5" s="1778" t="s">
        <v>1905</v>
      </c>
    </row>
    <row r="6" spans="1:4" ht="70">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97560.5平方米。根据《建设工程规划许可证》[]、《出让合同》[]，估价对象规划建筑面积为189603.42平方米。</v>
      </c>
    </row>
    <row r="7" spans="1:4" ht="52.5">
      <c r="A7" s="1779" t="s">
        <v>2744</v>
      </c>
    </row>
    <row r="8" spans="1:4" ht="17.5">
      <c r="A8" s="1778" t="s">
        <v>1906</v>
      </c>
    </row>
    <row r="9" spans="1:4" ht="70">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1781" t="s">
        <v>2024</v>
      </c>
    </row>
    <row r="11" spans="1:4" ht="17.5">
      <c r="A11" s="1764" t="str">
        <f>TEXT(项目基本情况!D3,"yyyy年m月d日;;")&amp;IF(项目基本情况!B3=项目基本情况!D3,"（评估专业人员勘察现场之日）","")</f>
        <v>2020年2月12日</v>
      </c>
    </row>
    <row r="12" spans="1:4" ht="17.5">
      <c r="A12" s="1781" t="s">
        <v>2023</v>
      </c>
    </row>
    <row r="13" spans="1:4" ht="17.5">
      <c r="A13" s="1775" t="s">
        <v>2939</v>
      </c>
    </row>
    <row r="14" spans="1:4" ht="17.5">
      <c r="A14" s="1775" t="str">
        <f>"根据"&amp;项目基本情况!F12&amp;"，本次评估估价对象证载（地类）用途为"&amp;项目基本情况!B12&amp;"。"</f>
        <v>根据《国有土地使用证》[]，本次评估估价对象证载（地类）用途为。</v>
      </c>
      <c r="C14" s="1765"/>
      <c r="D14" s="1766"/>
    </row>
    <row r="15" spans="1:4" ht="1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5">
      <c r="A16" s="1775" t="s">
        <v>2070</v>
      </c>
    </row>
    <row r="17" spans="1:1" ht="5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775" t="s">
        <v>2071</v>
      </c>
    </row>
    <row r="20" spans="1:1" ht="5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根据《国有土地使用证》[]，估价对象（分摊）出让国有建设用地使用权面积为97560.5平方米。根据《建设工程规划许可证》[]、《出让合同》[]，估价对象规划建筑面积为189603.42平方米。</v>
      </c>
    </row>
    <row r="21" spans="1:1" ht="17.5">
      <c r="A21" s="1775" t="s">
        <v>2072</v>
      </c>
    </row>
    <row r="22" spans="1:1" ht="10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3月13日、办公2061年3月13日、地下车库2061年3月13日、仓储2061年3月13日。截至估价期日，出让国有建设用地使用权剩余土地使用年限为。</v>
      </c>
    </row>
    <row r="23" spans="1:1" ht="17.5">
      <c r="A23" s="1775" t="str">
        <f>IF(项目基本情况!B16="出让","本次评估设定估价对象剩余土地使用年限为"&amp;项目基本情况!D20&amp;"。","")</f>
        <v>本次评估设定估价对象剩余土地使用年限为。</v>
      </c>
    </row>
    <row r="24" spans="1:1" ht="17.5">
      <c r="A24" s="1775" t="s">
        <v>2073</v>
      </c>
    </row>
    <row r="25" spans="1:1" ht="87.5">
      <c r="A25" s="1775" t="str">
        <f>定义!C53</f>
        <v>本次估价的“出让国有建设用地使用权价格”是指在估价对象土地所有权为国家所有，使用权性质为出让，在公开市场条件下、于估价期日2020年2月12日，在规划利用条件下、设定土地开发程度为红线外“七通”、宗地内场地平整，设定用途为，剩余土地使用年限为的出让国有建设用地使用权价格。</v>
      </c>
    </row>
    <row r="26" spans="1:1" ht="3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5" t="str">
        <f>IF(项目基本情况!B9="市场价格","——",IF(项目基本情况!E9="——","",定义!C57))</f>
        <v/>
      </c>
    </row>
    <row r="29" spans="1:1" ht="17.5">
      <c r="A29" s="1781" t="s">
        <v>2025</v>
      </c>
    </row>
    <row r="30" spans="1:1" ht="70">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4"/>
  <sheetViews>
    <sheetView workbookViewId="0">
      <selection activeCell="L7" sqref="L7"/>
    </sheetView>
  </sheetViews>
  <sheetFormatPr defaultRowHeight="14"/>
  <cols>
    <col min="1" max="1" width="23.36328125" customWidth="1"/>
    <col min="2" max="2" width="12.453125" customWidth="1"/>
    <col min="3" max="3" width="12.08984375" customWidth="1"/>
    <col min="4" max="4" width="14.08984375" customWidth="1"/>
    <col min="5" max="5" width="12.453125" customWidth="1"/>
    <col min="6" max="6" width="12.81640625" customWidth="1"/>
  </cols>
  <sheetData>
    <row r="1" spans="1:6" ht="21">
      <c r="A1" s="3054" t="s">
        <v>2946</v>
      </c>
      <c r="B1" s="3056"/>
      <c r="C1" s="3056"/>
      <c r="D1" s="3056"/>
      <c r="E1" s="3056"/>
      <c r="F1" s="3056"/>
    </row>
    <row r="2" spans="1:6" ht="15">
      <c r="A2" s="3057" t="s">
        <v>2941</v>
      </c>
      <c r="B2" s="3058">
        <f ca="1">SUMIF(B7:B14,"&lt;&gt;#ref!",B7:B14)</f>
        <v>211247</v>
      </c>
      <c r="C2" s="3057" t="s">
        <v>2942</v>
      </c>
      <c r="D2" s="3056"/>
      <c r="E2" s="3056"/>
      <c r="F2" s="3056"/>
    </row>
    <row r="3" spans="1:6" ht="15">
      <c r="A3" s="3057" t="s">
        <v>2974</v>
      </c>
      <c r="B3" s="3058">
        <f ca="1">ROUND(B2*10000/E3,0)</f>
        <v>11466</v>
      </c>
      <c r="C3" s="3057" t="s">
        <v>2076</v>
      </c>
      <c r="D3" s="3057" t="s">
        <v>2943</v>
      </c>
      <c r="E3" s="3058">
        <f ca="1">SUMIF(E7:E14,"&lt;&gt;#ref!",E7:E14)</f>
        <v>184238.06</v>
      </c>
      <c r="F3" s="3056"/>
    </row>
    <row r="4" spans="1:6" ht="15">
      <c r="A4" s="3057" t="s">
        <v>2950</v>
      </c>
      <c r="B4" s="3058">
        <f ca="1">ROUND(B2*10000/E4,0)</f>
        <v>21653</v>
      </c>
      <c r="C4" s="3057" t="s">
        <v>2076</v>
      </c>
      <c r="D4" s="3057" t="s">
        <v>2951</v>
      </c>
      <c r="E4" s="3058">
        <f ca="1">SUMIF(F7:F14,"&lt;&gt;#ref!",F7:F14)</f>
        <v>97560.5</v>
      </c>
      <c r="F4" s="3056"/>
    </row>
    <row r="5" spans="1:6" ht="15">
      <c r="A5" s="3059"/>
      <c r="B5" s="1865"/>
      <c r="C5" s="1865"/>
      <c r="D5" s="1865"/>
      <c r="E5" s="1865"/>
      <c r="F5" s="3056"/>
    </row>
    <row r="6" spans="1:6" ht="30">
      <c r="A6" s="3060" t="s">
        <v>2947</v>
      </c>
      <c r="B6" s="3057" t="s">
        <v>2944</v>
      </c>
      <c r="C6" s="3058"/>
      <c r="D6" s="1865"/>
      <c r="E6" s="3057" t="s">
        <v>2945</v>
      </c>
      <c r="F6" s="3057" t="s">
        <v>2949</v>
      </c>
    </row>
    <row r="7" spans="1:6" ht="15">
      <c r="A7" s="259" t="s">
        <v>2948</v>
      </c>
      <c r="B7" s="3061">
        <f ca="1">SUMIF(INDIRECT("'"&amp;A7&amp;"'"&amp;"!A:A"),"总价",INDIRECT("'"&amp;A7&amp;"'"&amp;"!B:B"))</f>
        <v>211247</v>
      </c>
      <c r="C7" s="3057" t="s">
        <v>2942</v>
      </c>
      <c r="D7" s="1865"/>
      <c r="E7" s="3062">
        <f ca="1">SUMIF(INDIRECT("'"&amp;A7&amp;"'"&amp;"!C:C"),"建筑面积",INDIRECT("'"&amp;A7&amp;"'"&amp;"!D:D"))</f>
        <v>184238.06</v>
      </c>
      <c r="F7" s="3062">
        <f ca="1">SUMIF(INDIRECT("'"&amp;A7&amp;"'"&amp;"!E:E"),"土地面积",INDIRECT("'"&amp;A7&amp;"'"&amp;"!F:F"))</f>
        <v>97560.5</v>
      </c>
    </row>
    <row r="8" spans="1:6" ht="15">
      <c r="A8" s="259"/>
      <c r="B8" s="3061" t="e">
        <f t="shared" ref="B8:B14" ca="1" si="0">SUMIF(INDIRECT("'"&amp;A8&amp;"'"&amp;"!A:A"),"总价",INDIRECT("'"&amp;A8&amp;"'"&amp;"!B:B"))</f>
        <v>#REF!</v>
      </c>
      <c r="C8" s="3057" t="s">
        <v>2942</v>
      </c>
      <c r="D8" s="1865"/>
      <c r="E8" s="3062" t="e">
        <f t="shared" ref="E8:E14" ca="1" si="1">SUMIF(INDIRECT("'"&amp;A8&amp;"'"&amp;"!C:C"),"建筑面积",INDIRECT("'"&amp;A8&amp;"'"&amp;"!D:D"))</f>
        <v>#REF!</v>
      </c>
      <c r="F8" s="3062" t="e">
        <f t="shared" ref="F8:F14" ca="1" si="2">SUMIF(INDIRECT("'"&amp;A8&amp;"'"&amp;"!E:E"),"土地面积",INDIRECT("'"&amp;A8&amp;"'"&amp;"!F:F"))</f>
        <v>#REF!</v>
      </c>
    </row>
    <row r="9" spans="1:6" ht="15">
      <c r="A9" s="259"/>
      <c r="B9" s="3061" t="e">
        <f t="shared" ca="1" si="0"/>
        <v>#REF!</v>
      </c>
      <c r="C9" s="3057" t="s">
        <v>2942</v>
      </c>
      <c r="D9" s="1865"/>
      <c r="E9" s="3062" t="e">
        <f t="shared" ca="1" si="1"/>
        <v>#REF!</v>
      </c>
      <c r="F9" s="3062" t="e">
        <f t="shared" ca="1" si="2"/>
        <v>#REF!</v>
      </c>
    </row>
    <row r="10" spans="1:6" ht="15">
      <c r="A10" s="259"/>
      <c r="B10" s="3061" t="e">
        <f t="shared" ca="1" si="0"/>
        <v>#REF!</v>
      </c>
      <c r="C10" s="3057" t="s">
        <v>2942</v>
      </c>
      <c r="D10" s="1865"/>
      <c r="E10" s="3062" t="e">
        <f t="shared" ca="1" si="1"/>
        <v>#REF!</v>
      </c>
      <c r="F10" s="3062" t="e">
        <f t="shared" ca="1" si="2"/>
        <v>#REF!</v>
      </c>
    </row>
    <row r="11" spans="1:6" ht="15">
      <c r="A11" s="259"/>
      <c r="B11" s="3061" t="e">
        <f t="shared" ca="1" si="0"/>
        <v>#REF!</v>
      </c>
      <c r="C11" s="3057" t="s">
        <v>2942</v>
      </c>
      <c r="D11" s="1865"/>
      <c r="E11" s="3062" t="e">
        <f t="shared" ca="1" si="1"/>
        <v>#REF!</v>
      </c>
      <c r="F11" s="3062" t="e">
        <f t="shared" ca="1" si="2"/>
        <v>#REF!</v>
      </c>
    </row>
    <row r="12" spans="1:6" ht="15">
      <c r="A12" s="259"/>
      <c r="B12" s="3061" t="e">
        <f t="shared" ca="1" si="0"/>
        <v>#REF!</v>
      </c>
      <c r="C12" s="3057" t="s">
        <v>2942</v>
      </c>
      <c r="D12" s="1865"/>
      <c r="E12" s="3062" t="e">
        <f t="shared" ca="1" si="1"/>
        <v>#REF!</v>
      </c>
      <c r="F12" s="3062" t="e">
        <f t="shared" ca="1" si="2"/>
        <v>#REF!</v>
      </c>
    </row>
    <row r="13" spans="1:6" ht="15">
      <c r="A13" s="259"/>
      <c r="B13" s="3061" t="e">
        <f t="shared" ca="1" si="0"/>
        <v>#REF!</v>
      </c>
      <c r="C13" s="3057" t="s">
        <v>2942</v>
      </c>
      <c r="D13" s="1865"/>
      <c r="E13" s="3062" t="e">
        <f t="shared" ca="1" si="1"/>
        <v>#REF!</v>
      </c>
      <c r="F13" s="3062" t="e">
        <f t="shared" ca="1" si="2"/>
        <v>#REF!</v>
      </c>
    </row>
    <row r="14" spans="1:6" ht="15">
      <c r="A14" s="3055"/>
      <c r="B14" s="3061" t="e">
        <f t="shared" ca="1" si="0"/>
        <v>#REF!</v>
      </c>
      <c r="C14" s="3057" t="s">
        <v>2942</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5"/>
  <cols>
    <col min="1" max="1" width="9" style="2082" customWidth="1"/>
    <col min="2" max="2" width="20.6328125" style="2083" customWidth="1"/>
    <col min="3" max="3" width="11.90625" style="2083" customWidth="1"/>
    <col min="4" max="4" width="40.453125" style="2044" customWidth="1"/>
    <col min="5" max="5" width="15.81640625" style="2044" customWidth="1"/>
    <col min="6" max="6" width="10.6328125" style="2044" customWidth="1"/>
    <col min="7" max="7" width="4.90625" style="2044" customWidth="1"/>
    <col min="8" max="8" width="8.453125" style="2044" customWidth="1"/>
    <col min="9" max="9" width="21.1796875" style="2044" customWidth="1"/>
    <col min="10" max="10" width="12.1796875" style="2044" customWidth="1"/>
    <col min="11" max="11" width="40.08984375" style="2084" customWidth="1"/>
    <col min="12" max="12" width="18.36328125" style="2044" customWidth="1"/>
    <col min="13" max="13" width="13" style="2044" customWidth="1"/>
    <col min="14" max="14" width="9.453125" style="2043" bestFit="1" customWidth="1"/>
    <col min="15" max="15" width="8.36328125" style="2043" customWidth="1"/>
    <col min="16" max="16" width="30.1796875" style="2043" customWidth="1"/>
    <col min="17" max="17" width="13.81640625" style="2043" customWidth="1"/>
    <col min="18" max="18" width="22.1796875" style="2043" customWidth="1"/>
    <col min="19" max="19" width="1.453125" style="2043" customWidth="1"/>
    <col min="20" max="25" width="9" style="2043"/>
    <col min="26" max="16384" width="9" style="2044"/>
  </cols>
  <sheetData>
    <row r="1" spans="1:25" s="2038" customFormat="1" ht="21">
      <c r="A1" s="771" t="s">
        <v>628</v>
      </c>
      <c r="B1" s="737"/>
      <c r="C1" s="772"/>
      <c r="D1" s="2034"/>
      <c r="E1" s="2350" t="s">
        <v>2372</v>
      </c>
      <c r="F1" s="2351">
        <f ca="1">J54</f>
        <v>-3</v>
      </c>
      <c r="G1" s="773">
        <f>MATCH(C1,'数据-取费表'!A6:A16,0)+5</f>
        <v>11</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2456</v>
      </c>
      <c r="C7" s="53">
        <f ca="1">C8+C12+C14</f>
        <v>0</v>
      </c>
      <c r="D7" s="2459" t="s">
        <v>2459</v>
      </c>
      <c r="E7" s="2453"/>
      <c r="F7" s="2454"/>
      <c r="G7" s="1577"/>
      <c r="H7" s="780">
        <v>1</v>
      </c>
      <c r="I7" s="781" t="s">
        <v>2456</v>
      </c>
      <c r="J7" s="53">
        <f ca="1">J8+J12+J14</f>
        <v>0</v>
      </c>
      <c r="K7" s="2459" t="s">
        <v>2459</v>
      </c>
      <c r="L7" s="2453"/>
      <c r="M7" s="2454"/>
    </row>
    <row r="8" spans="1:25" ht="18" customHeight="1">
      <c r="A8" s="1814" t="s">
        <v>1824</v>
      </c>
      <c r="B8" s="3461" t="s">
        <v>2461</v>
      </c>
      <c r="C8" s="1809">
        <f ca="1">ROUND(F8*F10*F9*(1-F11)/10000,0)</f>
        <v>0</v>
      </c>
      <c r="D8" s="1806" t="s">
        <v>2532</v>
      </c>
      <c r="E8" s="61" t="s">
        <v>637</v>
      </c>
      <c r="F8" s="784">
        <f ca="1">INDIRECT("'数据-取费表'!u"&amp;$G$1)</f>
        <v>0</v>
      </c>
      <c r="G8" s="1577"/>
      <c r="H8" s="2467" t="s">
        <v>1824</v>
      </c>
      <c r="I8" s="3461" t="s">
        <v>2461</v>
      </c>
      <c r="J8" s="782">
        <f ca="1">ROUND(M8*M10*M9*(1-M11)/10000,0)</f>
        <v>0</v>
      </c>
      <c r="K8" s="340" t="s">
        <v>2532</v>
      </c>
      <c r="L8" s="783" t="s">
        <v>1738</v>
      </c>
      <c r="M8" s="784">
        <f ca="1">INDIRECT("'数据-取费表'!z"&amp;$G$1)</f>
        <v>0</v>
      </c>
    </row>
    <row r="9" spans="1:25" ht="18" customHeight="1">
      <c r="A9" s="2463"/>
      <c r="B9" s="3462"/>
      <c r="C9" s="1810"/>
      <c r="D9" s="1807"/>
      <c r="E9" s="61" t="s">
        <v>638</v>
      </c>
      <c r="F9" s="784">
        <f ca="1">IF(INDIRECT("'数据-取费表'!ah"&amp;$G$1)="",INDIRECT("'数据-取费表'!k"&amp;$G$1),INDIRECT("'数据-取费表'!ah"&amp;$G$1))</f>
        <v>0</v>
      </c>
      <c r="G9" s="1577"/>
      <c r="H9" s="2452"/>
      <c r="I9" s="3462"/>
      <c r="J9" s="787"/>
      <c r="K9" s="788"/>
      <c r="L9" s="783" t="s">
        <v>1739</v>
      </c>
      <c r="M9" s="784">
        <f ca="1">F9</f>
        <v>0</v>
      </c>
    </row>
    <row r="10" spans="1:25" ht="18" customHeight="1">
      <c r="A10" s="2456"/>
      <c r="B10" s="3463"/>
      <c r="C10" s="1810"/>
      <c r="D10" s="1807"/>
      <c r="E10" s="61" t="s">
        <v>639</v>
      </c>
      <c r="F10" s="784">
        <f ca="1">INDIRECT("'数据-取费表'!ai"&amp;$G$1)</f>
        <v>0</v>
      </c>
      <c r="G10" s="1577"/>
      <c r="H10" s="2452"/>
      <c r="I10" s="3463"/>
      <c r="J10" s="787"/>
      <c r="K10" s="788"/>
      <c r="L10" s="783" t="s">
        <v>1740</v>
      </c>
      <c r="M10" s="784">
        <f ca="1">INDIRECT("'数据-取费表'!ai"&amp;$G$1)</f>
        <v>0</v>
      </c>
    </row>
    <row r="11" spans="1:25" ht="18" customHeight="1">
      <c r="A11" s="785"/>
      <c r="B11" s="3464"/>
      <c r="C11" s="1810"/>
      <c r="D11" s="1807"/>
      <c r="E11" s="61" t="s">
        <v>640</v>
      </c>
      <c r="F11" s="793">
        <f ca="1">INDIRECT("'数据-取费表'!w"&amp;$G$1)</f>
        <v>0</v>
      </c>
      <c r="G11" s="1577"/>
      <c r="H11" s="2468"/>
      <c r="I11" s="3463"/>
      <c r="J11" s="787"/>
      <c r="K11" s="788"/>
      <c r="L11" s="794" t="s">
        <v>1741</v>
      </c>
      <c r="M11" s="795">
        <f ca="1">INDIRECT("'数据-取费表'!ab"&amp;$G$1)</f>
        <v>0</v>
      </c>
    </row>
    <row r="12" spans="1:25" ht="18" customHeight="1">
      <c r="A12" s="1814" t="s">
        <v>1825</v>
      </c>
      <c r="B12" s="2457" t="s">
        <v>2457</v>
      </c>
      <c r="C12" s="798">
        <f ca="1">ROUND(IF(F12="押一",C8/12*F13,IF(F12="押二",C8/12*2*F13,IF(F12="押三",C8/12*3*F13,C13*F13))),0)</f>
        <v>0</v>
      </c>
      <c r="D12" s="2464" t="s">
        <v>2971</v>
      </c>
      <c r="E12" s="2461" t="s">
        <v>2462</v>
      </c>
      <c r="F12" s="2584"/>
      <c r="G12" s="1577"/>
      <c r="H12" s="2524" t="s">
        <v>1825</v>
      </c>
      <c r="I12" s="2529" t="s">
        <v>2457</v>
      </c>
      <c r="J12" s="782">
        <f ca="1">ROUND(IF(M12="押一",J8/12*M13,IF(M12="押二",J8/12*2*M13,IF(M12="押三",J8/12*3*M13,J13*M13))),0)</f>
        <v>0</v>
      </c>
      <c r="K12" s="2464" t="s">
        <v>2971</v>
      </c>
      <c r="L12" s="2461" t="s">
        <v>2462</v>
      </c>
      <c r="M12" s="2584"/>
    </row>
    <row r="13" spans="1:25" ht="18" customHeight="1">
      <c r="A13" s="789"/>
      <c r="B13" s="2458" t="s">
        <v>2571</v>
      </c>
      <c r="C13" s="2462"/>
      <c r="D13" s="788"/>
      <c r="E13" s="2461" t="s">
        <v>2454</v>
      </c>
      <c r="F13" s="795">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2067</v>
      </c>
      <c r="I16" s="2215" t="s">
        <v>2821</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0.05</v>
      </c>
      <c r="G17" s="1578"/>
      <c r="H17" s="802" t="s">
        <v>2068</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200</v>
      </c>
      <c r="G19" s="1578"/>
      <c r="H19" s="802" t="s">
        <v>2067</v>
      </c>
      <c r="I19" s="783" t="s">
        <v>656</v>
      </c>
      <c r="J19" s="53">
        <f ca="1">ROUND(IF(项目基本情况!B11="自然人",J8*M19/(1+'数据-取费表'!C42),J20+J21+J22),0)</f>
        <v>0</v>
      </c>
      <c r="K19" s="1963" t="s">
        <v>657</v>
      </c>
      <c r="L19" s="1961" t="s">
        <v>658</v>
      </c>
      <c r="M19" s="809">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6.1600000000000002E-2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2.5000000000000001E-2</v>
      </c>
      <c r="G22" s="1578"/>
      <c r="H22" s="1816" t="s">
        <v>1850</v>
      </c>
      <c r="I22" s="1806" t="s">
        <v>668</v>
      </c>
      <c r="J22" s="54">
        <f ca="1">ROUND(M22*M23/10000,0)</f>
        <v>0</v>
      </c>
      <c r="K22" s="813" t="s">
        <v>669</v>
      </c>
      <c r="L22" s="783" t="s">
        <v>670</v>
      </c>
      <c r="M22" s="639">
        <f>'数据-取费表'!B52</f>
        <v>1.5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2.5000000000000001E-2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2068</v>
      </c>
      <c r="I24" s="783" t="s">
        <v>676</v>
      </c>
      <c r="J24" s="53">
        <f ca="1">ROUND(J16*M24,0)</f>
        <v>0</v>
      </c>
      <c r="K24" s="1961" t="s">
        <v>677</v>
      </c>
      <c r="L24" s="783" t="s">
        <v>649</v>
      </c>
      <c r="M24" s="816">
        <f ca="1">INDIRECT("'数据-取费表'!Ak"&amp;$G$1)</f>
        <v>0</v>
      </c>
    </row>
    <row r="25" spans="1:25" s="2048" customFormat="1" ht="18" customHeight="1">
      <c r="A25" s="802" t="s">
        <v>1875</v>
      </c>
      <c r="B25" s="783" t="s">
        <v>2435</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3</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1.8E-3</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2818</v>
      </c>
      <c r="J27" s="798">
        <f ca="1">J7-J18</f>
        <v>0</v>
      </c>
      <c r="K27" s="1963" t="s">
        <v>700</v>
      </c>
      <c r="L27" s="1965"/>
      <c r="M27" s="819"/>
    </row>
    <row r="28" spans="1:25" ht="18" customHeight="1">
      <c r="A28" s="802" t="s">
        <v>1875</v>
      </c>
      <c r="B28" s="783" t="s">
        <v>2436</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5.8400000000000001E-2</v>
      </c>
      <c r="D30" s="811" t="s">
        <v>709</v>
      </c>
      <c r="E30" s="783" t="s">
        <v>649</v>
      </c>
      <c r="F30" s="808">
        <f>'数据-取费表'!B41</f>
        <v>6.1600000000000002E-2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2819</v>
      </c>
      <c r="C31" s="2507">
        <f ca="1">ROUND((C21+C22+C25+C28)/(1-F23-C26-C29-C30),0)</f>
        <v>0</v>
      </c>
      <c r="D31" s="2508"/>
      <c r="E31" s="2509"/>
      <c r="F31" s="2510"/>
      <c r="G31" s="1578"/>
      <c r="H31" s="822" t="s">
        <v>1872</v>
      </c>
      <c r="I31" s="2963" t="s">
        <v>2820</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6.1600000000000002E-2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1.5</v>
      </c>
      <c r="G36" s="2046"/>
      <c r="H36" s="2049"/>
      <c r="I36" s="3460"/>
      <c r="J36" s="2063"/>
      <c r="K36" s="2064"/>
      <c r="L36" s="2063"/>
      <c r="M36" s="2063"/>
    </row>
    <row r="37" spans="1:18" ht="18" customHeight="1">
      <c r="A37" s="814"/>
      <c r="B37" s="792"/>
      <c r="C37" s="69"/>
      <c r="D37" s="815"/>
      <c r="E37" s="783" t="s">
        <v>674</v>
      </c>
      <c r="F37" s="784">
        <f ca="1">INDIRECT("'数据-取费表'!r"&amp;$G$1)</f>
        <v>0</v>
      </c>
      <c r="G37" s="2046"/>
      <c r="H37" s="2049"/>
      <c r="I37" s="3460"/>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3" t="s">
        <v>2959</v>
      </c>
      <c r="F43" s="3074">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9">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5" t="s">
        <v>2962</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7" t="str">
        <f ca="1">IF(M48="住宅",0,IF(L49&gt;J52,L61,J61))</f>
        <v>0</v>
      </c>
      <c r="O47" s="2357" t="s">
        <v>2408</v>
      </c>
      <c r="P47" s="1577"/>
      <c r="Q47" s="1588"/>
      <c r="R47" s="1577"/>
    </row>
    <row r="48" spans="1:18" s="2043" customFormat="1" ht="18" customHeight="1" thickBot="1">
      <c r="A48" s="2068"/>
      <c r="C48" s="2071"/>
      <c r="D48" s="2072"/>
      <c r="E48" s="2072"/>
      <c r="F48" s="2073"/>
      <c r="G48" s="2074"/>
      <c r="I48" s="3098" t="s">
        <v>2342</v>
      </c>
      <c r="J48" s="2344"/>
      <c r="K48" s="3104" t="s">
        <v>2347</v>
      </c>
      <c r="L48" s="3108">
        <f ca="1">INDIRECT("'数据-取费表'!d"&amp;$G$1)</f>
        <v>0</v>
      </c>
      <c r="M48" s="3072"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7" t="s">
        <v>2343</v>
      </c>
      <c r="J49" s="2345"/>
      <c r="K49" s="3105"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7" t="s">
        <v>2344</v>
      </c>
      <c r="J50" s="2346"/>
      <c r="K50" s="3106"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7" t="s">
        <v>2345</v>
      </c>
      <c r="J51" s="3102">
        <f>SUMPRODUCT((I64:I66=J48)*(J63:L63=J49)*(J64:L66))</f>
        <v>0</v>
      </c>
      <c r="K51" s="3106" t="s">
        <v>2351</v>
      </c>
      <c r="L51" s="2347"/>
      <c r="O51" s="2364" t="s">
        <v>2381</v>
      </c>
      <c r="P51" s="2362" t="s">
        <v>2405</v>
      </c>
      <c r="Q51" s="2363">
        <f ca="1">C31</f>
        <v>0</v>
      </c>
      <c r="R51" s="2362" t="s">
        <v>2378</v>
      </c>
    </row>
    <row r="52" spans="1:18" s="2043" customFormat="1" ht="18" customHeight="1" thickBot="1">
      <c r="A52" s="2080"/>
      <c r="F52" s="2069"/>
      <c r="I52" s="3099" t="s">
        <v>2346</v>
      </c>
      <c r="J52" s="3103">
        <f>IF(J50="",J51,J50+J51-YEAR('数据-取费表'!B3))</f>
        <v>0</v>
      </c>
      <c r="K52" s="3077" t="s">
        <v>2352</v>
      </c>
      <c r="L52" s="3109">
        <f ca="1">ROUND(-PV(INDIRECT("'数据-取费表'!h"&amp;$G$1),L49,(C40-C14*J36),0),0)</f>
        <v>0</v>
      </c>
      <c r="O52" s="2364" t="s">
        <v>2382</v>
      </c>
      <c r="P52" s="2362" t="s">
        <v>2383</v>
      </c>
      <c r="Q52" s="2365" t="e">
        <f ca="1">J59</f>
        <v>#VALUE!</v>
      </c>
      <c r="R52" s="2366"/>
    </row>
    <row r="53" spans="1:18" s="2043" customFormat="1" ht="18" customHeight="1" thickBot="1">
      <c r="A53" s="2080"/>
      <c r="F53" s="2069"/>
      <c r="I53" s="3100" t="s">
        <v>2419</v>
      </c>
      <c r="J53" s="2348"/>
      <c r="K53" s="3100" t="s">
        <v>2418</v>
      </c>
      <c r="L53" s="2348"/>
      <c r="O53" s="2364" t="s">
        <v>2384</v>
      </c>
      <c r="P53" s="2362" t="s">
        <v>2385</v>
      </c>
      <c r="Q53" s="2365">
        <f>J53</f>
        <v>0</v>
      </c>
      <c r="R53" s="2366"/>
    </row>
    <row r="54" spans="1:18" s="2043" customFormat="1" ht="30.5" thickBot="1">
      <c r="A54" s="2080"/>
      <c r="I54" s="3101" t="s">
        <v>2975</v>
      </c>
      <c r="J54" s="3180">
        <f ca="1">IF(M48="住宅",MAX(J52,L49-'数据-取费表'!B20),MIN(J52,L49-'数据-取费表'!B20))</f>
        <v>-3</v>
      </c>
      <c r="K54" s="3465"/>
      <c r="L54" s="3466"/>
      <c r="O54" s="2364" t="s">
        <v>2386</v>
      </c>
      <c r="P54" s="2362" t="s">
        <v>2387</v>
      </c>
      <c r="Q54" s="2363">
        <f ca="1">J54</f>
        <v>-3</v>
      </c>
      <c r="R54" s="2362" t="s">
        <v>2388</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2389</v>
      </c>
      <c r="P55" s="2362" t="s">
        <v>2406</v>
      </c>
      <c r="Q55" s="2363">
        <f ca="1">Q49+Q50</f>
        <v>0</v>
      </c>
      <c r="R55" s="2366" t="s">
        <v>2390</v>
      </c>
    </row>
    <row r="56" spans="1:18" s="2043" customFormat="1" ht="16" thickBot="1">
      <c r="A56" s="2080"/>
      <c r="B56" s="2081"/>
      <c r="C56" s="2081"/>
      <c r="I56" s="3112" t="s">
        <v>2353</v>
      </c>
      <c r="J56" s="3052" t="e">
        <f ca="1">ROUND(IF(J48="钢混",J58/J51,1-(1-2%)*(J51-J58)/J51),3)</f>
        <v>#VALUE!</v>
      </c>
      <c r="K56" s="3113" t="s">
        <v>2354</v>
      </c>
      <c r="L56" s="2349"/>
      <c r="O56" s="2367" t="s">
        <v>2409</v>
      </c>
      <c r="P56" s="1577"/>
      <c r="Q56" s="1588"/>
      <c r="R56" s="1577"/>
    </row>
    <row r="57" spans="1:18" s="2043" customFormat="1" ht="45.5" thickBot="1">
      <c r="A57" s="2080"/>
      <c r="B57" s="2081"/>
      <c r="C57" s="2081"/>
      <c r="I57" s="3114" t="s">
        <v>2355</v>
      </c>
      <c r="J57" s="3124" t="s">
        <v>1678</v>
      </c>
      <c r="K57" s="3077" t="s">
        <v>2360</v>
      </c>
      <c r="L57" s="1892">
        <f ca="1">IF(L49&lt;J52,"——",L49-J52)</f>
        <v>0</v>
      </c>
      <c r="O57" s="2358" t="s">
        <v>2373</v>
      </c>
      <c r="P57" s="2359" t="s">
        <v>2374</v>
      </c>
      <c r="Q57" s="2360" t="s">
        <v>2375</v>
      </c>
      <c r="R57" s="2359" t="s">
        <v>2376</v>
      </c>
    </row>
    <row r="58" spans="1:18" s="2043" customFormat="1" ht="30.5" thickBot="1">
      <c r="A58" s="2080"/>
      <c r="B58" s="2081"/>
      <c r="C58" s="2081"/>
      <c r="I58" s="3115" t="s">
        <v>2356</v>
      </c>
      <c r="J58" s="3116" t="str">
        <f ca="1">IF(OR(M48="住宅",J52&lt;L49,J57="是"),"——",J52-L49)</f>
        <v>——</v>
      </c>
      <c r="K58" s="3077" t="s">
        <v>2361</v>
      </c>
      <c r="L58" s="1892">
        <f ca="1">IF(L49&lt;J52,"——",IF(L56="比较法",L50,IF(L56="基准地价",L51,L52)))</f>
        <v>0</v>
      </c>
      <c r="O58" s="2361" t="s">
        <v>2377</v>
      </c>
      <c r="P58" s="2362" t="s">
        <v>2403</v>
      </c>
      <c r="Q58" s="2363">
        <f ca="1">C41+J31</f>
        <v>0</v>
      </c>
      <c r="R58" s="2362" t="s">
        <v>2378</v>
      </c>
    </row>
    <row r="59" spans="1:18" s="2043" customFormat="1" ht="30.5" thickBot="1">
      <c r="A59" s="2080"/>
      <c r="B59" s="2081"/>
      <c r="C59" s="2081"/>
      <c r="I59" s="3115" t="s">
        <v>2357</v>
      </c>
      <c r="J59" s="3053" t="e">
        <f ca="1">IF(J56&lt;0.4,0.4,J56)</f>
        <v>#VALUE!</v>
      </c>
      <c r="K59" s="3077"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30.5" thickBot="1">
      <c r="A60" s="2080"/>
      <c r="B60" s="2081"/>
      <c r="C60" s="2081"/>
      <c r="I60" s="3115" t="s">
        <v>2358</v>
      </c>
      <c r="J60" s="3116" t="str">
        <f ca="1">IF(OR(M48="住宅",J52&lt;L49,J57="是"),"——",ROUND(C30*J59,0))</f>
        <v>——</v>
      </c>
      <c r="K60" s="3077"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6" thickBot="1">
      <c r="A61" s="2080"/>
      <c r="B61" s="2081"/>
      <c r="C61" s="2081"/>
      <c r="I61" s="3117" t="s">
        <v>2359</v>
      </c>
      <c r="J61" s="3118" t="str">
        <f ca="1">IF(OR(M48="住宅",J52&lt;L49,J57="是"),"0",ROUND(J60/(1+J53)^J54,0))</f>
        <v>0</v>
      </c>
      <c r="K61" s="3119" t="s">
        <v>2364</v>
      </c>
      <c r="L61" s="3118" t="e">
        <f ca="1">IF(OR(M48="住宅",L49&lt;J52),0,ROUND(L58*(L59/L60-1),0))</f>
        <v>#DIV/0!</v>
      </c>
      <c r="O61" s="2364" t="s">
        <v>2382</v>
      </c>
      <c r="P61" s="2362" t="s">
        <v>2391</v>
      </c>
      <c r="Q61" s="2365">
        <f>L53</f>
        <v>0</v>
      </c>
      <c r="R61" s="2366"/>
    </row>
    <row r="62" spans="1:18" s="2043" customFormat="1" ht="17" thickBot="1">
      <c r="A62" s="2080"/>
      <c r="B62" s="2081"/>
      <c r="C62" s="2081"/>
      <c r="K62" s="2070"/>
      <c r="O62" s="2364" t="s">
        <v>2384</v>
      </c>
      <c r="P62" s="2362" t="s">
        <v>2392</v>
      </c>
      <c r="Q62" s="2363">
        <f ca="1">L59</f>
        <v>0</v>
      </c>
      <c r="R62" s="2366" t="s">
        <v>2393</v>
      </c>
    </row>
    <row r="63" spans="1:18" s="2043" customFormat="1" ht="17" thickBot="1">
      <c r="A63" s="2080"/>
      <c r="B63" s="2081"/>
      <c r="C63" s="2081"/>
      <c r="I63" s="3120" t="s">
        <v>2365</v>
      </c>
      <c r="J63" s="3121" t="s">
        <v>2366</v>
      </c>
      <c r="K63" s="3121" t="s">
        <v>2367</v>
      </c>
      <c r="L63" s="3121" t="s">
        <v>2348</v>
      </c>
      <c r="M63" s="3122" t="s">
        <v>2940</v>
      </c>
      <c r="O63" s="2364" t="s">
        <v>2386</v>
      </c>
      <c r="P63" s="2362" t="s">
        <v>2394</v>
      </c>
      <c r="Q63" s="2363">
        <f ca="1">L60</f>
        <v>0</v>
      </c>
      <c r="R63" s="2366" t="s">
        <v>2395</v>
      </c>
    </row>
    <row r="64" spans="1:18" s="2043" customFormat="1" ht="16" thickBot="1">
      <c r="A64" s="2080"/>
      <c r="B64" s="2081"/>
      <c r="C64" s="2081"/>
      <c r="I64" s="3120" t="s">
        <v>2368</v>
      </c>
      <c r="J64" s="3121">
        <v>70</v>
      </c>
      <c r="K64" s="3121">
        <v>50</v>
      </c>
      <c r="L64" s="3121">
        <v>80</v>
      </c>
      <c r="M64" s="3123">
        <v>0.02</v>
      </c>
      <c r="O64" s="2361" t="s">
        <v>2389</v>
      </c>
      <c r="P64" s="2362" t="s">
        <v>2406</v>
      </c>
      <c r="Q64" s="2363" t="e">
        <f ca="1">Q58+Q59</f>
        <v>#DIV/0!</v>
      </c>
      <c r="R64" s="2366" t="s">
        <v>2390</v>
      </c>
    </row>
    <row r="65" spans="1:18" s="2043" customFormat="1" ht="16" thickBot="1">
      <c r="A65" s="2080"/>
      <c r="B65" s="2081"/>
      <c r="C65" s="2081"/>
      <c r="I65" s="3120" t="s">
        <v>2369</v>
      </c>
      <c r="J65" s="3121">
        <v>50</v>
      </c>
      <c r="K65" s="3121">
        <v>35</v>
      </c>
      <c r="L65" s="3121">
        <v>60</v>
      </c>
      <c r="M65" s="845">
        <v>0</v>
      </c>
      <c r="O65" s="2367" t="s">
        <v>2413</v>
      </c>
      <c r="P65" s="1577"/>
      <c r="Q65" s="1588"/>
      <c r="R65" s="1577"/>
    </row>
    <row r="66" spans="1:18" s="2043" customFormat="1" ht="16" thickBot="1">
      <c r="A66" s="2080"/>
      <c r="B66" s="2081"/>
      <c r="C66" s="2081"/>
      <c r="I66" s="3120" t="s">
        <v>2370</v>
      </c>
      <c r="J66" s="3121">
        <v>40</v>
      </c>
      <c r="K66" s="3121">
        <v>30</v>
      </c>
      <c r="L66" s="3121">
        <v>50</v>
      </c>
      <c r="M66" s="3123">
        <v>0.02</v>
      </c>
      <c r="O66" s="2358" t="s">
        <v>2373</v>
      </c>
      <c r="P66" s="2359" t="s">
        <v>2374</v>
      </c>
      <c r="Q66" s="2360" t="s">
        <v>2375</v>
      </c>
      <c r="R66" s="2359" t="s">
        <v>2376</v>
      </c>
    </row>
    <row r="67" spans="1:18" s="2043" customFormat="1" ht="16" thickBot="1">
      <c r="A67" s="2080"/>
      <c r="B67" s="2081"/>
      <c r="C67" s="2081"/>
      <c r="K67" s="2070"/>
      <c r="O67" s="2361" t="s">
        <v>2377</v>
      </c>
      <c r="P67" s="2362" t="s">
        <v>2403</v>
      </c>
      <c r="Q67" s="2363">
        <f ca="1">C41+J31</f>
        <v>0</v>
      </c>
      <c r="R67" s="2362" t="s">
        <v>2378</v>
      </c>
    </row>
    <row r="68" spans="1:18" s="2043" customFormat="1" ht="17" thickBot="1">
      <c r="A68" s="2080"/>
      <c r="B68" s="2081"/>
      <c r="C68" s="2081"/>
      <c r="K68" s="2070"/>
      <c r="O68" s="2361" t="s">
        <v>2379</v>
      </c>
      <c r="P68" s="2362" t="s">
        <v>2410</v>
      </c>
      <c r="Q68" s="2363" t="e">
        <f ca="1">L61</f>
        <v>#DIV/0!</v>
      </c>
      <c r="R68" s="2366" t="s">
        <v>2412</v>
      </c>
    </row>
    <row r="69" spans="1:18" s="2043" customFormat="1" ht="21" thickBot="1">
      <c r="A69" s="2080"/>
      <c r="B69" s="2081"/>
      <c r="C69" s="2081"/>
      <c r="K69" s="2070"/>
      <c r="O69" s="2364" t="s">
        <v>2381</v>
      </c>
      <c r="P69" s="2362" t="s">
        <v>2411</v>
      </c>
      <c r="Q69" s="2368">
        <f ca="1">L52</f>
        <v>0</v>
      </c>
      <c r="R69" s="2369" t="s">
        <v>2414</v>
      </c>
    </row>
    <row r="70" spans="1:18" s="2043" customFormat="1" ht="17" thickBot="1">
      <c r="A70" s="2080"/>
      <c r="B70" s="2081"/>
      <c r="C70" s="2081"/>
      <c r="K70" s="2070"/>
      <c r="O70" s="2364" t="s">
        <v>2382</v>
      </c>
      <c r="P70" s="2370" t="s">
        <v>2396</v>
      </c>
      <c r="Q70" s="2363">
        <f ca="1">ROUND(Q71-Q72*Q73,0)</f>
        <v>0</v>
      </c>
      <c r="R70" s="2366"/>
    </row>
    <row r="71" spans="1:18" s="2043" customFormat="1" ht="16" thickBot="1">
      <c r="A71" s="2080"/>
      <c r="B71" s="2081"/>
      <c r="C71" s="2081"/>
      <c r="K71" s="2070"/>
      <c r="O71" s="2364" t="s">
        <v>2397</v>
      </c>
      <c r="P71" s="2370" t="s">
        <v>2398</v>
      </c>
      <c r="Q71" s="2363">
        <f ca="1">C42</f>
        <v>0</v>
      </c>
      <c r="R71" s="2362" t="s">
        <v>2378</v>
      </c>
    </row>
    <row r="72" spans="1:18" s="2043" customFormat="1" ht="16" thickBot="1">
      <c r="A72" s="2080"/>
      <c r="B72" s="2081"/>
      <c r="C72" s="2081"/>
      <c r="K72" s="2070"/>
      <c r="O72" s="2364" t="s">
        <v>2399</v>
      </c>
      <c r="P72" s="2370" t="s">
        <v>2400</v>
      </c>
      <c r="Q72" s="2363">
        <f ca="1">C15</f>
        <v>0</v>
      </c>
      <c r="R72" s="2362" t="s">
        <v>2378</v>
      </c>
    </row>
    <row r="73" spans="1:18" s="2043" customFormat="1" ht="16" thickBot="1">
      <c r="A73" s="2080"/>
      <c r="B73" s="2081"/>
      <c r="C73" s="2081"/>
      <c r="K73" s="2070"/>
      <c r="O73" s="2364" t="s">
        <v>2401</v>
      </c>
      <c r="P73" s="2370" t="s">
        <v>2402</v>
      </c>
      <c r="Q73" s="2365">
        <f ca="1">F43</f>
        <v>0</v>
      </c>
      <c r="R73" s="2366"/>
    </row>
    <row r="74" spans="1:18" s="2043" customFormat="1" ht="16" thickBot="1">
      <c r="A74" s="2080"/>
      <c r="B74" s="2081"/>
      <c r="C74" s="2081"/>
      <c r="K74" s="2070"/>
      <c r="O74" s="2364" t="s">
        <v>2384</v>
      </c>
      <c r="P74" s="2362" t="s">
        <v>2391</v>
      </c>
      <c r="Q74" s="2365">
        <f>L53</f>
        <v>0</v>
      </c>
      <c r="R74" s="2366"/>
    </row>
    <row r="75" spans="1:18" s="2043" customFormat="1" ht="17" thickBot="1">
      <c r="A75" s="2080"/>
      <c r="B75" s="2081"/>
      <c r="C75" s="2081"/>
      <c r="K75" s="2070"/>
      <c r="O75" s="2364" t="s">
        <v>2386</v>
      </c>
      <c r="P75" s="2362" t="s">
        <v>2392</v>
      </c>
      <c r="Q75" s="2363">
        <f ca="1">L59</f>
        <v>0</v>
      </c>
      <c r="R75" s="2366" t="s">
        <v>2393</v>
      </c>
    </row>
    <row r="76" spans="1:18" s="2043" customFormat="1" ht="17" thickBot="1">
      <c r="A76" s="2080"/>
      <c r="B76" s="2081"/>
      <c r="C76" s="2081"/>
      <c r="K76" s="2070"/>
      <c r="O76" s="2364" t="s">
        <v>2415</v>
      </c>
      <c r="P76" s="2362" t="s">
        <v>2394</v>
      </c>
      <c r="Q76" s="2363">
        <f ca="1">L60</f>
        <v>0</v>
      </c>
      <c r="R76" s="2366" t="s">
        <v>2395</v>
      </c>
    </row>
    <row r="77" spans="1:18" s="2043" customFormat="1" ht="16"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topLeftCell="A13" zoomScale="80" zoomScaleNormal="80" workbookViewId="0">
      <selection activeCell="J56" sqref="J56"/>
    </sheetView>
  </sheetViews>
  <sheetFormatPr defaultColWidth="9" defaultRowHeight="15.5"/>
  <cols>
    <col min="1" max="1" width="9" style="2044" customWidth="1"/>
    <col min="2" max="2" width="20.6328125" style="2083" customWidth="1"/>
    <col min="3" max="3" width="11.90625" style="2083" customWidth="1"/>
    <col min="4" max="4" width="40.453125" style="2044" customWidth="1"/>
    <col min="5" max="5" width="15.81640625" style="2044" customWidth="1"/>
    <col min="6" max="6" width="10.6328125" style="2044" customWidth="1"/>
    <col min="7" max="7" width="4.90625" style="2044" customWidth="1"/>
    <col min="8" max="8" width="8.453125" style="2044" customWidth="1"/>
    <col min="9" max="9" width="21.1796875" style="2044" customWidth="1"/>
    <col min="10" max="10" width="12.1796875" style="2044" customWidth="1"/>
    <col min="11" max="11" width="40.08984375" style="2084" customWidth="1"/>
    <col min="12" max="12" width="18.36328125" style="2044" customWidth="1"/>
    <col min="13" max="13" width="13" style="2044" customWidth="1"/>
    <col min="14" max="14" width="9.453125" style="2043" bestFit="1" customWidth="1"/>
    <col min="15" max="15" width="5.90625" style="2043" customWidth="1"/>
    <col min="16" max="16" width="27.6328125" style="2043" customWidth="1"/>
    <col min="17" max="17" width="13.81640625" style="2081" customWidth="1"/>
    <col min="18" max="18" width="23.453125" style="2043" customWidth="1"/>
    <col min="19" max="19" width="1.453125" style="2043" customWidth="1"/>
    <col min="20" max="33" width="9" style="2043"/>
    <col min="34" max="16384" width="9" style="2044"/>
  </cols>
  <sheetData>
    <row r="1" spans="1:33" s="2038" customFormat="1" ht="21">
      <c r="A1" s="831" t="s">
        <v>1725</v>
      </c>
      <c r="B1" s="737"/>
      <c r="C1" s="772" t="s">
        <v>2997</v>
      </c>
      <c r="D1" s="3076" t="s">
        <v>952</v>
      </c>
      <c r="E1" s="2350" t="s">
        <v>2372</v>
      </c>
      <c r="F1" s="2351">
        <f ca="1">J53</f>
        <v>31.1</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186095</v>
      </c>
      <c r="C2" s="2041"/>
      <c r="D2" s="2039"/>
      <c r="E2" s="2040"/>
      <c r="F2" s="2040"/>
      <c r="G2" s="1575"/>
      <c r="H2" s="2041"/>
      <c r="I2" s="2041"/>
      <c r="J2" s="2041"/>
      <c r="K2" s="2042"/>
      <c r="L2" s="2041"/>
      <c r="M2" s="2041"/>
    </row>
    <row r="3" spans="1:33" ht="18" customHeight="1" thickBot="1">
      <c r="A3" s="832" t="s">
        <v>1727</v>
      </c>
      <c r="B3" s="833">
        <f ca="1">IF(ISERROR(B2*10000/F43),0,ROUND(B2*10000/F43,0))</f>
        <v>42248</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2456</v>
      </c>
      <c r="C5" s="55">
        <f ca="1">C6+C10+C12</f>
        <v>12314</v>
      </c>
      <c r="D5" s="2459" t="s">
        <v>2459</v>
      </c>
      <c r="E5" s="2453"/>
      <c r="F5" s="2454"/>
      <c r="G5" s="1577"/>
      <c r="H5" s="780">
        <v>1</v>
      </c>
      <c r="I5" s="781" t="s">
        <v>2456</v>
      </c>
      <c r="J5" s="55">
        <f ca="1">J6+J10+J12</f>
        <v>0</v>
      </c>
      <c r="K5" s="2459" t="s">
        <v>2459</v>
      </c>
      <c r="L5" s="2453"/>
      <c r="M5" s="2454"/>
    </row>
    <row r="6" spans="1:33" ht="18" customHeight="1">
      <c r="A6" s="1814" t="s">
        <v>1824</v>
      </c>
      <c r="B6" s="3461" t="s">
        <v>2461</v>
      </c>
      <c r="C6" s="782">
        <f ca="1">ROUND(F6*F8*F7*(1-F9)/10000,0)</f>
        <v>12299</v>
      </c>
      <c r="D6" s="2460" t="s">
        <v>2460</v>
      </c>
      <c r="E6" s="783" t="s">
        <v>1738</v>
      </c>
      <c r="F6" s="784">
        <f ca="1">INDIRECT("'数据-取费表'!u"&amp;$G$1)</f>
        <v>8.5</v>
      </c>
      <c r="G6" s="1577"/>
      <c r="H6" s="2467" t="s">
        <v>2466</v>
      </c>
      <c r="I6" s="3461" t="s">
        <v>2461</v>
      </c>
      <c r="J6" s="782">
        <f ca="1">ROUND(M6*M8*M7*(1-M9)/10000,0)</f>
        <v>0</v>
      </c>
      <c r="K6" s="340" t="s">
        <v>1737</v>
      </c>
      <c r="L6" s="783" t="s">
        <v>1738</v>
      </c>
      <c r="M6" s="784">
        <f ca="1">INDIRECT("'数据-取费表'!z"&amp;$G$1)</f>
        <v>0</v>
      </c>
    </row>
    <row r="7" spans="1:33" ht="18" customHeight="1">
      <c r="A7" s="2463"/>
      <c r="B7" s="3462"/>
      <c r="C7" s="787"/>
      <c r="D7" s="788"/>
      <c r="E7" s="783" t="s">
        <v>1739</v>
      </c>
      <c r="F7" s="784">
        <f ca="1">IF(INDIRECT("'数据-取费表'!ah"&amp;$G$1)="",INDIRECT("'数据-取费表'!k"&amp;$G$1),INDIRECT("'数据-取费表'!ah"&amp;$G$1))</f>
        <v>44048.69</v>
      </c>
      <c r="G7" s="1577"/>
      <c r="H7" s="2452"/>
      <c r="I7" s="3462"/>
      <c r="J7" s="787"/>
      <c r="K7" s="788"/>
      <c r="L7" s="783" t="s">
        <v>1739</v>
      </c>
      <c r="M7" s="784">
        <f ca="1">F7</f>
        <v>44048.69</v>
      </c>
    </row>
    <row r="8" spans="1:33" ht="18" customHeight="1">
      <c r="A8" s="2456"/>
      <c r="B8" s="3463"/>
      <c r="C8" s="787"/>
      <c r="D8" s="788"/>
      <c r="E8" s="783" t="s">
        <v>1740</v>
      </c>
      <c r="F8" s="784">
        <f ca="1">INDIRECT("'数据-取费表'!ai"&amp;$G$1)</f>
        <v>365</v>
      </c>
      <c r="G8" s="1577"/>
      <c r="H8" s="2452"/>
      <c r="I8" s="3463"/>
      <c r="J8" s="787"/>
      <c r="K8" s="788"/>
      <c r="L8" s="783" t="s">
        <v>1740</v>
      </c>
      <c r="M8" s="784">
        <f ca="1">INDIRECT("'数据-取费表'!ai"&amp;$G$1)</f>
        <v>365</v>
      </c>
    </row>
    <row r="9" spans="1:33" ht="18" customHeight="1">
      <c r="A9" s="785"/>
      <c r="B9" s="3464"/>
      <c r="C9" s="787"/>
      <c r="D9" s="788"/>
      <c r="E9" s="783" t="s">
        <v>1741</v>
      </c>
      <c r="F9" s="793">
        <f ca="1">INDIRECT("'数据-取费表'!w"&amp;$G$1)</f>
        <v>0.1</v>
      </c>
      <c r="G9" s="1577"/>
      <c r="H9" s="2468"/>
      <c r="I9" s="3463"/>
      <c r="J9" s="787"/>
      <c r="K9" s="788"/>
      <c r="L9" s="794" t="s">
        <v>1741</v>
      </c>
      <c r="M9" s="795">
        <f ca="1">INDIRECT("'数据-取费表'!ab"&amp;$G$1)</f>
        <v>0</v>
      </c>
    </row>
    <row r="10" spans="1:33" ht="18" customHeight="1">
      <c r="A10" s="1814" t="s">
        <v>2464</v>
      </c>
      <c r="B10" s="2457" t="s">
        <v>2457</v>
      </c>
      <c r="C10" s="798">
        <f ca="1">ROUND(IF(F10="押一",C6/12*F11,IF(F10="押二",C6/12*2*F11,IF(F10="押三",C6/12*3*F11,C11*F11))),0)</f>
        <v>15</v>
      </c>
      <c r="D10" s="2464" t="s">
        <v>2971</v>
      </c>
      <c r="E10" s="2461" t="s">
        <v>2462</v>
      </c>
      <c r="F10" s="2584" t="s">
        <v>3100</v>
      </c>
      <c r="G10" s="1577"/>
      <c r="H10" s="2524" t="s">
        <v>2467</v>
      </c>
      <c r="I10" s="2529" t="s">
        <v>2457</v>
      </c>
      <c r="J10" s="782">
        <f ca="1">ROUND(IF(M10="押一",J6/12*M11,IF(M10="押二",J6/12*2*M11,IF(M10="押三",J6/12*3*M11,J11*M11))),0)</f>
        <v>0</v>
      </c>
      <c r="K10" s="2464" t="s">
        <v>2971</v>
      </c>
      <c r="L10" s="2461" t="s">
        <v>2462</v>
      </c>
      <c r="M10" s="2584"/>
    </row>
    <row r="11" spans="1:33" ht="18" customHeight="1">
      <c r="A11" s="789"/>
      <c r="B11" s="2458" t="s">
        <v>2571</v>
      </c>
      <c r="C11" s="2462"/>
      <c r="D11" s="788"/>
      <c r="E11" s="2461" t="s">
        <v>2463</v>
      </c>
      <c r="F11" s="795">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1">
        <f ca="1">ROUND(C29*F13,0)</f>
        <v>37358</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22665</v>
      </c>
      <c r="D14" s="1963" t="s">
        <v>1745</v>
      </c>
      <c r="E14" s="1964"/>
      <c r="F14" s="804"/>
      <c r="G14" s="1577"/>
      <c r="H14" s="1633" t="s">
        <v>1830</v>
      </c>
      <c r="I14" s="2215" t="s">
        <v>2822</v>
      </c>
      <c r="J14" s="53">
        <f ca="1">C29</f>
        <v>37358</v>
      </c>
      <c r="K14" s="26"/>
      <c r="L14" s="800"/>
      <c r="M14" s="801"/>
    </row>
    <row r="15" spans="1:33" s="2048" customFormat="1" ht="18" customHeight="1" thickBot="1">
      <c r="A15" s="1632" t="s">
        <v>1885</v>
      </c>
      <c r="B15" s="783" t="s">
        <v>647</v>
      </c>
      <c r="C15" s="53">
        <f ca="1">ROUND(C14*F15,0)</f>
        <v>1133</v>
      </c>
      <c r="D15" s="805" t="s">
        <v>1746</v>
      </c>
      <c r="E15" s="805" t="s">
        <v>1747</v>
      </c>
      <c r="F15" s="806">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3701</v>
      </c>
      <c r="K16" s="1805" t="s">
        <v>1750</v>
      </c>
      <c r="L16" s="2449"/>
      <c r="M16" s="2454"/>
    </row>
    <row r="17" spans="1:33" s="2048" customFormat="1" ht="18" customHeight="1">
      <c r="A17" s="1632" t="s">
        <v>1887</v>
      </c>
      <c r="B17" s="783" t="s">
        <v>653</v>
      </c>
      <c r="C17" s="53">
        <f ca="1">ROUND(F17*(F43+INDIRECT("'数据-取费表'!S"&amp;$G$1))/10000,0)</f>
        <v>907</v>
      </c>
      <c r="D17" s="783" t="s">
        <v>1751</v>
      </c>
      <c r="E17" s="783" t="s">
        <v>1752</v>
      </c>
      <c r="F17" s="56">
        <f>'数据-取费表'!B35</f>
        <v>200</v>
      </c>
      <c r="G17" s="1578"/>
      <c r="H17" s="1633" t="s">
        <v>1830</v>
      </c>
      <c r="I17" s="783" t="s">
        <v>656</v>
      </c>
      <c r="J17" s="53">
        <f ca="1">ROUND(IF(项目基本情况!B11="自然人",J6*M17/(1+'数据-取费表'!C42),J18+J19+J20),0)</f>
        <v>3141</v>
      </c>
      <c r="K17" s="2448" t="s">
        <v>1753</v>
      </c>
      <c r="L17" s="2447" t="s">
        <v>1754</v>
      </c>
      <c r="M17" s="809">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340</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6.1600000000000002E-2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25045</v>
      </c>
      <c r="D19" s="260" t="s">
        <v>1757</v>
      </c>
      <c r="E19" s="1966"/>
      <c r="F19" s="56"/>
      <c r="G19" s="1577"/>
      <c r="H19" s="1632" t="s">
        <v>1885</v>
      </c>
      <c r="I19" s="783" t="s">
        <v>1758</v>
      </c>
      <c r="J19" s="53">
        <f ca="1">IF(K19="按租金收入计税",ROUND(J6*M19/(1+'数据-取费表'!C42),1),ROUND(C29*F33*0.7,1))</f>
        <v>3138.1</v>
      </c>
      <c r="K19" s="810" t="s">
        <v>665</v>
      </c>
      <c r="L19" s="783" t="s">
        <v>1747</v>
      </c>
      <c r="M19" s="808">
        <f>IF(K19="按租金收入计税",'数据-取费表'!B51,'数据-取费表'!B50)</f>
        <v>1.2E-2</v>
      </c>
    </row>
    <row r="20" spans="1:33" s="2048" customFormat="1" ht="18" customHeight="1">
      <c r="A20" s="1633" t="s">
        <v>1889</v>
      </c>
      <c r="B20" s="783" t="s">
        <v>666</v>
      </c>
      <c r="C20" s="53">
        <f ca="1">ROUND(C19*F20,0)</f>
        <v>626</v>
      </c>
      <c r="D20" s="811" t="s">
        <v>1759</v>
      </c>
      <c r="E20" s="783" t="s">
        <v>1747</v>
      </c>
      <c r="F20" s="808">
        <f>'数据-取费表'!B37</f>
        <v>2.5000000000000001E-2</v>
      </c>
      <c r="G20" s="1578"/>
      <c r="H20" s="1635" t="s">
        <v>1880</v>
      </c>
      <c r="I20" s="340" t="s">
        <v>1760</v>
      </c>
      <c r="J20" s="54">
        <f ca="1">ROUND(M20*M21/10000,0)</f>
        <v>3</v>
      </c>
      <c r="K20" s="813" t="s">
        <v>1761</v>
      </c>
      <c r="L20" s="783" t="s">
        <v>1762</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2296</v>
      </c>
      <c r="E21" s="783" t="s">
        <v>1765</v>
      </c>
      <c r="F21" s="808">
        <f>'数据-取费表'!B38</f>
        <v>2.5000000000000001E-2</v>
      </c>
      <c r="G21" s="1578"/>
      <c r="H21" s="2469"/>
      <c r="I21" s="792"/>
      <c r="J21" s="69"/>
      <c r="K21" s="815"/>
      <c r="L21" s="783" t="s">
        <v>1766</v>
      </c>
      <c r="M21" s="784">
        <f ca="1">INDIRECT("'数据-取费表'!r"&amp;$G$1)</f>
        <v>23325.32</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560</v>
      </c>
      <c r="K22" s="2447" t="s">
        <v>1769</v>
      </c>
      <c r="L22" s="783" t="s">
        <v>1747</v>
      </c>
      <c r="M22" s="816">
        <f ca="1">INDIRECT("'数据-取费表'!Ak"&amp;$G$1)</f>
        <v>1.4999999999999999E-2</v>
      </c>
    </row>
    <row r="23" spans="1:33" s="2048" customFormat="1" ht="18" customHeight="1">
      <c r="A23" s="1632" t="s">
        <v>1831</v>
      </c>
      <c r="B23" s="783" t="s">
        <v>2533</v>
      </c>
      <c r="C23" s="53">
        <f ca="1">ROUND(IF('数据-取费表'!B22&lt;=1,(C19+C20)*F24*F23/2,(C19+C20)*(POWER((1+F24),F23/2)-1)),0)</f>
        <v>1851</v>
      </c>
      <c r="D23" s="2534" t="str">
        <f>IF(F23&lt;=1,"(建造成本+管理费用)×利率×(建设周期÷2)","(建造成本+管理费用)×((1+利率)^(建设周期÷2)-1)")</f>
        <v>(建造成本+管理费用)×((1+利率)^(建设周期÷2)-1)</v>
      </c>
      <c r="E23" s="783" t="s">
        <v>1770</v>
      </c>
      <c r="F23" s="639">
        <f>'数据-取费表'!B20</f>
        <v>3</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1.8E-3</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2818</v>
      </c>
      <c r="J25" s="791">
        <f ca="1">J5-J16</f>
        <v>-3701</v>
      </c>
      <c r="K25" s="2511" t="s">
        <v>1777</v>
      </c>
      <c r="L25" s="2512"/>
      <c r="M25" s="2513"/>
    </row>
    <row r="26" spans="1:33" ht="18" customHeight="1">
      <c r="A26" s="1632" t="s">
        <v>1831</v>
      </c>
      <c r="B26" s="783" t="s">
        <v>2436</v>
      </c>
      <c r="C26" s="53">
        <f ca="1">ROUND((C19+C20)*F26,0)</f>
        <v>6418</v>
      </c>
      <c r="D26" s="811" t="s">
        <v>1778</v>
      </c>
      <c r="E26" s="794" t="s">
        <v>1779</v>
      </c>
      <c r="F26" s="793">
        <f ca="1">INDIRECT("'数据-取费表'!q"&amp;$G$1)</f>
        <v>0.25</v>
      </c>
      <c r="G26" s="1577"/>
      <c r="H26" s="2465" t="s">
        <v>1780</v>
      </c>
      <c r="I26" s="2216" t="s">
        <v>2823</v>
      </c>
      <c r="J26" s="782">
        <f ca="1">IF(J5&lt;&gt;0,ROUND(J25*(1-((1+M28)/(1+M26))^M27)/(M26-M28),0),0)</f>
        <v>0</v>
      </c>
      <c r="K26" s="813" t="s">
        <v>1781</v>
      </c>
      <c r="L26" s="783" t="s">
        <v>2417</v>
      </c>
      <c r="M26" s="793">
        <f ca="1">INDIRECT("'数据-取费表'!I"&amp;$G$1)</f>
        <v>0.06</v>
      </c>
    </row>
    <row r="27" spans="1:33" ht="18" customHeight="1">
      <c r="A27" s="1632" t="s">
        <v>1832</v>
      </c>
      <c r="B27" s="783" t="s">
        <v>686</v>
      </c>
      <c r="C27" s="53">
        <f ca="1">ROUND(F21*F26,4)</f>
        <v>6.3E-3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5.8400000000000001E-2</v>
      </c>
      <c r="D28" s="811" t="s">
        <v>2297</v>
      </c>
      <c r="E28" s="783" t="s">
        <v>1785</v>
      </c>
      <c r="F28" s="808">
        <f>'数据-取费表'!B41</f>
        <v>6.1600000000000002E-2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37358</v>
      </c>
      <c r="D29" s="2508"/>
      <c r="E29" s="2509"/>
      <c r="F29" s="2510"/>
      <c r="G29" s="1578"/>
      <c r="H29" s="822" t="s">
        <v>1787</v>
      </c>
      <c r="I29" s="823" t="s">
        <v>1788</v>
      </c>
      <c r="J29" s="824">
        <f ca="1">ROUND(J26/(1+F40)^F41,0)</f>
        <v>0</v>
      </c>
      <c r="K29" s="825" t="s">
        <v>1789</v>
      </c>
      <c r="L29" s="826"/>
      <c r="M29" s="827">
        <f ca="1">INDIRECT("'数据-取费表'!k"&amp;$G$1)</f>
        <v>44048.69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2860</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2120.5</v>
      </c>
      <c r="D31" s="1963" t="s">
        <v>1792</v>
      </c>
      <c r="E31" s="1961" t="s">
        <v>1793</v>
      </c>
      <c r="F31" s="809">
        <f ca="1">IF(项目基本情况!B11="企业","",IF(INDIRECT("'数据-取费表'!c"&amp;$G$1)="住宅",5%,IF(F6*F7*F8/12/(1+'数据-取费表'!C42)&gt;20000,12%,7%)))</f>
        <v>0.12</v>
      </c>
      <c r="G31" s="2046"/>
      <c r="H31" s="2049"/>
      <c r="I31" s="2050"/>
      <c r="J31" s="2051"/>
      <c r="K31" s="2052"/>
      <c r="L31" s="2053"/>
      <c r="M31" s="2054"/>
    </row>
    <row r="32" spans="1:33" ht="18" customHeight="1">
      <c r="A32" s="1632" t="s">
        <v>1831</v>
      </c>
      <c r="B32" s="783" t="s">
        <v>1794</v>
      </c>
      <c r="C32" s="53">
        <f ca="1">ROUND(C6*F32/(1+'数据-取费表'!C42),1)</f>
        <v>718.1</v>
      </c>
      <c r="D32" s="1961" t="s">
        <v>1795</v>
      </c>
      <c r="E32" s="783" t="s">
        <v>1796</v>
      </c>
      <c r="F32" s="808">
        <f>'数据-取费表'!B41</f>
        <v>6.1600000000000002E-2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1398.9</v>
      </c>
      <c r="D33" s="810" t="s">
        <v>3101</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3.5</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23325.32</v>
      </c>
      <c r="G35" s="2046"/>
      <c r="H35" s="2049"/>
      <c r="I35" s="836" t="s">
        <v>1814</v>
      </c>
      <c r="J35" s="837">
        <f ca="1">ROUND(C13*J36,0)</f>
        <v>3175</v>
      </c>
      <c r="K35" s="2062"/>
      <c r="L35" s="2061"/>
      <c r="M35" s="2061"/>
    </row>
    <row r="36" spans="1:18" ht="18" customHeight="1">
      <c r="A36" s="1633" t="s">
        <v>1889</v>
      </c>
      <c r="B36" s="783" t="s">
        <v>1802</v>
      </c>
      <c r="C36" s="53">
        <f ca="1">ROUND(C29*F36,1)</f>
        <v>560.4</v>
      </c>
      <c r="D36" s="1961" t="s">
        <v>1803</v>
      </c>
      <c r="E36" s="783" t="s">
        <v>1796</v>
      </c>
      <c r="F36" s="816">
        <f ca="1">INDIRECT("'数据-取费表'!Ak"&amp;$G$1)</f>
        <v>1.4999999999999999E-2</v>
      </c>
      <c r="G36" s="2046"/>
      <c r="H36" s="2061"/>
      <c r="I36" s="838" t="s">
        <v>1815</v>
      </c>
      <c r="J36" s="839">
        <f ca="1">INDIRECT("'数据-取费表'!j"&amp;$G$1)</f>
        <v>8.5000000000000006E-2</v>
      </c>
      <c r="K36" s="2066"/>
      <c r="L36" s="2061"/>
      <c r="M36" s="2061"/>
    </row>
    <row r="37" spans="1:18" ht="18" customHeight="1">
      <c r="A37" s="1633" t="s">
        <v>1890</v>
      </c>
      <c r="B37" s="783" t="s">
        <v>679</v>
      </c>
      <c r="C37" s="53">
        <f ca="1">ROUND(C13*F37,1)</f>
        <v>56</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123.1</v>
      </c>
      <c r="D38" s="2508" t="s">
        <v>1805</v>
      </c>
      <c r="E38" s="2509" t="s">
        <v>1796</v>
      </c>
      <c r="F38" s="2505">
        <f ca="1">INDIRECT("'数据-取费表'!Am"&amp;$G$1)</f>
        <v>0.01</v>
      </c>
      <c r="G38" s="2046"/>
      <c r="H38" s="2061"/>
      <c r="I38" s="842" t="s">
        <v>1817</v>
      </c>
      <c r="J38" s="843"/>
      <c r="K38" s="2067"/>
      <c r="L38" s="2061"/>
      <c r="M38" s="2061"/>
    </row>
    <row r="39" spans="1:18" ht="24.65" customHeight="1" thickTop="1">
      <c r="A39" s="1813" t="s">
        <v>1894</v>
      </c>
      <c r="B39" s="2961" t="s">
        <v>2818</v>
      </c>
      <c r="C39" s="791">
        <f ca="1">C5-C30</f>
        <v>9454</v>
      </c>
      <c r="D39" s="2511" t="s">
        <v>1806</v>
      </c>
      <c r="E39" s="2512"/>
      <c r="F39" s="2513"/>
      <c r="G39" s="2046"/>
      <c r="H39" s="2061"/>
      <c r="I39" s="836" t="s">
        <v>1818</v>
      </c>
      <c r="J39" s="844">
        <f ca="1">ROUND(J35/C39,3)</f>
        <v>0.33600000000000002</v>
      </c>
      <c r="K39" s="2067"/>
      <c r="L39" s="2061"/>
      <c r="M39" s="2061"/>
    </row>
    <row r="40" spans="1:18" ht="18" customHeight="1">
      <c r="A40" s="780" t="s">
        <v>1895</v>
      </c>
      <c r="B40" s="2216" t="s">
        <v>2299</v>
      </c>
      <c r="C40" s="782">
        <f ca="1">ROUND(C39*(1-((1+F42)/(1+F40))^F41)/(F40-F42),0)</f>
        <v>186095</v>
      </c>
      <c r="D40" s="813" t="s">
        <v>1807</v>
      </c>
      <c r="E40" s="783" t="s">
        <v>2417</v>
      </c>
      <c r="F40" s="793">
        <f ca="1">INDIRECT("'数据-取费表'!I"&amp;$G$1)</f>
        <v>0.06</v>
      </c>
      <c r="G40" s="2046"/>
      <c r="H40" s="2046"/>
      <c r="I40" s="836" t="s">
        <v>1819</v>
      </c>
      <c r="J40" s="844">
        <f ca="1">1-J39</f>
        <v>0.66399999999999992</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31.1</v>
      </c>
      <c r="G41" s="2046"/>
      <c r="H41" s="1972"/>
      <c r="I41" s="842" t="s">
        <v>1820</v>
      </c>
      <c r="J41" s="845"/>
      <c r="K41" s="2066"/>
      <c r="L41" s="1972"/>
      <c r="M41" s="1972"/>
    </row>
    <row r="42" spans="1:18" ht="18" customHeight="1">
      <c r="A42" s="789"/>
      <c r="B42" s="790"/>
      <c r="C42" s="791"/>
      <c r="D42" s="815"/>
      <c r="E42" s="783" t="s">
        <v>1809</v>
      </c>
      <c r="F42" s="793">
        <f ca="1">INDIRECT("'数据-取费表'!v"&amp;$G$1)</f>
        <v>0.03</v>
      </c>
      <c r="G42" s="2046"/>
      <c r="H42" s="1972"/>
      <c r="I42" s="846" t="s">
        <v>1821</v>
      </c>
      <c r="J42" s="844">
        <f ca="1">ROUND(C13/C40,3)</f>
        <v>0.20100000000000001</v>
      </c>
      <c r="K42" s="2066"/>
      <c r="L42" s="1972"/>
      <c r="M42" s="1972"/>
    </row>
    <row r="43" spans="1:18" ht="18" customHeight="1" thickBot="1">
      <c r="A43" s="822" t="s">
        <v>1787</v>
      </c>
      <c r="B43" s="823" t="s">
        <v>1810</v>
      </c>
      <c r="C43" s="824">
        <f ca="1">ROUND(C40*10000/F43,0)</f>
        <v>42248</v>
      </c>
      <c r="D43" s="825" t="s">
        <v>1811</v>
      </c>
      <c r="E43" s="826" t="s">
        <v>1812</v>
      </c>
      <c r="F43" s="827">
        <f ca="1">INDIRECT("'数据-取费表'!k"&amp;$G$1)</f>
        <v>44048.69</v>
      </c>
      <c r="G43" s="2046"/>
      <c r="H43" s="1972"/>
      <c r="I43" s="846" t="s">
        <v>1822</v>
      </c>
      <c r="J43" s="847">
        <f ca="1">1-J42</f>
        <v>0.79899999999999993</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-194741</v>
      </c>
      <c r="D46" s="2069"/>
      <c r="E46" s="2069"/>
      <c r="F46" s="2069"/>
      <c r="I46" s="2341" t="s">
        <v>2341</v>
      </c>
      <c r="J46" s="2342"/>
      <c r="K46" s="2343"/>
      <c r="L46" s="3107" t="str">
        <f ca="1">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8" t="s">
        <v>2342</v>
      </c>
      <c r="J47" s="2344" t="s">
        <v>3102</v>
      </c>
      <c r="K47" s="3104" t="s">
        <v>2347</v>
      </c>
      <c r="L47" s="3108">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2294</v>
      </c>
      <c r="F48" s="2340"/>
      <c r="G48" s="2074"/>
      <c r="I48" s="3077" t="s">
        <v>2343</v>
      </c>
      <c r="J48" s="2345" t="s">
        <v>2348</v>
      </c>
      <c r="K48" s="3105" t="s">
        <v>2349</v>
      </c>
      <c r="L48" s="1892">
        <f ca="1">INDIRECT("'数据-取费表'!f"&amp;$G$1)</f>
        <v>31.1</v>
      </c>
      <c r="O48" s="2361" t="s">
        <v>2377</v>
      </c>
      <c r="P48" s="2362" t="s">
        <v>2403</v>
      </c>
      <c r="Q48" s="2363">
        <f ca="1">C40+J29</f>
        <v>186095</v>
      </c>
      <c r="R48" s="2362" t="s">
        <v>2378</v>
      </c>
    </row>
    <row r="49" spans="1:18" s="2043" customFormat="1" ht="18" customHeight="1" thickBot="1">
      <c r="A49" s="785"/>
      <c r="B49" s="786"/>
      <c r="C49" s="787"/>
      <c r="D49" s="788"/>
      <c r="E49" s="783" t="s">
        <v>1739</v>
      </c>
      <c r="F49" s="784">
        <f ca="1">F7</f>
        <v>44048.69</v>
      </c>
      <c r="G49" s="2074"/>
      <c r="H49" s="2077"/>
      <c r="I49" s="3077" t="s">
        <v>2344</v>
      </c>
      <c r="J49" s="2346"/>
      <c r="K49" s="3106" t="s">
        <v>2350</v>
      </c>
      <c r="L49" s="2347"/>
      <c r="O49" s="2361" t="s">
        <v>2379</v>
      </c>
      <c r="P49" s="2362" t="s">
        <v>2404</v>
      </c>
      <c r="Q49" s="2363" t="str">
        <f ca="1">J60</f>
        <v>0</v>
      </c>
      <c r="R49" s="2362" t="s">
        <v>2380</v>
      </c>
    </row>
    <row r="50" spans="1:18" s="2043" customFormat="1" ht="18" customHeight="1" thickBot="1">
      <c r="A50" s="785"/>
      <c r="B50" s="786"/>
      <c r="C50" s="787"/>
      <c r="D50" s="788"/>
      <c r="E50" s="783" t="s">
        <v>1740</v>
      </c>
      <c r="F50" s="784">
        <f ca="1">F8</f>
        <v>365</v>
      </c>
      <c r="G50" s="2079"/>
      <c r="H50" s="2077"/>
      <c r="I50" s="3077" t="s">
        <v>2345</v>
      </c>
      <c r="J50" s="3102">
        <f>SUMPRODUCT((I63:I65=J47)*(J62:L62=J48)*(J63:L65))</f>
        <v>60</v>
      </c>
      <c r="K50" s="3106" t="s">
        <v>2351</v>
      </c>
      <c r="L50" s="2347"/>
      <c r="O50" s="2364" t="s">
        <v>2381</v>
      </c>
      <c r="P50" s="2362" t="s">
        <v>2405</v>
      </c>
      <c r="Q50" s="2363">
        <f ca="1">C29</f>
        <v>37358</v>
      </c>
      <c r="R50" s="2362" t="s">
        <v>2378</v>
      </c>
    </row>
    <row r="51" spans="1:18" s="2043" customFormat="1" ht="18" customHeight="1" thickBot="1">
      <c r="A51" s="785"/>
      <c r="B51" s="786"/>
      <c r="C51" s="787"/>
      <c r="D51" s="788"/>
      <c r="E51" s="783" t="s">
        <v>640</v>
      </c>
      <c r="F51" s="2334"/>
      <c r="H51" s="2077"/>
      <c r="I51" s="3099" t="s">
        <v>2346</v>
      </c>
      <c r="J51" s="3103">
        <f>IF(J49="",J50,J49+J50-YEAR('数据-取费表'!B2))</f>
        <v>60</v>
      </c>
      <c r="K51" s="3077" t="s">
        <v>2352</v>
      </c>
      <c r="L51" s="3109">
        <f ca="1">ROUND(-PV(INDIRECT("'数据-取费表'!h"&amp;$G$1),L48,(C39-C13*J36),0),0)</f>
        <v>92561</v>
      </c>
      <c r="O51" s="2364" t="s">
        <v>2382</v>
      </c>
      <c r="P51" s="2362" t="s">
        <v>2383</v>
      </c>
      <c r="Q51" s="2365" t="e">
        <f ca="1">J58</f>
        <v>#VALUE!</v>
      </c>
      <c r="R51" s="2366"/>
    </row>
    <row r="52" spans="1:18" s="2043" customFormat="1" ht="18" customHeight="1" thickBot="1">
      <c r="A52" s="780" t="s">
        <v>2534</v>
      </c>
      <c r="B52" s="2457" t="s">
        <v>2457</v>
      </c>
      <c r="C52" s="798">
        <f ca="1">ROUND(IF(F52="押一",C48/12*F11,IF(F52="押二",C48/12*2*F11,IF(F52="押三",C48/12*3*F11,C53*F11))),0)</f>
        <v>0</v>
      </c>
      <c r="D52" s="2464" t="s">
        <v>2972</v>
      </c>
      <c r="E52" s="2461" t="s">
        <v>2462</v>
      </c>
      <c r="F52" s="2584"/>
      <c r="I52" s="3100" t="s">
        <v>2419</v>
      </c>
      <c r="J52" s="2348">
        <v>0.09</v>
      </c>
      <c r="K52" s="3100" t="s">
        <v>2418</v>
      </c>
      <c r="L52" s="2348"/>
      <c r="O52" s="2364" t="s">
        <v>2384</v>
      </c>
      <c r="P52" s="2362" t="s">
        <v>2385</v>
      </c>
      <c r="Q52" s="2365">
        <f>J52</f>
        <v>0.09</v>
      </c>
      <c r="R52" s="2366"/>
    </row>
    <row r="53" spans="1:18" s="2043" customFormat="1" ht="39.75" customHeight="1" thickBot="1">
      <c r="A53" s="785"/>
      <c r="B53" s="2458" t="s">
        <v>2571</v>
      </c>
      <c r="C53" s="2462"/>
      <c r="D53" s="2464"/>
      <c r="E53" s="2461"/>
      <c r="F53" s="799"/>
      <c r="I53" s="3101" t="s">
        <v>2975</v>
      </c>
      <c r="J53" s="3180">
        <f ca="1">IF(M47="住宅",IF(D1="——",MAX(J51,L48),MAX(J51,L48-'数据-取费表'!B20)),IF(D1="——",MIN(J51,L48),MIN(J51,L48-'数据-取费表'!B20)))</f>
        <v>31.1</v>
      </c>
      <c r="K53" s="3467" t="s">
        <v>2963</v>
      </c>
      <c r="L53" s="3468"/>
      <c r="O53" s="2364" t="s">
        <v>2386</v>
      </c>
      <c r="P53" s="2362" t="s">
        <v>2387</v>
      </c>
      <c r="Q53" s="2363">
        <f ca="1">J53</f>
        <v>31.1</v>
      </c>
      <c r="R53" s="2362" t="s">
        <v>2388</v>
      </c>
    </row>
    <row r="54" spans="1:18" s="2043" customFormat="1" ht="18" customHeight="1" thickBot="1">
      <c r="A54" s="2500" t="s">
        <v>2465</v>
      </c>
      <c r="B54" s="2501" t="s">
        <v>2458</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186095</v>
      </c>
      <c r="R54" s="2366" t="s">
        <v>2390</v>
      </c>
    </row>
    <row r="55" spans="1:18" s="2043" customFormat="1" ht="18" customHeight="1" thickTop="1" thickBot="1">
      <c r="A55" s="796">
        <v>2</v>
      </c>
      <c r="B55" s="797" t="s">
        <v>644</v>
      </c>
      <c r="C55" s="798">
        <f ca="1">C13</f>
        <v>37358</v>
      </c>
      <c r="D55" s="794"/>
      <c r="E55" s="794"/>
      <c r="F55" s="799"/>
      <c r="I55" s="3112" t="s">
        <v>2353</v>
      </c>
      <c r="J55" s="3052" t="e">
        <f ca="1">ROUND(IF(J47="钢混",J57/J50,1-(1-2%)*(J50-J57)/J50),3)</f>
        <v>#VALUE!</v>
      </c>
      <c r="K55" s="3113" t="s">
        <v>2354</v>
      </c>
      <c r="L55" s="2349"/>
      <c r="O55" s="2367" t="s">
        <v>2409</v>
      </c>
      <c r="P55" s="1577"/>
      <c r="Q55" s="1588"/>
      <c r="R55" s="1577"/>
    </row>
    <row r="56" spans="1:18" s="2043" customFormat="1" ht="42.75" customHeight="1" thickBot="1">
      <c r="A56" s="1634"/>
      <c r="B56" s="2215" t="s">
        <v>2300</v>
      </c>
      <c r="C56" s="53">
        <f ca="1">C29</f>
        <v>37358</v>
      </c>
      <c r="D56" s="2602"/>
      <c r="E56" s="783"/>
      <c r="F56" s="808"/>
      <c r="I56" s="3114" t="s">
        <v>2355</v>
      </c>
      <c r="J56" s="3124" t="s">
        <v>1678</v>
      </c>
      <c r="K56" s="3077" t="s">
        <v>2360</v>
      </c>
      <c r="L56" s="1892" t="str">
        <f ca="1">IF(L48&lt;J51,"——",L48-J51)</f>
        <v>——</v>
      </c>
      <c r="O56" s="2358" t="s">
        <v>2373</v>
      </c>
      <c r="P56" s="2359" t="s">
        <v>2374</v>
      </c>
      <c r="Q56" s="2360" t="s">
        <v>2375</v>
      </c>
      <c r="R56" s="2359" t="s">
        <v>2376</v>
      </c>
    </row>
    <row r="57" spans="1:18" s="2043" customFormat="1" ht="28.5" customHeight="1" thickBot="1">
      <c r="A57" s="796" t="s">
        <v>1748</v>
      </c>
      <c r="B57" s="797" t="s">
        <v>651</v>
      </c>
      <c r="C57" s="798">
        <f ca="1">ROUND(C58+C63+C64+C65,0)</f>
        <v>620</v>
      </c>
      <c r="D57" s="26" t="s">
        <v>1750</v>
      </c>
      <c r="E57" s="2603"/>
      <c r="F57" s="56"/>
      <c r="I57" s="3115" t="s">
        <v>2356</v>
      </c>
      <c r="J57" s="3116" t="str">
        <f ca="1">IF(OR(M47="住宅",J51&lt;L48,J56="是"),"——",J51-L48)</f>
        <v>——</v>
      </c>
      <c r="K57" s="3077" t="s">
        <v>2361</v>
      </c>
      <c r="L57" s="1892" t="str">
        <f ca="1">IF(L48&lt;J51,"——",IF(L55="比较法",L49,IF(L55="基准地价",L50,L51)))</f>
        <v>——</v>
      </c>
      <c r="O57" s="2361" t="s">
        <v>2377</v>
      </c>
      <c r="P57" s="2362" t="s">
        <v>2407</v>
      </c>
      <c r="Q57" s="2363">
        <f ca="1">C40+J29</f>
        <v>186095</v>
      </c>
      <c r="R57" s="2362" t="s">
        <v>2378</v>
      </c>
    </row>
    <row r="58" spans="1:18" s="2043" customFormat="1" ht="28.5" customHeight="1" thickBot="1">
      <c r="A58" s="1633" t="s">
        <v>1824</v>
      </c>
      <c r="B58" s="783" t="s">
        <v>656</v>
      </c>
      <c r="C58" s="53">
        <f ca="1">ROUND(IF(项目基本情况!B11="自然人",C47*F58,C59+C60+C61),1)</f>
        <v>3.5</v>
      </c>
      <c r="D58" s="2601" t="s">
        <v>657</v>
      </c>
      <c r="E58" s="2602" t="s">
        <v>690</v>
      </c>
      <c r="F58" s="809">
        <f ca="1">IF(项目基本情况!B11="企业","",IF(INDIRECT("'数据-取费表'!c"&amp;$G$1)="住宅",5%,IF(F48*F49*F50/12/(1+'数据-取费表'!C42)&gt;20000,12%,7%)))</f>
        <v>7.0000000000000007E-2</v>
      </c>
      <c r="I58" s="3115" t="s">
        <v>2357</v>
      </c>
      <c r="J58" s="3053" t="e">
        <f ca="1">IF(J55&lt;0.4,0.4,J55)</f>
        <v>#VALUE!</v>
      </c>
      <c r="K58" s="3077"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3" t="s">
        <v>660</v>
      </c>
      <c r="C59" s="53">
        <f ca="1">ROUND(C47*F59/1.05,1)</f>
        <v>0</v>
      </c>
      <c r="D59" s="2602" t="s">
        <v>1756</v>
      </c>
      <c r="E59" s="783" t="s">
        <v>1747</v>
      </c>
      <c r="F59" s="808">
        <f t="shared" ref="F59:F65" si="0">F32</f>
        <v>6.1600000000000002E-2</v>
      </c>
      <c r="I59" s="3115" t="s">
        <v>2358</v>
      </c>
      <c r="J59" s="3116" t="str">
        <f ca="1">IF(OR(M47="住宅",J51&lt;L48,J56="是"),"——",ROUND(C29*J58,0))</f>
        <v>——</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7" t="s">
        <v>2359</v>
      </c>
      <c r="J60" s="3118" t="str">
        <f ca="1">IF(OR(M47="住宅",J51&lt;L48,J56="是"),"0",ROUND(J59/(1+J52)^J53,0))</f>
        <v>0</v>
      </c>
      <c r="K60" s="3119" t="s">
        <v>2364</v>
      </c>
      <c r="L60" s="3118">
        <f ca="1">IF(OR(M47="住宅",L48&lt;J51),0,ROUND(L57*(L58/L59-1),0))</f>
        <v>0</v>
      </c>
      <c r="O60" s="2364" t="s">
        <v>2382</v>
      </c>
      <c r="P60" s="2362" t="s">
        <v>2391</v>
      </c>
      <c r="Q60" s="2365">
        <f>L52</f>
        <v>0</v>
      </c>
      <c r="R60" s="2366"/>
    </row>
    <row r="61" spans="1:18" s="2043" customFormat="1" ht="18" customHeight="1" thickBot="1">
      <c r="A61" s="1635" t="s">
        <v>1833</v>
      </c>
      <c r="B61" s="340" t="s">
        <v>668</v>
      </c>
      <c r="C61" s="54">
        <f ca="1">ROUND(F61*F62/10000,1)</f>
        <v>3.5</v>
      </c>
      <c r="D61" s="813" t="s">
        <v>669</v>
      </c>
      <c r="E61" s="783" t="s">
        <v>670</v>
      </c>
      <c r="F61" s="639">
        <f t="shared" si="0"/>
        <v>1.5</v>
      </c>
      <c r="K61" s="2070"/>
      <c r="O61" s="2364" t="s">
        <v>2384</v>
      </c>
      <c r="P61" s="2362" t="s">
        <v>2392</v>
      </c>
      <c r="Q61" s="2363" t="e">
        <f ca="1">L58</f>
        <v>#DIV/0!</v>
      </c>
      <c r="R61" s="2366" t="s">
        <v>2393</v>
      </c>
    </row>
    <row r="62" spans="1:18" s="2043" customFormat="1" ht="16" thickBot="1">
      <c r="A62" s="814"/>
      <c r="B62" s="792"/>
      <c r="C62" s="69"/>
      <c r="D62" s="815"/>
      <c r="E62" s="783" t="s">
        <v>674</v>
      </c>
      <c r="F62" s="784">
        <f t="shared" ca="1" si="0"/>
        <v>23325.32</v>
      </c>
      <c r="I62" s="3120" t="s">
        <v>2365</v>
      </c>
      <c r="J62" s="3121" t="s">
        <v>2366</v>
      </c>
      <c r="K62" s="3121" t="s">
        <v>2367</v>
      </c>
      <c r="L62" s="3121" t="s">
        <v>2348</v>
      </c>
      <c r="M62" s="3122" t="s">
        <v>2940</v>
      </c>
      <c r="O62" s="2364" t="s">
        <v>2386</v>
      </c>
      <c r="P62" s="2362" t="str">
        <f>K59</f>
        <v>建筑物剩余耐用年限下的土地年期修正系数Kn</v>
      </c>
      <c r="Q62" s="2363" t="e">
        <f ca="1">L59</f>
        <v>#DIV/0!</v>
      </c>
      <c r="R62" s="2366" t="s">
        <v>2395</v>
      </c>
    </row>
    <row r="63" spans="1:18" s="2043" customFormat="1" ht="16" thickBot="1">
      <c r="A63" s="1633" t="s">
        <v>1889</v>
      </c>
      <c r="B63" s="783" t="s">
        <v>676</v>
      </c>
      <c r="C63" s="53">
        <f ca="1">ROUND(C56*F63,1)</f>
        <v>560.4</v>
      </c>
      <c r="D63" s="2602" t="s">
        <v>1803</v>
      </c>
      <c r="E63" s="783" t="s">
        <v>1747</v>
      </c>
      <c r="F63" s="816">
        <f t="shared" ca="1" si="0"/>
        <v>1.4999999999999999E-2</v>
      </c>
      <c r="I63" s="3120" t="s">
        <v>2368</v>
      </c>
      <c r="J63" s="3121">
        <v>70</v>
      </c>
      <c r="K63" s="3121">
        <v>50</v>
      </c>
      <c r="L63" s="3121">
        <v>80</v>
      </c>
      <c r="M63" s="3123">
        <v>0.02</v>
      </c>
      <c r="O63" s="2361" t="s">
        <v>2389</v>
      </c>
      <c r="P63" s="2362" t="s">
        <v>2406</v>
      </c>
      <c r="Q63" s="2363">
        <f ca="1">Q57+Q58</f>
        <v>186095</v>
      </c>
      <c r="R63" s="2366" t="s">
        <v>2390</v>
      </c>
    </row>
    <row r="64" spans="1:18" s="2043" customFormat="1" ht="16" thickBot="1">
      <c r="A64" s="1633" t="s">
        <v>1890</v>
      </c>
      <c r="B64" s="783" t="s">
        <v>679</v>
      </c>
      <c r="C64" s="53">
        <f ca="1">ROUND(C55*F64,1)</f>
        <v>56</v>
      </c>
      <c r="D64" s="2602" t="s">
        <v>680</v>
      </c>
      <c r="E64" s="783" t="s">
        <v>1747</v>
      </c>
      <c r="F64" s="817">
        <f t="shared" ca="1" si="0"/>
        <v>1.5E-3</v>
      </c>
      <c r="I64" s="3120" t="s">
        <v>2369</v>
      </c>
      <c r="J64" s="3121">
        <v>50</v>
      </c>
      <c r="K64" s="3121">
        <v>35</v>
      </c>
      <c r="L64" s="3121">
        <v>60</v>
      </c>
      <c r="M64" s="845">
        <v>0</v>
      </c>
      <c r="O64" s="2367" t="s">
        <v>2413</v>
      </c>
      <c r="P64" s="1577"/>
      <c r="Q64" s="1588"/>
      <c r="R64" s="1577"/>
    </row>
    <row r="65" spans="1:18" s="2043" customFormat="1" ht="16" thickBot="1">
      <c r="A65" s="1633" t="s">
        <v>1891</v>
      </c>
      <c r="B65" s="783" t="s">
        <v>666</v>
      </c>
      <c r="C65" s="53">
        <f ca="1">ROUND(C47*F65,1)</f>
        <v>0</v>
      </c>
      <c r="D65" s="2602" t="s">
        <v>683</v>
      </c>
      <c r="E65" s="783" t="s">
        <v>1747</v>
      </c>
      <c r="F65" s="793">
        <f t="shared" ca="1" si="0"/>
        <v>0.01</v>
      </c>
      <c r="I65" s="3120" t="s">
        <v>2370</v>
      </c>
      <c r="J65" s="3121">
        <v>40</v>
      </c>
      <c r="K65" s="3121">
        <v>30</v>
      </c>
      <c r="L65" s="3121">
        <v>50</v>
      </c>
      <c r="M65" s="3123">
        <v>0.02</v>
      </c>
      <c r="O65" s="2358" t="s">
        <v>2373</v>
      </c>
      <c r="P65" s="2359" t="s">
        <v>2374</v>
      </c>
      <c r="Q65" s="2360" t="s">
        <v>2375</v>
      </c>
      <c r="R65" s="2359" t="s">
        <v>2376</v>
      </c>
    </row>
    <row r="66" spans="1:18" s="2043" customFormat="1" ht="26.5" thickBot="1">
      <c r="A66" s="796" t="s">
        <v>1776</v>
      </c>
      <c r="B66" s="2962" t="s">
        <v>2818</v>
      </c>
      <c r="C66" s="798">
        <f ca="1">C47-C57</f>
        <v>-620</v>
      </c>
      <c r="D66" s="2601" t="s">
        <v>700</v>
      </c>
      <c r="E66" s="2600"/>
      <c r="F66" s="819"/>
      <c r="K66" s="2070"/>
      <c r="O66" s="2361" t="s">
        <v>2377</v>
      </c>
      <c r="P66" s="2362" t="s">
        <v>2407</v>
      </c>
      <c r="Q66" s="2363">
        <f ca="1">C40+J29</f>
        <v>186095</v>
      </c>
      <c r="R66" s="2362" t="s">
        <v>2378</v>
      </c>
    </row>
    <row r="67" spans="1:18" s="2043" customFormat="1" ht="17" thickBot="1">
      <c r="A67" s="780" t="s">
        <v>1780</v>
      </c>
      <c r="B67" s="2216" t="s">
        <v>2299</v>
      </c>
      <c r="C67" s="782">
        <f ca="1">ROUND(C66*(1-((1+F69)/(1+F67))^F68)/(F67-F69),0)</f>
        <v>-8646</v>
      </c>
      <c r="D67" s="813" t="s">
        <v>704</v>
      </c>
      <c r="E67" s="783" t="s">
        <v>705</v>
      </c>
      <c r="F67" s="793">
        <f ca="1">F40</f>
        <v>0.06</v>
      </c>
      <c r="K67" s="2070"/>
      <c r="O67" s="2361" t="s">
        <v>2379</v>
      </c>
      <c r="P67" s="2362" t="s">
        <v>2410</v>
      </c>
      <c r="Q67" s="2363">
        <f ca="1">L60</f>
        <v>0</v>
      </c>
      <c r="R67" s="2366" t="s">
        <v>2412</v>
      </c>
    </row>
    <row r="68" spans="1:18" ht="21" thickBot="1">
      <c r="A68" s="785"/>
      <c r="B68" s="786"/>
      <c r="C68" s="787"/>
      <c r="D68" s="820" t="s">
        <v>1808</v>
      </c>
      <c r="E68" s="783" t="s">
        <v>1784</v>
      </c>
      <c r="F68" s="821">
        <f ca="1">F41</f>
        <v>31.1</v>
      </c>
      <c r="O68" s="2364" t="s">
        <v>2381</v>
      </c>
      <c r="P68" s="2362" t="s">
        <v>2411</v>
      </c>
      <c r="Q68" s="2368">
        <f ca="1">L51</f>
        <v>92561</v>
      </c>
      <c r="R68" s="2369" t="s">
        <v>2414</v>
      </c>
    </row>
    <row r="69" spans="1:18" ht="17" thickBot="1">
      <c r="A69" s="789"/>
      <c r="B69" s="790"/>
      <c r="C69" s="791"/>
      <c r="D69" s="815"/>
      <c r="E69" s="783" t="s">
        <v>710</v>
      </c>
      <c r="F69" s="2334"/>
      <c r="O69" s="2364" t="s">
        <v>2382</v>
      </c>
      <c r="P69" s="2370" t="s">
        <v>2396</v>
      </c>
      <c r="Q69" s="2363">
        <f ca="1">ROUND(Q70-Q71*Q72,0)</f>
        <v>6279</v>
      </c>
      <c r="R69" s="2366"/>
    </row>
    <row r="70" spans="1:18" ht="16" thickBot="1">
      <c r="A70" s="822" t="s">
        <v>1787</v>
      </c>
      <c r="B70" s="823" t="s">
        <v>1810</v>
      </c>
      <c r="C70" s="824">
        <f ca="1">ROUND(C67*10000/F70,0)</f>
        <v>-1963</v>
      </c>
      <c r="D70" s="825" t="s">
        <v>1811</v>
      </c>
      <c r="E70" s="826" t="s">
        <v>1812</v>
      </c>
      <c r="F70" s="827">
        <f ca="1">F43</f>
        <v>44048.69</v>
      </c>
      <c r="O70" s="2364" t="s">
        <v>2397</v>
      </c>
      <c r="P70" s="2370" t="s">
        <v>2398</v>
      </c>
      <c r="Q70" s="2363">
        <f ca="1">C39</f>
        <v>9454</v>
      </c>
      <c r="R70" s="2362" t="s">
        <v>2378</v>
      </c>
    </row>
    <row r="71" spans="1:18" ht="16" thickBot="1">
      <c r="O71" s="2364" t="s">
        <v>2399</v>
      </c>
      <c r="P71" s="2370" t="s">
        <v>2400</v>
      </c>
      <c r="Q71" s="2363">
        <f ca="1">C13</f>
        <v>37358</v>
      </c>
      <c r="R71" s="2362" t="s">
        <v>2378</v>
      </c>
    </row>
    <row r="72" spans="1:18" ht="16" thickBot="1">
      <c r="O72" s="2364" t="s">
        <v>2401</v>
      </c>
      <c r="P72" s="2370" t="s">
        <v>2402</v>
      </c>
      <c r="Q72" s="2365">
        <f ca="1">J36</f>
        <v>8.5000000000000006E-2</v>
      </c>
      <c r="R72" s="2366"/>
    </row>
    <row r="73" spans="1:18" ht="16" thickBot="1">
      <c r="O73" s="2364" t="s">
        <v>2384</v>
      </c>
      <c r="P73" s="2362" t="s">
        <v>2391</v>
      </c>
      <c r="Q73" s="2365">
        <f>L52</f>
        <v>0</v>
      </c>
      <c r="R73" s="2366"/>
    </row>
    <row r="74" spans="1:18" ht="17" thickBot="1">
      <c r="O74" s="2364" t="s">
        <v>2386</v>
      </c>
      <c r="P74" s="2362" t="s">
        <v>2392</v>
      </c>
      <c r="Q74" s="2363" t="e">
        <f ca="1">L58</f>
        <v>#DIV/0!</v>
      </c>
      <c r="R74" s="2366" t="s">
        <v>2393</v>
      </c>
    </row>
    <row r="75" spans="1:18" ht="16" thickBot="1">
      <c r="O75" s="2364" t="s">
        <v>2415</v>
      </c>
      <c r="P75" s="2362" t="str">
        <f>K59</f>
        <v>建筑物剩余耐用年限下的土地年期修正系数Kn</v>
      </c>
      <c r="Q75" s="2363" t="e">
        <f ca="1">L59</f>
        <v>#DIV/0!</v>
      </c>
      <c r="R75" s="2366" t="s">
        <v>2395</v>
      </c>
    </row>
    <row r="76" spans="1:18" ht="16" thickBot="1">
      <c r="O76" s="2361" t="s">
        <v>2389</v>
      </c>
      <c r="P76" s="2362" t="s">
        <v>2406</v>
      </c>
      <c r="Q76" s="2363">
        <f ca="1">Q66+Q67</f>
        <v>186095</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I47" sqref="I47"/>
    </sheetView>
  </sheetViews>
  <sheetFormatPr defaultRowHeight="14"/>
  <cols>
    <col min="1" max="1" width="10.453125" customWidth="1"/>
    <col min="2" max="2" width="12.90625" customWidth="1"/>
    <col min="3" max="3" width="8.81640625" customWidth="1"/>
  </cols>
  <sheetData>
    <row r="1" spans="1:9" ht="15">
      <c r="A1" s="3469" t="s">
        <v>2469</v>
      </c>
      <c r="B1" s="3470"/>
      <c r="C1" s="3471"/>
      <c r="D1" s="3472">
        <f>SUM(I10,I15,I20,I21,I23)</f>
        <v>0</v>
      </c>
      <c r="E1" s="3472"/>
      <c r="F1" s="3472"/>
      <c r="G1" s="3472"/>
      <c r="H1" s="3472"/>
      <c r="I1" s="3473"/>
    </row>
    <row r="2" spans="1:9">
      <c r="A2" s="3474" t="s">
        <v>2470</v>
      </c>
      <c r="B2" s="3475" t="s">
        <v>2471</v>
      </c>
      <c r="C2" s="3475"/>
      <c r="D2" s="2470" t="s">
        <v>2472</v>
      </c>
      <c r="E2" s="2470" t="s">
        <v>2473</v>
      </c>
      <c r="F2" s="2470" t="s">
        <v>2474</v>
      </c>
      <c r="G2" s="2470" t="s">
        <v>2475</v>
      </c>
      <c r="H2" s="2470" t="s">
        <v>2476</v>
      </c>
      <c r="I2" s="2471" t="s">
        <v>2477</v>
      </c>
    </row>
    <row r="3" spans="1:9">
      <c r="A3" s="3474"/>
      <c r="B3" s="3475" t="s">
        <v>2478</v>
      </c>
      <c r="C3" s="3475"/>
      <c r="D3" s="2472"/>
      <c r="E3" s="2470"/>
      <c r="F3" s="2473"/>
      <c r="G3" s="2473"/>
      <c r="H3" s="2474"/>
      <c r="I3" s="2475">
        <f>ROUND(D3*E3*F3*G3*H3/10000,0)</f>
        <v>0</v>
      </c>
    </row>
    <row r="4" spans="1:9">
      <c r="A4" s="3474"/>
      <c r="B4" s="3475" t="s">
        <v>2479</v>
      </c>
      <c r="C4" s="3475"/>
      <c r="D4" s="2472"/>
      <c r="E4" s="2470"/>
      <c r="F4" s="2473"/>
      <c r="G4" s="2473"/>
      <c r="H4" s="2474"/>
      <c r="I4" s="2475">
        <f t="shared" ref="I4:I9" si="0">ROUND(D4*E4*F4*G4*H4/10000,0)</f>
        <v>0</v>
      </c>
    </row>
    <row r="5" spans="1:9">
      <c r="A5" s="3474"/>
      <c r="B5" s="3475" t="s">
        <v>2480</v>
      </c>
      <c r="C5" s="3475"/>
      <c r="D5" s="2472"/>
      <c r="E5" s="2470"/>
      <c r="F5" s="2473"/>
      <c r="G5" s="2473"/>
      <c r="H5" s="2474"/>
      <c r="I5" s="2475">
        <f t="shared" si="0"/>
        <v>0</v>
      </c>
    </row>
    <row r="6" spans="1:9">
      <c r="A6" s="3474"/>
      <c r="B6" s="3475" t="s">
        <v>2481</v>
      </c>
      <c r="C6" s="3475"/>
      <c r="D6" s="2472"/>
      <c r="E6" s="2470"/>
      <c r="F6" s="2473"/>
      <c r="G6" s="2473"/>
      <c r="H6" s="2474"/>
      <c r="I6" s="2475">
        <f t="shared" si="0"/>
        <v>0</v>
      </c>
    </row>
    <row r="7" spans="1:9">
      <c r="A7" s="3474"/>
      <c r="B7" s="3475" t="s">
        <v>2482</v>
      </c>
      <c r="C7" s="3475"/>
      <c r="D7" s="2472"/>
      <c r="E7" s="2470"/>
      <c r="F7" s="2473"/>
      <c r="G7" s="2473"/>
      <c r="H7" s="2474"/>
      <c r="I7" s="2475">
        <f t="shared" si="0"/>
        <v>0</v>
      </c>
    </row>
    <row r="8" spans="1:9">
      <c r="A8" s="3474"/>
      <c r="B8" s="3475" t="s">
        <v>2483</v>
      </c>
      <c r="C8" s="3475"/>
      <c r="D8" s="2472"/>
      <c r="E8" s="2470"/>
      <c r="F8" s="2473"/>
      <c r="G8" s="2473"/>
      <c r="H8" s="2474"/>
      <c r="I8" s="2475">
        <f t="shared" si="0"/>
        <v>0</v>
      </c>
    </row>
    <row r="9" spans="1:9">
      <c r="A9" s="3474"/>
      <c r="B9" s="3475" t="s">
        <v>2484</v>
      </c>
      <c r="C9" s="3475"/>
      <c r="D9" s="2472"/>
      <c r="E9" s="2470"/>
      <c r="F9" s="2473"/>
      <c r="G9" s="2473"/>
      <c r="H9" s="2474"/>
      <c r="I9" s="2475">
        <f t="shared" si="0"/>
        <v>0</v>
      </c>
    </row>
    <row r="10" spans="1:9">
      <c r="A10" s="3474"/>
      <c r="B10" s="3476" t="s">
        <v>2485</v>
      </c>
      <c r="C10" s="3476"/>
      <c r="D10" s="2476">
        <v>527</v>
      </c>
      <c r="E10" s="2476" t="e">
        <f>ROUND(D1*10000/D10/H9,0)</f>
        <v>#DIV/0!</v>
      </c>
      <c r="F10" s="2477"/>
      <c r="G10" s="2477"/>
      <c r="H10" s="2478"/>
      <c r="I10" s="2479">
        <f>SUM(I3:I9)</f>
        <v>0</v>
      </c>
    </row>
    <row r="11" spans="1:9" ht="15">
      <c r="A11" s="3474" t="s">
        <v>2486</v>
      </c>
      <c r="B11" s="3475" t="s">
        <v>2487</v>
      </c>
      <c r="C11" s="3475"/>
      <c r="D11" s="2472" t="s">
        <v>2488</v>
      </c>
      <c r="E11" s="2472" t="s">
        <v>2489</v>
      </c>
      <c r="F11" s="2473" t="s">
        <v>2490</v>
      </c>
      <c r="G11" s="2473" t="s">
        <v>2491</v>
      </c>
      <c r="H11" s="2480" t="s">
        <v>2492</v>
      </c>
      <c r="I11" s="2471" t="s">
        <v>2493</v>
      </c>
    </row>
    <row r="12" spans="1:9">
      <c r="A12" s="3474"/>
      <c r="B12" s="3475" t="s">
        <v>2494</v>
      </c>
      <c r="C12" s="3475"/>
      <c r="D12" s="2472"/>
      <c r="E12" s="2472"/>
      <c r="F12" s="2473"/>
      <c r="G12" s="2474"/>
      <c r="H12" s="2481"/>
      <c r="I12" s="2471">
        <f>ROUND(D12*E12*F12*G12/10000,0)</f>
        <v>0</v>
      </c>
    </row>
    <row r="13" spans="1:9">
      <c r="A13" s="3474"/>
      <c r="B13" s="3475" t="s">
        <v>2495</v>
      </c>
      <c r="C13" s="3475"/>
      <c r="D13" s="2472"/>
      <c r="E13" s="2472"/>
      <c r="F13" s="2473"/>
      <c r="G13" s="2474"/>
      <c r="H13" s="2481"/>
      <c r="I13" s="2471">
        <f>ROUND(D13*E13*F13*G13/10000,0)</f>
        <v>0</v>
      </c>
    </row>
    <row r="14" spans="1:9">
      <c r="A14" s="3474"/>
      <c r="B14" s="3475" t="s">
        <v>2496</v>
      </c>
      <c r="C14" s="3475"/>
      <c r="D14" s="2472"/>
      <c r="E14" s="2472"/>
      <c r="F14" s="2473"/>
      <c r="G14" s="2474"/>
      <c r="H14" s="2481"/>
      <c r="I14" s="2471">
        <f>ROUND(D14*E14*F14*G14/10000,0)</f>
        <v>0</v>
      </c>
    </row>
    <row r="15" spans="1:9">
      <c r="A15" s="3474"/>
      <c r="B15" s="3476" t="s">
        <v>2485</v>
      </c>
      <c r="C15" s="3476"/>
      <c r="D15" s="2476"/>
      <c r="E15" s="2476">
        <f>SUM(E12:E14)</f>
        <v>0</v>
      </c>
      <c r="F15" s="2477"/>
      <c r="G15" s="2474"/>
      <c r="H15" s="2481"/>
      <c r="I15" s="2482">
        <f>SUM(I12:I14)</f>
        <v>0</v>
      </c>
    </row>
    <row r="16" spans="1:9" ht="26">
      <c r="A16" s="3474" t="s">
        <v>2497</v>
      </c>
      <c r="B16" s="3475" t="s">
        <v>2498</v>
      </c>
      <c r="C16" s="3475"/>
      <c r="D16" s="2472" t="s">
        <v>2499</v>
      </c>
      <c r="E16" s="2483" t="s">
        <v>2500</v>
      </c>
      <c r="F16" s="2473" t="s">
        <v>2501</v>
      </c>
      <c r="G16" s="2474" t="s">
        <v>2491</v>
      </c>
      <c r="H16" s="2480" t="s">
        <v>2492</v>
      </c>
      <c r="I16" s="2471" t="s">
        <v>2493</v>
      </c>
    </row>
    <row r="17" spans="1:9" ht="15">
      <c r="A17" s="3474"/>
      <c r="B17" s="3475" t="s">
        <v>2502</v>
      </c>
      <c r="C17" s="3475"/>
      <c r="D17" s="2472"/>
      <c r="E17" s="2472"/>
      <c r="F17" s="2473"/>
      <c r="G17" s="2474"/>
      <c r="H17" s="2484"/>
      <c r="I17" s="2485">
        <f>ROUND(D17*E17*F17*G17/10000,0)</f>
        <v>0</v>
      </c>
    </row>
    <row r="18" spans="1:9" ht="15">
      <c r="A18" s="3474"/>
      <c r="B18" s="3475" t="s">
        <v>2503</v>
      </c>
      <c r="C18" s="3475"/>
      <c r="D18" s="2472"/>
      <c r="E18" s="2472"/>
      <c r="F18" s="2473"/>
      <c r="G18" s="2474"/>
      <c r="H18" s="2484"/>
      <c r="I18" s="2485">
        <f>ROUND(D18*E18*F18*G18/10000,0)</f>
        <v>0</v>
      </c>
    </row>
    <row r="19" spans="1:9" ht="15">
      <c r="A19" s="3474"/>
      <c r="B19" s="3475" t="s">
        <v>2504</v>
      </c>
      <c r="C19" s="3475"/>
      <c r="D19" s="2472"/>
      <c r="E19" s="2472"/>
      <c r="F19" s="2473"/>
      <c r="G19" s="2474"/>
      <c r="H19" s="2484"/>
      <c r="I19" s="2485">
        <f>ROUND(D19*E19*F19*G19/10000,0)</f>
        <v>0</v>
      </c>
    </row>
    <row r="20" spans="1:9">
      <c r="A20" s="3474"/>
      <c r="B20" s="3476" t="s">
        <v>2485</v>
      </c>
      <c r="C20" s="3476"/>
      <c r="D20" s="2476">
        <f>SUM(D17:D19)</f>
        <v>0</v>
      </c>
      <c r="E20" s="2476"/>
      <c r="F20" s="2477"/>
      <c r="G20" s="2474"/>
      <c r="H20" s="2481"/>
      <c r="I20" s="2482">
        <f>SUM(I17:I19)</f>
        <v>0</v>
      </c>
    </row>
    <row r="21" spans="1:9">
      <c r="A21" s="3474" t="s">
        <v>2505</v>
      </c>
      <c r="B21" s="3478"/>
      <c r="C21" s="3478"/>
      <c r="D21" s="3478"/>
      <c r="E21" s="3478"/>
      <c r="F21" s="3478"/>
      <c r="G21" s="3478"/>
      <c r="H21" s="2486">
        <v>0.1</v>
      </c>
      <c r="I21" s="2479">
        <f>ROUND(I10*H21,0)</f>
        <v>0</v>
      </c>
    </row>
    <row r="22" spans="1:9" ht="15">
      <c r="A22" s="3479" t="s">
        <v>2506</v>
      </c>
      <c r="B22" s="3480"/>
      <c r="C22" s="3481"/>
      <c r="D22" s="2487" t="s">
        <v>2507</v>
      </c>
      <c r="E22" s="2487" t="s">
        <v>2508</v>
      </c>
      <c r="F22" s="2488" t="s">
        <v>2509</v>
      </c>
      <c r="G22" s="2488" t="s">
        <v>2510</v>
      </c>
      <c r="H22" s="2480" t="s">
        <v>2511</v>
      </c>
      <c r="I22" s="2471" t="s">
        <v>2512</v>
      </c>
    </row>
    <row r="23" spans="1:9" ht="14.5" thickBot="1">
      <c r="A23" s="3482"/>
      <c r="B23" s="3483"/>
      <c r="C23" s="3484"/>
      <c r="D23" s="2489"/>
      <c r="E23" s="2489"/>
      <c r="F23" s="2489"/>
      <c r="G23" s="2490"/>
      <c r="H23" s="2491"/>
      <c r="I23" s="2492">
        <f>ROUND(E23*D23*F23*(1-G23)/10000,0)</f>
        <v>0</v>
      </c>
    </row>
    <row r="26" spans="1:9">
      <c r="A26" s="2493" t="s">
        <v>2513</v>
      </c>
      <c r="B26" s="2493"/>
      <c r="C26" s="2493"/>
      <c r="D26" s="2493"/>
      <c r="E26" s="3485">
        <f>C27-C30-C31-C32</f>
        <v>0</v>
      </c>
      <c r="F26" s="3485"/>
      <c r="G26" s="3485"/>
      <c r="H26" s="2994" t="s">
        <v>2839</v>
      </c>
    </row>
    <row r="27" spans="1:9">
      <c r="A27" s="2494">
        <v>1</v>
      </c>
      <c r="B27" s="2495" t="s">
        <v>2514</v>
      </c>
      <c r="C27" s="2495"/>
      <c r="D27" s="2495"/>
      <c r="E27" s="3486"/>
      <c r="F27" s="3486"/>
      <c r="G27" s="3486"/>
    </row>
    <row r="28" spans="1:9">
      <c r="A28" s="2496" t="s">
        <v>2515</v>
      </c>
      <c r="B28" s="2495" t="s">
        <v>2516</v>
      </c>
      <c r="C28" s="2495"/>
      <c r="D28" s="2495"/>
      <c r="E28" s="3486"/>
      <c r="F28" s="3486"/>
      <c r="G28" s="3486"/>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77"/>
      <c r="F32" s="3477"/>
      <c r="G32" s="3477"/>
    </row>
    <row r="33" spans="1:7" hidden="1">
      <c r="A33" s="3487" t="s">
        <v>2524</v>
      </c>
      <c r="B33" s="3488"/>
      <c r="C33" s="3488"/>
      <c r="D33" s="3489"/>
      <c r="E33" s="3485"/>
      <c r="F33" s="3485"/>
      <c r="G33" s="3485"/>
    </row>
    <row r="34" spans="1:7" hidden="1">
      <c r="A34" s="2498">
        <v>1</v>
      </c>
      <c r="B34" s="2495" t="s">
        <v>2525</v>
      </c>
      <c r="C34" s="2495"/>
      <c r="D34" s="2495"/>
      <c r="E34" s="3486"/>
      <c r="F34" s="3486"/>
      <c r="G34" s="3486"/>
    </row>
    <row r="35" spans="1:7" hidden="1">
      <c r="A35" s="2498">
        <v>2</v>
      </c>
      <c r="B35" s="2495" t="s">
        <v>2526</v>
      </c>
      <c r="C35" s="2495"/>
      <c r="D35" s="2495"/>
      <c r="E35" s="3486"/>
      <c r="F35" s="3486"/>
      <c r="G35" s="3486"/>
    </row>
    <row r="36" spans="1:7" hidden="1">
      <c r="A36" s="2498">
        <v>3</v>
      </c>
      <c r="B36" s="2495" t="s">
        <v>2527</v>
      </c>
      <c r="C36" s="2495"/>
      <c r="D36" s="2495"/>
      <c r="E36" s="3486"/>
      <c r="F36" s="3486"/>
      <c r="G36" s="3486"/>
    </row>
    <row r="37" spans="1:7" hidden="1">
      <c r="A37" s="2498">
        <v>4</v>
      </c>
      <c r="B37" s="2495" t="s">
        <v>2528</v>
      </c>
      <c r="C37" s="2495"/>
      <c r="D37" s="2495"/>
      <c r="E37" s="3486"/>
      <c r="F37" s="3486"/>
      <c r="G37" s="3486"/>
    </row>
    <row r="38" spans="1:7" hidden="1">
      <c r="A38" s="3487" t="s">
        <v>2529</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topLeftCell="A10" workbookViewId="0">
      <selection activeCell="I47" sqref="I47"/>
    </sheetView>
  </sheetViews>
  <sheetFormatPr defaultColWidth="8.36328125" defaultRowHeight="12.5"/>
  <cols>
    <col min="1" max="1" width="9.36328125" style="2169" customWidth="1"/>
    <col min="2" max="2" width="26.6328125" style="2170" customWidth="1"/>
    <col min="3" max="3" width="11.08984375" style="2170" customWidth="1"/>
    <col min="4" max="5" width="11.08984375" style="2171" customWidth="1"/>
    <col min="6" max="6" width="9.453125" style="2170" customWidth="1"/>
    <col min="7" max="7" width="31.90625" style="2170" customWidth="1"/>
    <col min="8" max="25" width="9" style="2172" customWidth="1"/>
    <col min="26" max="254" width="9" style="2170" customWidth="1"/>
    <col min="255" max="16384" width="8.36328125" style="2170"/>
  </cols>
  <sheetData>
    <row r="1" spans="1:25" s="2043" customFormat="1" ht="21">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2438</v>
      </c>
      <c r="B8" s="2435" t="s">
        <v>2440</v>
      </c>
      <c r="C8" s="2436"/>
      <c r="D8" s="748"/>
      <c r="E8" s="749"/>
      <c r="F8" s="749"/>
      <c r="G8" s="750"/>
    </row>
    <row r="9" spans="1:25" s="2167" customFormat="1" ht="13.5" customHeight="1">
      <c r="A9" s="2432" t="s">
        <v>2439</v>
      </c>
      <c r="B9" s="2435" t="s">
        <v>2441</v>
      </c>
      <c r="C9" s="2436"/>
      <c r="D9" s="748"/>
      <c r="E9" s="749"/>
      <c r="F9" s="749"/>
      <c r="G9" s="750"/>
    </row>
    <row r="10" spans="1:25" s="2167" customFormat="1" ht="39">
      <c r="A10" s="2432">
        <v>2</v>
      </c>
      <c r="B10" s="747" t="s">
        <v>613</v>
      </c>
      <c r="C10" s="748">
        <f>C11+C14+C15</f>
        <v>0</v>
      </c>
      <c r="D10" s="759">
        <f>'数据-汇总表'!E3</f>
        <v>189603.41999999995</v>
      </c>
      <c r="E10" s="748">
        <f>'数据-取费表'!B31</f>
        <v>200</v>
      </c>
      <c r="F10" s="760"/>
      <c r="G10" s="758" t="s">
        <v>614</v>
      </c>
    </row>
    <row r="11" spans="1:25" s="2167" customFormat="1" ht="13.5" customHeight="1">
      <c r="A11" s="2432" t="s">
        <v>2438</v>
      </c>
      <c r="B11" s="751" t="s">
        <v>610</v>
      </c>
      <c r="C11" s="752">
        <f>'数据-取费表'!B29</f>
        <v>0</v>
      </c>
      <c r="D11" s="753"/>
      <c r="E11" s="752"/>
      <c r="F11" s="754"/>
      <c r="G11" s="2441" t="s">
        <v>2449</v>
      </c>
    </row>
    <row r="12" spans="1:25" s="2167" customFormat="1" ht="13.5" customHeight="1">
      <c r="A12" s="2439" t="s">
        <v>2446</v>
      </c>
      <c r="B12" s="755" t="s">
        <v>611</v>
      </c>
      <c r="C12" s="756">
        <f>ROUND(D12*E12/10000,0)</f>
        <v>0</v>
      </c>
      <c r="D12" s="757">
        <f>'数据-汇总表'!E5</f>
        <v>0</v>
      </c>
      <c r="E12" s="756">
        <f>'数据-取费表'!B27</f>
        <v>160</v>
      </c>
      <c r="F12" s="754"/>
      <c r="G12" s="758"/>
    </row>
    <row r="13" spans="1:25" s="2167" customFormat="1" ht="13.5" customHeight="1">
      <c r="A13" s="2439" t="s">
        <v>2445</v>
      </c>
      <c r="B13" s="755" t="s">
        <v>612</v>
      </c>
      <c r="C13" s="756">
        <f>ROUND(D13*E13/10000,0)</f>
        <v>3792</v>
      </c>
      <c r="D13" s="757">
        <f>'数据-汇总表'!E6</f>
        <v>189603.41999999995</v>
      </c>
      <c r="E13" s="756">
        <f>'数据-取费表'!B28</f>
        <v>200</v>
      </c>
      <c r="F13" s="754"/>
      <c r="G13" s="758"/>
    </row>
    <row r="14" spans="1:25" s="2167" customFormat="1" ht="13.5" customHeight="1">
      <c r="A14" s="2432" t="s">
        <v>2439</v>
      </c>
      <c r="B14" s="2438" t="s">
        <v>2442</v>
      </c>
      <c r="C14" s="2436"/>
      <c r="D14" s="757"/>
      <c r="E14" s="756"/>
      <c r="F14" s="2437"/>
      <c r="G14" s="2440" t="s">
        <v>2447</v>
      </c>
    </row>
    <row r="15" spans="1:25" s="2167" customFormat="1" ht="13.5" customHeight="1">
      <c r="A15" s="2432" t="s">
        <v>2444</v>
      </c>
      <c r="B15" s="2438" t="s">
        <v>2443</v>
      </c>
      <c r="C15" s="2436"/>
      <c r="D15" s="757"/>
      <c r="E15" s="756"/>
      <c r="F15" s="2437"/>
      <c r="G15" s="2440" t="s">
        <v>2448</v>
      </c>
    </row>
    <row r="16" spans="1:25" s="2168" customFormat="1" ht="52">
      <c r="A16" s="2432">
        <v>3</v>
      </c>
      <c r="B16" s="747" t="s">
        <v>615</v>
      </c>
      <c r="C16" s="2436"/>
      <c r="D16" s="759"/>
      <c r="E16" s="748"/>
      <c r="F16" s="760"/>
      <c r="G16" s="758"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0.21</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6.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ht="13">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0.84599999999999997</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
  <cols>
    <col min="1" max="1" width="10.453125" style="1332" customWidth="1"/>
    <col min="2" max="2" width="15.81640625" style="1332" customWidth="1"/>
    <col min="3" max="3" width="15.08984375" style="1332" customWidth="1"/>
    <col min="4" max="4" width="12.1796875" style="1332" customWidth="1"/>
    <col min="5" max="5" width="14.36328125" style="1332" customWidth="1"/>
    <col min="6" max="6" width="12.1796875" style="1332" customWidth="1"/>
    <col min="7" max="7" width="14.453125" style="1332" customWidth="1"/>
    <col min="8" max="8" width="12.1796875" style="1332" customWidth="1"/>
    <col min="9" max="9" width="14.453125" style="1332" customWidth="1"/>
    <col min="10" max="10" width="12.1796875" style="1332" customWidth="1"/>
    <col min="11" max="11" width="12.1796875" style="1338" customWidth="1"/>
    <col min="12" max="12" width="12.1796875" style="1339" customWidth="1"/>
    <col min="13" max="15" width="12.1796875" style="1332" customWidth="1"/>
    <col min="16" max="16" width="4.81640625" style="1332" customWidth="1"/>
    <col min="17" max="17" width="19.453125" style="1332" customWidth="1"/>
    <col min="18" max="22" width="6.08984375" style="1332" customWidth="1"/>
    <col min="23" max="23" width="5.81640625" style="1332" customWidth="1"/>
    <col min="24" max="24" width="4.1796875" style="1332" customWidth="1"/>
    <col min="25" max="25" width="3.453125" style="1332" customWidth="1"/>
    <col min="26" max="26" width="19.81640625" style="1332" customWidth="1"/>
    <col min="27" max="28" width="9.36328125" style="1332" customWidth="1"/>
    <col min="29" max="16384" width="9" style="1332"/>
  </cols>
  <sheetData>
    <row r="1" spans="1:29" s="1331" customFormat="1" ht="28.5" customHeight="1">
      <c r="A1" s="501" t="s">
        <v>718</v>
      </c>
      <c r="B1" s="2586" t="s">
        <v>719</v>
      </c>
      <c r="C1" s="2587" t="s">
        <v>720</v>
      </c>
      <c r="D1" s="2588"/>
      <c r="E1" s="2589"/>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c r="A4" s="511" t="s">
        <v>521</v>
      </c>
      <c r="B4" s="512"/>
      <c r="C4" s="3380" t="s">
        <v>522</v>
      </c>
      <c r="D4" s="3381"/>
      <c r="E4" s="3414" t="s">
        <v>523</v>
      </c>
      <c r="F4" s="3415"/>
      <c r="G4" s="3380" t="s">
        <v>524</v>
      </c>
      <c r="H4" s="3381"/>
      <c r="I4" s="3380" t="s">
        <v>525</v>
      </c>
      <c r="J4" s="3381"/>
      <c r="K4" s="852" t="s">
        <v>526</v>
      </c>
      <c r="L4" s="2117"/>
      <c r="M4" s="2118"/>
      <c r="N4" s="2118"/>
      <c r="O4" s="2118"/>
      <c r="P4" s="3382" t="s">
        <v>527</v>
      </c>
      <c r="Q4" s="3383"/>
      <c r="R4" s="3388" t="s">
        <v>523</v>
      </c>
      <c r="S4" s="3389"/>
      <c r="T4" s="3388" t="s">
        <v>524</v>
      </c>
      <c r="U4" s="3389"/>
      <c r="V4" s="3375" t="s">
        <v>525</v>
      </c>
      <c r="W4" s="3375"/>
      <c r="X4" s="1552"/>
      <c r="Y4" s="3388" t="s">
        <v>527</v>
      </c>
      <c r="Z4" s="3389"/>
      <c r="AA4" s="3377" t="s">
        <v>523</v>
      </c>
      <c r="AB4" s="3377" t="s">
        <v>524</v>
      </c>
      <c r="AC4" s="3377" t="s">
        <v>525</v>
      </c>
    </row>
    <row r="5" spans="1:29">
      <c r="A5" s="514"/>
      <c r="B5" s="515"/>
      <c r="C5" s="3396" t="s">
        <v>2927</v>
      </c>
      <c r="D5" s="3397"/>
      <c r="E5" s="3416" t="s">
        <v>2928</v>
      </c>
      <c r="F5" s="3417"/>
      <c r="G5" s="3396" t="s">
        <v>2929</v>
      </c>
      <c r="H5" s="3397"/>
      <c r="I5" s="3396" t="s">
        <v>2930</v>
      </c>
      <c r="J5" s="3397"/>
      <c r="K5" s="853"/>
      <c r="L5" s="2117"/>
      <c r="M5" s="2118"/>
      <c r="N5" s="2118"/>
      <c r="O5" s="2118"/>
      <c r="P5" s="3384"/>
      <c r="Q5" s="3385"/>
      <c r="R5" s="3390"/>
      <c r="S5" s="3391"/>
      <c r="T5" s="3390"/>
      <c r="U5" s="3391"/>
      <c r="V5" s="3375"/>
      <c r="W5" s="3375"/>
      <c r="X5" s="1552"/>
      <c r="Y5" s="3390"/>
      <c r="Z5" s="3391"/>
      <c r="AA5" s="3378"/>
      <c r="AB5" s="3378"/>
      <c r="AC5" s="3378"/>
    </row>
    <row r="6" spans="1:29" ht="15" thickBot="1">
      <c r="A6" s="516"/>
      <c r="B6" s="517"/>
      <c r="C6" s="3394" t="s">
        <v>2931</v>
      </c>
      <c r="D6" s="3395"/>
      <c r="E6" s="3412" t="s">
        <v>2931</v>
      </c>
      <c r="F6" s="3413"/>
      <c r="G6" s="3394" t="s">
        <v>2931</v>
      </c>
      <c r="H6" s="3395"/>
      <c r="I6" s="3394" t="s">
        <v>2931</v>
      </c>
      <c r="J6" s="3395"/>
      <c r="K6" s="853" t="s">
        <v>528</v>
      </c>
      <c r="L6" s="2117"/>
      <c r="M6" s="2118"/>
      <c r="N6" s="2118"/>
      <c r="O6" s="2118"/>
      <c r="P6" s="3386"/>
      <c r="Q6" s="3387"/>
      <c r="R6" s="3390"/>
      <c r="S6" s="3391"/>
      <c r="T6" s="3392"/>
      <c r="U6" s="3393"/>
      <c r="V6" s="3375"/>
      <c r="W6" s="3375"/>
      <c r="X6" s="1552"/>
      <c r="Y6" s="3392"/>
      <c r="Z6" s="3393"/>
      <c r="AA6" s="3379"/>
      <c r="AB6" s="3379"/>
      <c r="AC6" s="3379"/>
    </row>
    <row r="7" spans="1:29" s="1215" customFormat="1" ht="14.5" thickBot="1">
      <c r="A7" s="2866"/>
      <c r="B7" s="2873" t="s">
        <v>529</v>
      </c>
      <c r="C7" s="518">
        <f>'数据-取费表'!B2</f>
        <v>43873</v>
      </c>
      <c r="D7" s="519">
        <v>100</v>
      </c>
      <c r="E7" s="520"/>
      <c r="F7" s="521">
        <f>SUMIF(58:58,YEAR(E7)&amp;"-"&amp;MONTH(E7),59:59)</f>
        <v>0</v>
      </c>
      <c r="G7" s="522"/>
      <c r="H7" s="519">
        <f>SUMIF(58:58,YEAR(G7)&amp;"-"&amp;MONTH(G7),59:59)</f>
        <v>0</v>
      </c>
      <c r="I7" s="522"/>
      <c r="J7" s="519">
        <f>SUMIF(58:58,YEAR(I7)&amp;"-"&amp;MONTH(I7),59:59)</f>
        <v>0</v>
      </c>
      <c r="K7" s="854"/>
      <c r="L7" s="2119"/>
      <c r="M7" s="2120"/>
      <c r="N7" s="2120"/>
      <c r="O7" s="2120"/>
      <c r="P7" s="3405" t="s">
        <v>530</v>
      </c>
      <c r="Q7" s="3407"/>
      <c r="R7" s="1553" t="s">
        <v>13</v>
      </c>
      <c r="S7" s="1554">
        <f t="shared" ref="S7:S15" si="0">F7</f>
        <v>0</v>
      </c>
      <c r="T7" s="1553" t="s">
        <v>13</v>
      </c>
      <c r="U7" s="1554">
        <f t="shared" ref="U7:U15" si="1">H7</f>
        <v>0</v>
      </c>
      <c r="V7" s="1553" t="s">
        <v>13</v>
      </c>
      <c r="W7" s="1554">
        <f t="shared" ref="W7:W15" si="2">J7</f>
        <v>0</v>
      </c>
      <c r="X7" s="1555"/>
      <c r="Y7" s="3405" t="s">
        <v>530</v>
      </c>
      <c r="Z7" s="3406"/>
      <c r="AA7" s="1556" t="e">
        <f>D7/F7</f>
        <v>#DIV/0!</v>
      </c>
      <c r="AB7" s="1556" t="e">
        <f>D7/H7</f>
        <v>#DIV/0!</v>
      </c>
      <c r="AC7" s="1556" t="e">
        <f>D7/J7</f>
        <v>#DIV/0!</v>
      </c>
    </row>
    <row r="8" spans="1:29" s="1215" customFormat="1" ht="14.5" thickBot="1">
      <c r="A8" s="2867"/>
      <c r="B8" s="2874" t="s">
        <v>531</v>
      </c>
      <c r="C8" s="524" t="s">
        <v>576</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405" t="s">
        <v>533</v>
      </c>
      <c r="Q8" s="3406"/>
      <c r="R8" s="1553" t="s">
        <v>13</v>
      </c>
      <c r="S8" s="1554">
        <f t="shared" si="0"/>
        <v>0</v>
      </c>
      <c r="T8" s="1553" t="s">
        <v>13</v>
      </c>
      <c r="U8" s="1554">
        <f t="shared" si="1"/>
        <v>0</v>
      </c>
      <c r="V8" s="1553" t="s">
        <v>13</v>
      </c>
      <c r="W8" s="1554">
        <f t="shared" si="2"/>
        <v>0</v>
      </c>
      <c r="X8" s="1555"/>
      <c r="Y8" s="3405" t="s">
        <v>533</v>
      </c>
      <c r="Z8" s="3406"/>
      <c r="AA8" s="1556" t="e">
        <f t="shared" ref="AA8:AA46" si="3">D8/F8</f>
        <v>#DIV/0!</v>
      </c>
      <c r="AB8" s="1556" t="e">
        <f t="shared" ref="AB8:AB46" si="4">D8/H8</f>
        <v>#DIV/0!</v>
      </c>
      <c r="AC8" s="1556" t="e">
        <f t="shared" ref="AC8:AC46" si="5">D8/J8</f>
        <v>#DIV/0!</v>
      </c>
    </row>
    <row r="9" spans="1:29" s="1215" customFormat="1">
      <c r="A9" s="2868"/>
      <c r="B9" s="2875" t="s">
        <v>2753</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74" t="s">
        <v>535</v>
      </c>
      <c r="Q9" s="1146" t="str">
        <f t="shared" ref="Q9:Q15" si="6">B9</f>
        <v>用途</v>
      </c>
      <c r="R9" s="1553" t="s">
        <v>8</v>
      </c>
      <c r="S9" s="1554">
        <f t="shared" si="0"/>
        <v>100</v>
      </c>
      <c r="T9" s="1553" t="s">
        <v>8</v>
      </c>
      <c r="U9" s="1554">
        <f t="shared" si="1"/>
        <v>100</v>
      </c>
      <c r="V9" s="1553" t="s">
        <v>8</v>
      </c>
      <c r="W9" s="1554">
        <f t="shared" si="2"/>
        <v>100</v>
      </c>
      <c r="X9" s="1555"/>
      <c r="Y9" s="3320" t="s">
        <v>536</v>
      </c>
      <c r="Z9" s="1145" t="str">
        <f t="shared" ref="Z9:Z15" si="7">Q9</f>
        <v>用途</v>
      </c>
      <c r="AA9" s="1556">
        <f t="shared" si="3"/>
        <v>1</v>
      </c>
      <c r="AB9" s="1556">
        <f t="shared" si="4"/>
        <v>1</v>
      </c>
      <c r="AC9" s="1556">
        <f t="shared" si="5"/>
        <v>1</v>
      </c>
    </row>
    <row r="10" spans="1:29" s="1333" customFormat="1" ht="28">
      <c r="A10" s="2869"/>
      <c r="B10" s="2874" t="s">
        <v>2754</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74"/>
      <c r="Q10" s="1146" t="str">
        <f t="shared" si="6"/>
        <v>土地使用年限（年）</v>
      </c>
      <c r="R10" s="1553" t="s">
        <v>8</v>
      </c>
      <c r="S10" s="1554">
        <f t="shared" si="0"/>
        <v>100</v>
      </c>
      <c r="T10" s="1553" t="s">
        <v>8</v>
      </c>
      <c r="U10" s="1554">
        <f t="shared" si="1"/>
        <v>100</v>
      </c>
      <c r="V10" s="1553" t="s">
        <v>8</v>
      </c>
      <c r="W10" s="1554">
        <f t="shared" si="2"/>
        <v>100</v>
      </c>
      <c r="X10" s="1555"/>
      <c r="Y10" s="3320"/>
      <c r="Z10" s="1145" t="str">
        <f t="shared" si="7"/>
        <v>土地使用年限（年）</v>
      </c>
      <c r="AA10" s="1556">
        <f t="shared" si="3"/>
        <v>1</v>
      </c>
      <c r="AB10" s="1556">
        <f t="shared" si="4"/>
        <v>1</v>
      </c>
      <c r="AC10" s="1556">
        <f t="shared" si="5"/>
        <v>1</v>
      </c>
    </row>
    <row r="11" spans="1:29" ht="15.5">
      <c r="A11" s="2870"/>
      <c r="B11" s="2874"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74"/>
      <c r="Q11" s="1146" t="str">
        <f t="shared" si="6"/>
        <v>容积率</v>
      </c>
      <c r="R11" s="1553" t="s">
        <v>11</v>
      </c>
      <c r="S11" s="1554" t="e">
        <f t="shared" si="0"/>
        <v>#N/A</v>
      </c>
      <c r="T11" s="1553" t="s">
        <v>11</v>
      </c>
      <c r="U11" s="1554" t="e">
        <f t="shared" si="1"/>
        <v>#N/A</v>
      </c>
      <c r="V11" s="1553" t="s">
        <v>11</v>
      </c>
      <c r="W11" s="1554" t="e">
        <f t="shared" si="2"/>
        <v>#N/A</v>
      </c>
      <c r="X11" s="1555"/>
      <c r="Y11" s="3320"/>
      <c r="Z11" s="1145" t="str">
        <f t="shared" si="7"/>
        <v>容积率</v>
      </c>
      <c r="AA11" s="1556" t="e">
        <f t="shared" si="3"/>
        <v>#N/A</v>
      </c>
      <c r="AB11" s="1556" t="e">
        <f t="shared" si="4"/>
        <v>#N/A</v>
      </c>
      <c r="AC11" s="1556" t="e">
        <f t="shared" si="5"/>
        <v>#N/A</v>
      </c>
    </row>
    <row r="12" spans="1:29" s="1215" customFormat="1" ht="15.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74"/>
      <c r="Q12" s="1146">
        <f t="shared" si="6"/>
        <v>111</v>
      </c>
      <c r="R12" s="1553" t="s">
        <v>11</v>
      </c>
      <c r="S12" s="1554">
        <f t="shared" si="0"/>
        <v>100</v>
      </c>
      <c r="T12" s="1553" t="s">
        <v>11</v>
      </c>
      <c r="U12" s="1554">
        <f t="shared" si="1"/>
        <v>100</v>
      </c>
      <c r="V12" s="1553" t="s">
        <v>11</v>
      </c>
      <c r="W12" s="1554">
        <f t="shared" si="2"/>
        <v>100</v>
      </c>
      <c r="X12" s="1555"/>
      <c r="Y12" s="3320"/>
      <c r="Z12" s="1145">
        <f t="shared" si="7"/>
        <v>111</v>
      </c>
      <c r="AA12" s="1556">
        <f>D12/F12</f>
        <v>1</v>
      </c>
      <c r="AB12" s="1556">
        <f>D12/H12</f>
        <v>1</v>
      </c>
      <c r="AC12" s="1556">
        <f>D12/J12</f>
        <v>1</v>
      </c>
    </row>
    <row r="13" spans="1:29" ht="15.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74"/>
      <c r="Q13" s="1146">
        <f t="shared" si="6"/>
        <v>111</v>
      </c>
      <c r="R13" s="1553" t="s">
        <v>11</v>
      </c>
      <c r="S13" s="1554">
        <f t="shared" si="0"/>
        <v>100</v>
      </c>
      <c r="T13" s="1553" t="s">
        <v>11</v>
      </c>
      <c r="U13" s="1554">
        <f t="shared" si="1"/>
        <v>100</v>
      </c>
      <c r="V13" s="1553" t="s">
        <v>11</v>
      </c>
      <c r="W13" s="1554">
        <f t="shared" si="2"/>
        <v>100</v>
      </c>
      <c r="X13" s="1555"/>
      <c r="Y13" s="3320"/>
      <c r="Z13" s="1145">
        <f t="shared" si="7"/>
        <v>111</v>
      </c>
      <c r="AA13" s="1556">
        <f t="shared" si="3"/>
        <v>1</v>
      </c>
      <c r="AB13" s="1556">
        <f t="shared" si="4"/>
        <v>1</v>
      </c>
      <c r="AC13" s="1556">
        <f t="shared" si="5"/>
        <v>1</v>
      </c>
    </row>
    <row r="14" spans="1:29" ht="16"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74"/>
      <c r="Q14" s="1146">
        <f t="shared" si="6"/>
        <v>111</v>
      </c>
      <c r="R14" s="1553" t="s">
        <v>11</v>
      </c>
      <c r="S14" s="1554">
        <f t="shared" si="0"/>
        <v>100</v>
      </c>
      <c r="T14" s="1553" t="s">
        <v>11</v>
      </c>
      <c r="U14" s="1554">
        <f t="shared" si="1"/>
        <v>100</v>
      </c>
      <c r="V14" s="1553" t="s">
        <v>11</v>
      </c>
      <c r="W14" s="1554">
        <f t="shared" si="2"/>
        <v>100</v>
      </c>
      <c r="X14" s="1555"/>
      <c r="Y14" s="3320"/>
      <c r="Z14" s="1145">
        <f t="shared" si="7"/>
        <v>111</v>
      </c>
      <c r="AA14" s="1556">
        <f t="shared" si="3"/>
        <v>1</v>
      </c>
      <c r="AB14" s="1556">
        <f t="shared" si="4"/>
        <v>1</v>
      </c>
      <c r="AC14" s="1556">
        <f t="shared" si="5"/>
        <v>1</v>
      </c>
    </row>
    <row r="15" spans="1:29" ht="98">
      <c r="A15" s="2864"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408" t="s">
        <v>540</v>
      </c>
      <c r="Q15" s="1557" t="str">
        <f t="shared" si="6"/>
        <v>居住社区成熟度</v>
      </c>
      <c r="R15" s="1558" t="s">
        <v>11</v>
      </c>
      <c r="S15" s="1559">
        <f t="shared" si="0"/>
        <v>100</v>
      </c>
      <c r="T15" s="1558" t="s">
        <v>11</v>
      </c>
      <c r="U15" s="1559">
        <f t="shared" si="1"/>
        <v>100</v>
      </c>
      <c r="V15" s="1558" t="s">
        <v>11</v>
      </c>
      <c r="W15" s="1559">
        <f t="shared" si="2"/>
        <v>100</v>
      </c>
      <c r="X15" s="1552"/>
      <c r="Y15" s="3408" t="s">
        <v>540</v>
      </c>
      <c r="Z15" s="1560" t="str">
        <f t="shared" si="7"/>
        <v>居住社区成熟度</v>
      </c>
      <c r="AA15" s="1561">
        <f t="shared" si="3"/>
        <v>1</v>
      </c>
      <c r="AB15" s="1561">
        <f t="shared" si="4"/>
        <v>1</v>
      </c>
      <c r="AC15" s="1561">
        <f t="shared" si="5"/>
        <v>1</v>
      </c>
    </row>
    <row r="16" spans="1:29" ht="15.5">
      <c r="A16" s="531"/>
      <c r="B16" s="868"/>
      <c r="C16" s="575"/>
      <c r="D16" s="554"/>
      <c r="E16" s="555"/>
      <c r="F16" s="556"/>
      <c r="G16" s="557"/>
      <c r="H16" s="558"/>
      <c r="I16" s="555"/>
      <c r="J16" s="554"/>
      <c r="K16" s="869"/>
      <c r="L16" s="2126"/>
      <c r="M16" s="2118"/>
      <c r="N16" s="2118"/>
      <c r="O16" s="2125"/>
      <c r="P16" s="3409"/>
      <c r="Q16" s="1557"/>
      <c r="R16" s="1558"/>
      <c r="S16" s="1559"/>
      <c r="T16" s="1558"/>
      <c r="U16" s="1559"/>
      <c r="V16" s="1558"/>
      <c r="W16" s="1559"/>
      <c r="X16" s="1552"/>
      <c r="Y16" s="3409"/>
      <c r="Z16" s="1560"/>
      <c r="AA16" s="1561">
        <v>1</v>
      </c>
      <c r="AB16" s="1561">
        <v>1</v>
      </c>
      <c r="AC16" s="1561">
        <v>1</v>
      </c>
    </row>
    <row r="17" spans="1:29" ht="84">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409"/>
      <c r="Q17" s="1557" t="str">
        <f>B17</f>
        <v>交通便捷度</v>
      </c>
      <c r="R17" s="1558" t="s">
        <v>11</v>
      </c>
      <c r="S17" s="1559">
        <f>F17</f>
        <v>100</v>
      </c>
      <c r="T17" s="1558" t="s">
        <v>11</v>
      </c>
      <c r="U17" s="1559">
        <f>H17</f>
        <v>100</v>
      </c>
      <c r="V17" s="1558" t="s">
        <v>11</v>
      </c>
      <c r="W17" s="1559">
        <f>J17</f>
        <v>100</v>
      </c>
      <c r="X17" s="1552"/>
      <c r="Y17" s="3409"/>
      <c r="Z17" s="1560" t="str">
        <f>Q17</f>
        <v>交通便捷度</v>
      </c>
      <c r="AA17" s="1561">
        <f t="shared" si="3"/>
        <v>1</v>
      </c>
      <c r="AB17" s="1561">
        <f t="shared" si="4"/>
        <v>1</v>
      </c>
      <c r="AC17" s="1561">
        <f t="shared" si="5"/>
        <v>1</v>
      </c>
    </row>
    <row r="18" spans="1:29" ht="15.5">
      <c r="A18" s="531"/>
      <c r="B18" s="594"/>
      <c r="C18" s="872"/>
      <c r="D18" s="558"/>
      <c r="E18" s="567"/>
      <c r="F18" s="562"/>
      <c r="G18" s="568"/>
      <c r="H18" s="554"/>
      <c r="I18" s="567"/>
      <c r="J18" s="554"/>
      <c r="K18" s="869"/>
      <c r="L18" s="2126"/>
      <c r="M18" s="2118"/>
      <c r="N18" s="2118"/>
      <c r="O18" s="2125"/>
      <c r="P18" s="3409"/>
      <c r="Q18" s="1557"/>
      <c r="R18" s="1558"/>
      <c r="S18" s="1559"/>
      <c r="T18" s="1558"/>
      <c r="U18" s="1559"/>
      <c r="V18" s="1558"/>
      <c r="W18" s="1559"/>
      <c r="X18" s="1552"/>
      <c r="Y18" s="3409"/>
      <c r="Z18" s="1560"/>
      <c r="AA18" s="1561">
        <v>1</v>
      </c>
      <c r="AB18" s="1561">
        <v>1</v>
      </c>
      <c r="AC18" s="1561">
        <v>1</v>
      </c>
    </row>
    <row r="19" spans="1:29" ht="42">
      <c r="A19" s="531"/>
      <c r="B19" s="2563"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409"/>
      <c r="Q19" s="1557" t="str">
        <f>B19</f>
        <v>公共配套设施</v>
      </c>
      <c r="R19" s="1558" t="s">
        <v>11</v>
      </c>
      <c r="S19" s="1559">
        <f>F19</f>
        <v>100</v>
      </c>
      <c r="T19" s="1558" t="s">
        <v>11</v>
      </c>
      <c r="U19" s="1559">
        <f>H19</f>
        <v>100</v>
      </c>
      <c r="V19" s="1558" t="s">
        <v>11</v>
      </c>
      <c r="W19" s="1559">
        <f>J19</f>
        <v>100</v>
      </c>
      <c r="X19" s="1552"/>
      <c r="Y19" s="3409"/>
      <c r="Z19" s="1560" t="str">
        <f>Q19</f>
        <v>公共配套设施</v>
      </c>
      <c r="AA19" s="1561">
        <f t="shared" si="3"/>
        <v>1</v>
      </c>
      <c r="AB19" s="1561">
        <f t="shared" si="4"/>
        <v>1</v>
      </c>
      <c r="AC19" s="1561">
        <f t="shared" si="5"/>
        <v>1</v>
      </c>
    </row>
    <row r="20" spans="1:29" ht="15.5">
      <c r="A20" s="531"/>
      <c r="B20" s="594"/>
      <c r="C20" s="575"/>
      <c r="D20" s="554"/>
      <c r="E20" s="555"/>
      <c r="F20" s="556"/>
      <c r="G20" s="557"/>
      <c r="H20" s="554"/>
      <c r="I20" s="555"/>
      <c r="J20" s="554"/>
      <c r="K20" s="869"/>
      <c r="L20" s="2126"/>
      <c r="M20" s="2118"/>
      <c r="N20" s="2118"/>
      <c r="O20" s="2125"/>
      <c r="P20" s="3409"/>
      <c r="Q20" s="1557"/>
      <c r="R20" s="1558"/>
      <c r="S20" s="1559"/>
      <c r="T20" s="1558"/>
      <c r="U20" s="1559"/>
      <c r="V20" s="1558"/>
      <c r="W20" s="1559"/>
      <c r="X20" s="1552"/>
      <c r="Y20" s="3409"/>
      <c r="Z20" s="1560"/>
      <c r="AA20" s="1561">
        <v>1</v>
      </c>
      <c r="AB20" s="1561">
        <v>1</v>
      </c>
      <c r="AC20" s="1561">
        <v>1</v>
      </c>
    </row>
    <row r="21" spans="1:29" ht="28">
      <c r="A21" s="531"/>
      <c r="B21" s="2556"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409"/>
      <c r="Q21" s="2542" t="str">
        <f>B21</f>
        <v>基础设施水平</v>
      </c>
      <c r="R21" s="1558" t="s">
        <v>11</v>
      </c>
      <c r="S21" s="1559">
        <f>F21</f>
        <v>100</v>
      </c>
      <c r="T21" s="1558" t="s">
        <v>11</v>
      </c>
      <c r="U21" s="1559">
        <f>H21</f>
        <v>100</v>
      </c>
      <c r="V21" s="1558" t="s">
        <v>11</v>
      </c>
      <c r="W21" s="1559">
        <f>J21</f>
        <v>100</v>
      </c>
      <c r="X21" s="2544"/>
      <c r="Y21" s="3409"/>
      <c r="Z21" s="2543" t="str">
        <f>Q21</f>
        <v>基础设施水平</v>
      </c>
      <c r="AA21" s="1561">
        <f t="shared" ref="AA21" si="8">D21/F21</f>
        <v>1</v>
      </c>
      <c r="AB21" s="1561">
        <f t="shared" ref="AB21" si="9">D21/H21</f>
        <v>1</v>
      </c>
      <c r="AC21" s="1561">
        <f t="shared" ref="AC21" si="10">D21/J21</f>
        <v>1</v>
      </c>
    </row>
    <row r="22" spans="1:29" ht="15.5">
      <c r="A22" s="531"/>
      <c r="B22" s="921"/>
      <c r="C22" s="872"/>
      <c r="D22" s="554"/>
      <c r="E22" s="575"/>
      <c r="F22" s="556"/>
      <c r="G22" s="575"/>
      <c r="H22" s="554"/>
      <c r="I22" s="575"/>
      <c r="J22" s="554"/>
      <c r="K22" s="2562"/>
      <c r="L22" s="2126"/>
      <c r="M22" s="2118"/>
      <c r="N22" s="2118"/>
      <c r="O22" s="2125"/>
      <c r="P22" s="3409"/>
      <c r="Q22" s="2542"/>
      <c r="R22" s="1558"/>
      <c r="S22" s="1559"/>
      <c r="T22" s="1558"/>
      <c r="U22" s="1559"/>
      <c r="V22" s="1558"/>
      <c r="W22" s="1559"/>
      <c r="X22" s="2544"/>
      <c r="Y22" s="3409"/>
      <c r="Z22" s="2543"/>
      <c r="AA22" s="1561">
        <v>1</v>
      </c>
      <c r="AB22" s="1561">
        <v>1</v>
      </c>
      <c r="AC22" s="1561">
        <v>1</v>
      </c>
    </row>
    <row r="23" spans="1:29" ht="56">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409"/>
      <c r="Q23" s="1557" t="str">
        <f>B23</f>
        <v>自然及人文环境</v>
      </c>
      <c r="R23" s="1558" t="s">
        <v>11</v>
      </c>
      <c r="S23" s="1559">
        <f>F23</f>
        <v>100</v>
      </c>
      <c r="T23" s="1558" t="s">
        <v>11</v>
      </c>
      <c r="U23" s="1559">
        <f>H23</f>
        <v>100</v>
      </c>
      <c r="V23" s="1558" t="s">
        <v>11</v>
      </c>
      <c r="W23" s="1559">
        <f>J23</f>
        <v>100</v>
      </c>
      <c r="X23" s="1552"/>
      <c r="Y23" s="3409"/>
      <c r="Z23" s="1560" t="str">
        <f>Q23</f>
        <v>自然及人文环境</v>
      </c>
      <c r="AA23" s="1561">
        <f t="shared" si="3"/>
        <v>1</v>
      </c>
      <c r="AB23" s="1561">
        <f t="shared" si="4"/>
        <v>1</v>
      </c>
      <c r="AC23" s="1561">
        <f t="shared" si="5"/>
        <v>1</v>
      </c>
    </row>
    <row r="24" spans="1:29" ht="15.5">
      <c r="A24" s="531"/>
      <c r="B24" s="594"/>
      <c r="C24" s="575"/>
      <c r="D24" s="554"/>
      <c r="E24" s="555"/>
      <c r="F24" s="556"/>
      <c r="G24" s="557"/>
      <c r="H24" s="554"/>
      <c r="I24" s="555"/>
      <c r="J24" s="554"/>
      <c r="K24" s="869"/>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5.5">
      <c r="A25" s="531"/>
      <c r="B25" s="1879" t="s">
        <v>2254</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09"/>
      <c r="Q25" s="1557" t="str">
        <f t="shared" ref="Q25:Q46" si="11">B25</f>
        <v>楼层-1</v>
      </c>
      <c r="R25" s="1558" t="s">
        <v>11</v>
      </c>
      <c r="S25" s="1559">
        <f>F25</f>
        <v>100</v>
      </c>
      <c r="T25" s="1558" t="s">
        <v>11</v>
      </c>
      <c r="U25" s="1559">
        <f>H25</f>
        <v>100</v>
      </c>
      <c r="V25" s="1558" t="s">
        <v>11</v>
      </c>
      <c r="W25" s="1559">
        <f>J25</f>
        <v>100</v>
      </c>
      <c r="X25" s="1552"/>
      <c r="Y25" s="3409"/>
      <c r="Z25" s="1560" t="str">
        <f>Q25</f>
        <v>楼层-1</v>
      </c>
      <c r="AA25" s="1561">
        <f t="shared" si="3"/>
        <v>1</v>
      </c>
      <c r="AB25" s="1561">
        <f t="shared" si="4"/>
        <v>1</v>
      </c>
      <c r="AC25" s="1561">
        <f t="shared" si="5"/>
        <v>1</v>
      </c>
    </row>
    <row r="26" spans="1:29" ht="15.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409"/>
      <c r="Q26" s="1557" t="str">
        <f t="shared" si="11"/>
        <v>朝向</v>
      </c>
      <c r="R26" s="1558" t="s">
        <v>11</v>
      </c>
      <c r="S26" s="1559">
        <f>F26</f>
        <v>100</v>
      </c>
      <c r="T26" s="1558" t="s">
        <v>11</v>
      </c>
      <c r="U26" s="1559">
        <f>H26</f>
        <v>100</v>
      </c>
      <c r="V26" s="1558" t="s">
        <v>11</v>
      </c>
      <c r="W26" s="1559">
        <f>J26</f>
        <v>100</v>
      </c>
      <c r="X26" s="1552"/>
      <c r="Y26" s="3409"/>
      <c r="Z26" s="1560" t="str">
        <f>Q26</f>
        <v>朝向</v>
      </c>
      <c r="AA26" s="1561">
        <f t="shared" si="3"/>
        <v>1</v>
      </c>
      <c r="AB26" s="1561">
        <f t="shared" si="4"/>
        <v>1</v>
      </c>
      <c r="AC26" s="1561">
        <f t="shared" si="5"/>
        <v>1</v>
      </c>
    </row>
    <row r="27" spans="1:29" s="1215" customFormat="1" ht="15.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409"/>
      <c r="Q27" s="1146" t="str">
        <f t="shared" si="11"/>
        <v>道路级别</v>
      </c>
      <c r="R27" s="1553" t="s">
        <v>11</v>
      </c>
      <c r="S27" s="1554">
        <f>F27</f>
        <v>100</v>
      </c>
      <c r="T27" s="1553" t="s">
        <v>11</v>
      </c>
      <c r="U27" s="1554">
        <f>H27</f>
        <v>100</v>
      </c>
      <c r="V27" s="1553" t="s">
        <v>11</v>
      </c>
      <c r="W27" s="1554">
        <f>J27</f>
        <v>100</v>
      </c>
      <c r="X27" s="1555"/>
      <c r="Y27" s="3409"/>
      <c r="Z27" s="1145" t="str">
        <f>Q27</f>
        <v>道路级别</v>
      </c>
      <c r="AA27" s="1561">
        <f>D27/F27</f>
        <v>1</v>
      </c>
      <c r="AB27" s="1561">
        <f>D27/H27</f>
        <v>1</v>
      </c>
      <c r="AC27" s="1561">
        <f>D27/J27</f>
        <v>1</v>
      </c>
    </row>
    <row r="28" spans="1:29" ht="15.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09"/>
      <c r="Q28" s="1557">
        <f t="shared" si="11"/>
        <v>111</v>
      </c>
      <c r="R28" s="1558" t="s">
        <v>11</v>
      </c>
      <c r="S28" s="1559">
        <f t="shared" ref="S28:S46" si="12">F28</f>
        <v>100</v>
      </c>
      <c r="T28" s="1558" t="s">
        <v>11</v>
      </c>
      <c r="U28" s="1559">
        <f t="shared" ref="U28:U46" si="13">H28</f>
        <v>100</v>
      </c>
      <c r="V28" s="1558" t="s">
        <v>11</v>
      </c>
      <c r="W28" s="1559">
        <f t="shared" ref="W28:W46" si="14">J28</f>
        <v>100</v>
      </c>
      <c r="X28" s="1552"/>
      <c r="Y28" s="3409"/>
      <c r="Z28" s="1560">
        <f t="shared" ref="Z28:Z46" si="15">Q28</f>
        <v>111</v>
      </c>
      <c r="AA28" s="1561">
        <f t="shared" si="3"/>
        <v>1</v>
      </c>
      <c r="AB28" s="1561">
        <f t="shared" si="4"/>
        <v>1</v>
      </c>
      <c r="AC28" s="1561">
        <f t="shared" si="5"/>
        <v>1</v>
      </c>
    </row>
    <row r="29" spans="1:29" ht="15.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09"/>
      <c r="Q29" s="1557">
        <f t="shared" si="11"/>
        <v>111</v>
      </c>
      <c r="R29" s="1558" t="s">
        <v>11</v>
      </c>
      <c r="S29" s="1559">
        <f t="shared" si="12"/>
        <v>100</v>
      </c>
      <c r="T29" s="1558" t="s">
        <v>11</v>
      </c>
      <c r="U29" s="1559">
        <f t="shared" si="13"/>
        <v>100</v>
      </c>
      <c r="V29" s="1558" t="s">
        <v>11</v>
      </c>
      <c r="W29" s="1559">
        <f t="shared" si="14"/>
        <v>100</v>
      </c>
      <c r="X29" s="1552"/>
      <c r="Y29" s="3409"/>
      <c r="Z29" s="1560">
        <f t="shared" si="15"/>
        <v>111</v>
      </c>
      <c r="AA29" s="1561">
        <f t="shared" si="3"/>
        <v>1</v>
      </c>
      <c r="AB29" s="1561">
        <f t="shared" si="4"/>
        <v>1</v>
      </c>
      <c r="AC29" s="1561">
        <f t="shared" si="5"/>
        <v>1</v>
      </c>
    </row>
    <row r="30" spans="1:29" ht="15.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09"/>
      <c r="Q30" s="1557">
        <f t="shared" si="11"/>
        <v>111</v>
      </c>
      <c r="R30" s="1558" t="s">
        <v>11</v>
      </c>
      <c r="S30" s="1559">
        <f t="shared" si="12"/>
        <v>100</v>
      </c>
      <c r="T30" s="1558" t="s">
        <v>11</v>
      </c>
      <c r="U30" s="1559">
        <f t="shared" si="13"/>
        <v>100</v>
      </c>
      <c r="V30" s="1558" t="s">
        <v>11</v>
      </c>
      <c r="W30" s="1559">
        <f t="shared" si="14"/>
        <v>100</v>
      </c>
      <c r="X30" s="1552"/>
      <c r="Y30" s="3409"/>
      <c r="Z30" s="1560">
        <f t="shared" si="15"/>
        <v>111</v>
      </c>
      <c r="AA30" s="1561">
        <f t="shared" si="3"/>
        <v>1</v>
      </c>
      <c r="AB30" s="1561">
        <f t="shared" si="4"/>
        <v>1</v>
      </c>
      <c r="AC30" s="1561">
        <f t="shared" si="5"/>
        <v>1</v>
      </c>
    </row>
    <row r="31" spans="1:29" ht="1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09"/>
      <c r="Q31" s="1557">
        <f t="shared" si="11"/>
        <v>111</v>
      </c>
      <c r="R31" s="1558" t="s">
        <v>11</v>
      </c>
      <c r="S31" s="1559">
        <f t="shared" si="12"/>
        <v>100</v>
      </c>
      <c r="T31" s="1558" t="s">
        <v>11</v>
      </c>
      <c r="U31" s="1559">
        <f t="shared" si="13"/>
        <v>100</v>
      </c>
      <c r="V31" s="1558" t="s">
        <v>11</v>
      </c>
      <c r="W31" s="1559">
        <f t="shared" si="14"/>
        <v>100</v>
      </c>
      <c r="X31" s="1552"/>
      <c r="Y31" s="3409"/>
      <c r="Z31" s="1560">
        <f t="shared" si="15"/>
        <v>111</v>
      </c>
      <c r="AA31" s="1561">
        <f t="shared" si="3"/>
        <v>1</v>
      </c>
      <c r="AB31" s="1561">
        <f t="shared" si="4"/>
        <v>1</v>
      </c>
      <c r="AC31" s="1561">
        <f t="shared" si="5"/>
        <v>1</v>
      </c>
    </row>
    <row r="32" spans="1:29" ht="15.5">
      <c r="A32" s="2861" t="s">
        <v>2752</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410" t="s">
        <v>550</v>
      </c>
      <c r="Q32" s="1557" t="str">
        <f t="shared" si="11"/>
        <v>建筑类型</v>
      </c>
      <c r="R32" s="1558" t="s">
        <v>11</v>
      </c>
      <c r="S32" s="1559">
        <f t="shared" si="12"/>
        <v>100</v>
      </c>
      <c r="T32" s="1558" t="s">
        <v>11</v>
      </c>
      <c r="U32" s="1559">
        <f t="shared" si="13"/>
        <v>100</v>
      </c>
      <c r="V32" s="1558" t="s">
        <v>11</v>
      </c>
      <c r="W32" s="1559">
        <f t="shared" si="14"/>
        <v>100</v>
      </c>
      <c r="X32" s="1552"/>
      <c r="Y32" s="3411" t="s">
        <v>550</v>
      </c>
      <c r="Z32" s="1560" t="str">
        <f t="shared" si="15"/>
        <v>建筑类型</v>
      </c>
      <c r="AA32" s="1561">
        <f t="shared" si="3"/>
        <v>1</v>
      </c>
      <c r="AB32" s="1561">
        <f t="shared" si="4"/>
        <v>1</v>
      </c>
      <c r="AC32" s="1561">
        <f t="shared" si="5"/>
        <v>1</v>
      </c>
    </row>
    <row r="33" spans="1:29" s="1334" customFormat="1" ht="15.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411"/>
      <c r="Q33" s="1589" t="str">
        <f t="shared" si="11"/>
        <v>项目建筑规模</v>
      </c>
      <c r="R33" s="1562" t="s">
        <v>11</v>
      </c>
      <c r="S33" s="1563" t="e">
        <f t="shared" si="12"/>
        <v>#N/A</v>
      </c>
      <c r="T33" s="1562" t="s">
        <v>11</v>
      </c>
      <c r="U33" s="1563" t="e">
        <f t="shared" si="13"/>
        <v>#N/A</v>
      </c>
      <c r="V33" s="1562" t="s">
        <v>11</v>
      </c>
      <c r="W33" s="1563" t="e">
        <f t="shared" si="14"/>
        <v>#N/A</v>
      </c>
      <c r="X33" s="1564"/>
      <c r="Y33" s="3411"/>
      <c r="Z33" s="1565" t="str">
        <f t="shared" si="15"/>
        <v>项目建筑规模</v>
      </c>
      <c r="AA33" s="1561" t="e">
        <f t="shared" si="3"/>
        <v>#N/A</v>
      </c>
      <c r="AB33" s="1561" t="e">
        <f t="shared" si="4"/>
        <v>#N/A</v>
      </c>
      <c r="AC33" s="1561" t="e">
        <f t="shared" si="5"/>
        <v>#N/A</v>
      </c>
    </row>
    <row r="34" spans="1:29" ht="15.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411"/>
      <c r="Q34" s="1557" t="str">
        <f t="shared" si="11"/>
        <v>建筑结构</v>
      </c>
      <c r="R34" s="1558" t="s">
        <v>11</v>
      </c>
      <c r="S34" s="1559">
        <f t="shared" si="12"/>
        <v>100</v>
      </c>
      <c r="T34" s="1558" t="s">
        <v>11</v>
      </c>
      <c r="U34" s="1559">
        <f t="shared" si="13"/>
        <v>100</v>
      </c>
      <c r="V34" s="1558" t="s">
        <v>11</v>
      </c>
      <c r="W34" s="1559">
        <f t="shared" si="14"/>
        <v>100</v>
      </c>
      <c r="X34" s="1552"/>
      <c r="Y34" s="3411"/>
      <c r="Z34" s="1560" t="str">
        <f t="shared" si="15"/>
        <v>建筑结构</v>
      </c>
      <c r="AA34" s="1561">
        <f t="shared" si="3"/>
        <v>1</v>
      </c>
      <c r="AB34" s="1561">
        <f t="shared" si="4"/>
        <v>1</v>
      </c>
      <c r="AC34" s="1561">
        <f t="shared" si="5"/>
        <v>1</v>
      </c>
    </row>
    <row r="35" spans="1:29" ht="15.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411"/>
      <c r="Q35" s="1557" t="str">
        <f t="shared" si="11"/>
        <v>建筑品质</v>
      </c>
      <c r="R35" s="1558" t="s">
        <v>11</v>
      </c>
      <c r="S35" s="1559">
        <f t="shared" si="12"/>
        <v>100</v>
      </c>
      <c r="T35" s="1558" t="s">
        <v>11</v>
      </c>
      <c r="U35" s="1559">
        <f t="shared" si="13"/>
        <v>100</v>
      </c>
      <c r="V35" s="1558" t="s">
        <v>11</v>
      </c>
      <c r="W35" s="1559">
        <f t="shared" si="14"/>
        <v>100</v>
      </c>
      <c r="X35" s="1552"/>
      <c r="Y35" s="3411"/>
      <c r="Z35" s="1560" t="str">
        <f t="shared" si="15"/>
        <v>建筑品质</v>
      </c>
      <c r="AA35" s="1561">
        <f t="shared" si="3"/>
        <v>1</v>
      </c>
      <c r="AB35" s="1561">
        <f t="shared" si="4"/>
        <v>1</v>
      </c>
      <c r="AC35" s="1561">
        <f t="shared" si="5"/>
        <v>1</v>
      </c>
    </row>
    <row r="36" spans="1:29" ht="15.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11"/>
      <c r="Q36" s="1557" t="str">
        <f t="shared" si="11"/>
        <v>公共部分装修</v>
      </c>
      <c r="R36" s="1558" t="s">
        <v>11</v>
      </c>
      <c r="S36" s="1559">
        <f t="shared" si="12"/>
        <v>100</v>
      </c>
      <c r="T36" s="1558" t="s">
        <v>11</v>
      </c>
      <c r="U36" s="1559">
        <f t="shared" si="13"/>
        <v>100</v>
      </c>
      <c r="V36" s="1558" t="s">
        <v>11</v>
      </c>
      <c r="W36" s="1559">
        <f t="shared" si="14"/>
        <v>100</v>
      </c>
      <c r="X36" s="1552"/>
      <c r="Y36" s="3411"/>
      <c r="Z36" s="1560" t="str">
        <f t="shared" si="15"/>
        <v>公共部分装修</v>
      </c>
      <c r="AA36" s="1561">
        <f t="shared" si="3"/>
        <v>1</v>
      </c>
      <c r="AB36" s="1561">
        <f t="shared" si="4"/>
        <v>1</v>
      </c>
      <c r="AC36" s="1561">
        <f t="shared" si="5"/>
        <v>1</v>
      </c>
    </row>
    <row r="37" spans="1:29" s="1215" customFormat="1" ht="15.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411"/>
      <c r="Q37" s="1146" t="str">
        <f t="shared" si="11"/>
        <v>成新度</v>
      </c>
      <c r="R37" s="1553" t="s">
        <v>11</v>
      </c>
      <c r="S37" s="1554" t="e">
        <f t="shared" si="12"/>
        <v>#N/A</v>
      </c>
      <c r="T37" s="1553" t="s">
        <v>11</v>
      </c>
      <c r="U37" s="1554" t="e">
        <f t="shared" si="13"/>
        <v>#N/A</v>
      </c>
      <c r="V37" s="1553" t="s">
        <v>11</v>
      </c>
      <c r="W37" s="1554" t="e">
        <f t="shared" si="14"/>
        <v>#N/A</v>
      </c>
      <c r="X37" s="1555"/>
      <c r="Y37" s="3411"/>
      <c r="Z37" s="1145" t="str">
        <f t="shared" si="15"/>
        <v>成新度</v>
      </c>
      <c r="AA37" s="1556" t="e">
        <f t="shared" si="3"/>
        <v>#N/A</v>
      </c>
      <c r="AB37" s="1556" t="e">
        <f t="shared" si="4"/>
        <v>#N/A</v>
      </c>
      <c r="AC37" s="1556" t="e">
        <f t="shared" si="5"/>
        <v>#N/A</v>
      </c>
    </row>
    <row r="38" spans="1:29" ht="15.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11" t="s">
        <v>550</v>
      </c>
      <c r="Q38" s="1557" t="str">
        <f t="shared" si="11"/>
        <v>物业管理</v>
      </c>
      <c r="R38" s="1558" t="s">
        <v>11</v>
      </c>
      <c r="S38" s="1559">
        <f t="shared" si="12"/>
        <v>100</v>
      </c>
      <c r="T38" s="1558" t="s">
        <v>11</v>
      </c>
      <c r="U38" s="1559">
        <f t="shared" si="13"/>
        <v>100</v>
      </c>
      <c r="V38" s="1558" t="s">
        <v>11</v>
      </c>
      <c r="W38" s="1559">
        <f t="shared" si="14"/>
        <v>100</v>
      </c>
      <c r="X38" s="1552"/>
      <c r="Y38" s="3411" t="s">
        <v>550</v>
      </c>
      <c r="Z38" s="1560" t="str">
        <f t="shared" si="15"/>
        <v>物业管理</v>
      </c>
      <c r="AA38" s="1561">
        <f t="shared" si="3"/>
        <v>1</v>
      </c>
      <c r="AB38" s="1561">
        <f t="shared" si="4"/>
        <v>1</v>
      </c>
      <c r="AC38" s="1561">
        <f t="shared" si="5"/>
        <v>1</v>
      </c>
    </row>
    <row r="39" spans="1:29" ht="15.5">
      <c r="A39" s="593"/>
      <c r="B39" s="1879" t="s">
        <v>2562</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411"/>
      <c r="Q39" s="1557" t="str">
        <f t="shared" si="11"/>
        <v>市政基础设施</v>
      </c>
      <c r="R39" s="1558" t="s">
        <v>11</v>
      </c>
      <c r="S39" s="1559">
        <f t="shared" si="12"/>
        <v>100</v>
      </c>
      <c r="T39" s="1558" t="s">
        <v>11</v>
      </c>
      <c r="U39" s="1559">
        <f t="shared" si="13"/>
        <v>100</v>
      </c>
      <c r="V39" s="1558" t="s">
        <v>11</v>
      </c>
      <c r="W39" s="1559">
        <f t="shared" si="14"/>
        <v>100</v>
      </c>
      <c r="X39" s="1552"/>
      <c r="Y39" s="3411"/>
      <c r="Z39" s="1560" t="str">
        <f t="shared" si="15"/>
        <v>市政基础设施</v>
      </c>
      <c r="AA39" s="1561">
        <f t="shared" si="3"/>
        <v>1</v>
      </c>
      <c r="AB39" s="1561">
        <f t="shared" si="4"/>
        <v>1</v>
      </c>
      <c r="AC39" s="1561">
        <f t="shared" si="5"/>
        <v>1</v>
      </c>
    </row>
    <row r="40" spans="1:29" ht="15.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11"/>
      <c r="Q40" s="1557" t="str">
        <f t="shared" si="11"/>
        <v>房型</v>
      </c>
      <c r="R40" s="1558" t="s">
        <v>11</v>
      </c>
      <c r="S40" s="1559">
        <f t="shared" si="12"/>
        <v>100</v>
      </c>
      <c r="T40" s="1558" t="s">
        <v>11</v>
      </c>
      <c r="U40" s="1559">
        <f t="shared" si="13"/>
        <v>100</v>
      </c>
      <c r="V40" s="1558" t="s">
        <v>11</v>
      </c>
      <c r="W40" s="1559">
        <f t="shared" si="14"/>
        <v>100</v>
      </c>
      <c r="X40" s="1552"/>
      <c r="Y40" s="3411"/>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11"/>
      <c r="Q41" s="1589" t="str">
        <f t="shared" si="11"/>
        <v>单套/主力户型建筑面积</v>
      </c>
      <c r="R41" s="1562" t="s">
        <v>11</v>
      </c>
      <c r="S41" s="1563">
        <f t="shared" si="12"/>
        <v>100</v>
      </c>
      <c r="T41" s="1562" t="s">
        <v>11</v>
      </c>
      <c r="U41" s="1563">
        <f t="shared" si="13"/>
        <v>100</v>
      </c>
      <c r="V41" s="1562" t="s">
        <v>11</v>
      </c>
      <c r="W41" s="1563">
        <f t="shared" si="14"/>
        <v>100</v>
      </c>
      <c r="X41" s="1564"/>
      <c r="Y41" s="3411"/>
      <c r="Z41" s="1565" t="str">
        <f t="shared" si="15"/>
        <v>单套/主力户型建筑面积</v>
      </c>
      <c r="AA41" s="1561">
        <f t="shared" si="3"/>
        <v>1</v>
      </c>
      <c r="AB41" s="1561">
        <f t="shared" si="4"/>
        <v>1</v>
      </c>
      <c r="AC41" s="1561">
        <f t="shared" si="5"/>
        <v>1</v>
      </c>
    </row>
    <row r="42" spans="1:29" ht="15.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411"/>
      <c r="Q42" s="1557" t="str">
        <f t="shared" si="11"/>
        <v>内部装修</v>
      </c>
      <c r="R42" s="1558" t="s">
        <v>11</v>
      </c>
      <c r="S42" s="1559">
        <f t="shared" si="12"/>
        <v>100</v>
      </c>
      <c r="T42" s="1558" t="s">
        <v>11</v>
      </c>
      <c r="U42" s="1559">
        <f t="shared" si="13"/>
        <v>100</v>
      </c>
      <c r="V42" s="1558" t="s">
        <v>11</v>
      </c>
      <c r="W42" s="1559">
        <f t="shared" si="14"/>
        <v>100</v>
      </c>
      <c r="X42" s="1552"/>
      <c r="Y42" s="3411"/>
      <c r="Z42" s="1560" t="str">
        <f t="shared" si="15"/>
        <v>内部装修</v>
      </c>
      <c r="AA42" s="1561">
        <f t="shared" si="3"/>
        <v>1</v>
      </c>
      <c r="AB42" s="1561">
        <f t="shared" si="4"/>
        <v>1</v>
      </c>
      <c r="AC42" s="1561">
        <f t="shared" si="5"/>
        <v>1</v>
      </c>
    </row>
    <row r="43" spans="1:29" ht="2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11"/>
      <c r="Q43" s="1557" t="str">
        <f t="shared" si="11"/>
        <v>内部装修维护情况</v>
      </c>
      <c r="R43" s="1558" t="s">
        <v>11</v>
      </c>
      <c r="S43" s="1559">
        <f t="shared" si="12"/>
        <v>100</v>
      </c>
      <c r="T43" s="1558" t="s">
        <v>11</v>
      </c>
      <c r="U43" s="1559">
        <f t="shared" si="13"/>
        <v>100</v>
      </c>
      <c r="V43" s="1558" t="s">
        <v>11</v>
      </c>
      <c r="W43" s="1559">
        <f t="shared" si="14"/>
        <v>100</v>
      </c>
      <c r="X43" s="1552"/>
      <c r="Y43" s="3411"/>
      <c r="Z43" s="1560" t="str">
        <f t="shared" si="15"/>
        <v>内部装修维护情况</v>
      </c>
      <c r="AA43" s="1561">
        <f t="shared" si="3"/>
        <v>1</v>
      </c>
      <c r="AB43" s="1561">
        <f t="shared" si="4"/>
        <v>1</v>
      </c>
      <c r="AC43" s="1561">
        <f t="shared" si="5"/>
        <v>1</v>
      </c>
    </row>
    <row r="44" spans="1:29" s="1215" customFormat="1" ht="15.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11"/>
      <c r="Q44" s="1146">
        <f t="shared" si="11"/>
        <v>111</v>
      </c>
      <c r="R44" s="1553" t="s">
        <v>11</v>
      </c>
      <c r="S44" s="1554">
        <f t="shared" si="12"/>
        <v>100</v>
      </c>
      <c r="T44" s="1553" t="s">
        <v>11</v>
      </c>
      <c r="U44" s="1554">
        <f t="shared" si="13"/>
        <v>100</v>
      </c>
      <c r="V44" s="1553" t="s">
        <v>11</v>
      </c>
      <c r="W44" s="1554">
        <f t="shared" si="14"/>
        <v>100</v>
      </c>
      <c r="X44" s="1555"/>
      <c r="Y44" s="3411"/>
      <c r="Z44" s="1145">
        <f t="shared" si="15"/>
        <v>111</v>
      </c>
      <c r="AA44" s="1556">
        <f t="shared" si="3"/>
        <v>1</v>
      </c>
      <c r="AB44" s="1556">
        <f t="shared" si="4"/>
        <v>1</v>
      </c>
      <c r="AC44" s="1556">
        <f t="shared" si="5"/>
        <v>1</v>
      </c>
    </row>
    <row r="45" spans="1:29" ht="15.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11"/>
      <c r="Q45" s="1557">
        <f t="shared" si="11"/>
        <v>111</v>
      </c>
      <c r="R45" s="1558" t="s">
        <v>11</v>
      </c>
      <c r="S45" s="1559">
        <f t="shared" si="12"/>
        <v>100</v>
      </c>
      <c r="T45" s="1558" t="s">
        <v>11</v>
      </c>
      <c r="U45" s="1559">
        <f t="shared" si="13"/>
        <v>100</v>
      </c>
      <c r="V45" s="1558" t="s">
        <v>11</v>
      </c>
      <c r="W45" s="1559">
        <f t="shared" si="14"/>
        <v>100</v>
      </c>
      <c r="X45" s="1552"/>
      <c r="Y45" s="3411"/>
      <c r="Z45" s="1560">
        <f t="shared" si="15"/>
        <v>111</v>
      </c>
      <c r="AA45" s="1561">
        <f t="shared" si="3"/>
        <v>1</v>
      </c>
      <c r="AB45" s="1561">
        <f t="shared" si="4"/>
        <v>1</v>
      </c>
      <c r="AC45" s="1561">
        <f t="shared" si="5"/>
        <v>1</v>
      </c>
    </row>
    <row r="46" spans="1:29" ht="1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92"/>
      <c r="Q46" s="1557">
        <f t="shared" si="11"/>
        <v>111</v>
      </c>
      <c r="R46" s="1558" t="s">
        <v>10</v>
      </c>
      <c r="S46" s="1559">
        <f t="shared" si="12"/>
        <v>100</v>
      </c>
      <c r="T46" s="1558" t="s">
        <v>10</v>
      </c>
      <c r="U46" s="1559">
        <f t="shared" si="13"/>
        <v>100</v>
      </c>
      <c r="V46" s="1558" t="s">
        <v>10</v>
      </c>
      <c r="W46" s="1559">
        <f t="shared" si="14"/>
        <v>100</v>
      </c>
      <c r="X46" s="1552"/>
      <c r="Y46" s="3492"/>
      <c r="Z46" s="1560">
        <f t="shared" si="15"/>
        <v>111</v>
      </c>
      <c r="AA46" s="1561">
        <f t="shared" si="3"/>
        <v>1</v>
      </c>
      <c r="AB46" s="1561">
        <f t="shared" si="4"/>
        <v>1</v>
      </c>
      <c r="AC46" s="1561">
        <f t="shared" si="5"/>
        <v>1</v>
      </c>
    </row>
    <row r="47" spans="1:29">
      <c r="A47" s="606" t="s">
        <v>736</v>
      </c>
      <c r="B47" s="886"/>
      <c r="C47" s="2590" t="s">
        <v>9</v>
      </c>
      <c r="D47" s="2591"/>
      <c r="E47" s="2592"/>
      <c r="F47" s="2593"/>
      <c r="G47" s="2594"/>
      <c r="H47" s="2595"/>
      <c r="I47" s="2592"/>
      <c r="J47" s="2595"/>
      <c r="K47" s="1590"/>
      <c r="L47" s="2128"/>
      <c r="M47" s="2129"/>
      <c r="N47" s="2118"/>
      <c r="O47" s="2129"/>
      <c r="P47" s="3374" t="str">
        <f>A47</f>
        <v>成交单价（元/平方米）</v>
      </c>
      <c r="Q47" s="3374"/>
      <c r="R47" s="3491">
        <f>E47</f>
        <v>0</v>
      </c>
      <c r="S47" s="3491"/>
      <c r="T47" s="3491">
        <f>G47</f>
        <v>0</v>
      </c>
      <c r="U47" s="3491"/>
      <c r="V47" s="3491">
        <f>I47</f>
        <v>0</v>
      </c>
      <c r="W47" s="3491"/>
      <c r="X47" s="1544"/>
      <c r="Y47" s="1566"/>
      <c r="Z47" s="1544"/>
      <c r="AA47" s="1544"/>
      <c r="AB47" s="1544"/>
      <c r="AC47" s="1544"/>
    </row>
    <row r="48" spans="1:29" ht="14.5" thickBot="1">
      <c r="A48" s="614" t="s">
        <v>2757</v>
      </c>
      <c r="B48" s="887"/>
      <c r="C48" s="2596" t="e">
        <f>R49</f>
        <v>#DIV/0!</v>
      </c>
      <c r="D48" s="2597"/>
      <c r="E48" s="2598" t="e">
        <f>R48</f>
        <v>#DIV/0!</v>
      </c>
      <c r="F48" s="2598"/>
      <c r="G48" s="2596" t="e">
        <f>T48</f>
        <v>#DIV/0!</v>
      </c>
      <c r="H48" s="2597"/>
      <c r="I48" s="2598" t="e">
        <f>V48</f>
        <v>#DIV/0!</v>
      </c>
      <c r="J48" s="2597"/>
      <c r="K48" s="1591"/>
      <c r="L48" s="2128"/>
      <c r="M48" s="2129"/>
      <c r="N48" s="2129"/>
      <c r="O48" s="2129"/>
      <c r="P48" s="3374" t="str">
        <f>A48</f>
        <v>比较价格（元/平方米）</v>
      </c>
      <c r="Q48" s="337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4"/>
      <c r="Y48" s="1544"/>
      <c r="Z48" s="1544"/>
      <c r="AA48" s="1544"/>
      <c r="AB48" s="1544"/>
      <c r="AC48" s="1544"/>
    </row>
    <row r="49" spans="1:29" ht="14.5" thickBot="1">
      <c r="A49" s="620" t="s">
        <v>2933</v>
      </c>
      <c r="B49" s="621"/>
      <c r="C49" s="2599" t="e">
        <f>R49</f>
        <v>#DIV/0!</v>
      </c>
      <c r="D49" s="2599"/>
      <c r="E49" s="2599"/>
      <c r="F49" s="2599"/>
      <c r="G49" s="2599"/>
      <c r="H49" s="2599"/>
      <c r="I49" s="2599"/>
      <c r="J49" s="2599"/>
      <c r="K49" s="1592"/>
      <c r="L49" s="2128"/>
      <c r="M49" s="2129"/>
      <c r="N49" s="2129"/>
      <c r="O49" s="2129"/>
      <c r="P49" s="3371" t="str">
        <f>A49</f>
        <v>估价对象XX用房的比较价格（楼面单价，元/平方米）</v>
      </c>
      <c r="Q49" s="3372"/>
      <c r="R49" s="3490" t="e">
        <f>IF(F1="售价",ROUND(AVERAGE(R48:V48),0),ROUND(AVERAGE(R48:V48),1))</f>
        <v>#DIV/0!</v>
      </c>
      <c r="S49" s="3490"/>
      <c r="T49" s="3490"/>
      <c r="U49" s="3490"/>
      <c r="V49" s="3490"/>
      <c r="W49" s="349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c r="A58" s="644" t="s">
        <v>529</v>
      </c>
      <c r="B58" s="645"/>
      <c r="C58" s="2758"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4.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8.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4.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4.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4.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4.5" thickTop="1">
      <c r="A80" s="668"/>
      <c r="B80" s="1880" t="s">
        <v>2555</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4.5" thickTop="1">
      <c r="A82" s="668"/>
      <c r="B82" s="2560" t="s">
        <v>2556</v>
      </c>
      <c r="C82" s="2561" t="s">
        <v>2557</v>
      </c>
      <c r="D82" s="2561" t="s">
        <v>2558</v>
      </c>
      <c r="E82" s="2561" t="s">
        <v>2559</v>
      </c>
      <c r="F82" s="2561" t="s">
        <v>2560</v>
      </c>
      <c r="G82" s="2561" t="s">
        <v>2561</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4.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4.5" thickTop="1">
      <c r="A86" s="708"/>
      <c r="B86" s="1880" t="s">
        <v>2255</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4.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4.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4.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4.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4.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4.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4.5" thickTop="1">
      <c r="A109" s="734"/>
      <c r="B109" s="672" t="s">
        <v>751</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4.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4.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4.5" thickTop="1">
      <c r="A114" s="734"/>
      <c r="B114" s="672" t="s">
        <v>753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4.5" thickTop="1">
      <c r="A116" s="734"/>
      <c r="B116" s="1880" t="s">
        <v>2554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4.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4.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8.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4.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5">
      <c r="A140" s="2163"/>
      <c r="B140" s="1887">
        <v>5</v>
      </c>
      <c r="C140" s="1888">
        <v>100</v>
      </c>
      <c r="D140" s="1916"/>
      <c r="E140" s="1889"/>
      <c r="F140" s="1890">
        <v>102</v>
      </c>
      <c r="G140" s="1916"/>
      <c r="H140" s="1891"/>
      <c r="I140" s="1917" t="s">
        <v>2270</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5">
      <c r="A141" s="2163"/>
      <c r="B141" s="1887">
        <v>4</v>
      </c>
      <c r="C141" s="1888">
        <v>102</v>
      </c>
      <c r="D141" s="1916"/>
      <c r="E141" s="1889"/>
      <c r="F141" s="1890">
        <v>101.5</v>
      </c>
      <c r="G141" s="1916"/>
      <c r="H141" s="1891"/>
      <c r="I141" s="1917" t="s">
        <v>2271</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5">
      <c r="A142" s="2163"/>
      <c r="B142" s="1887">
        <v>3</v>
      </c>
      <c r="C142" s="1888">
        <v>103</v>
      </c>
      <c r="D142" s="1916"/>
      <c r="E142" s="1889"/>
      <c r="F142" s="1890">
        <v>101</v>
      </c>
      <c r="G142" s="1916"/>
      <c r="H142" s="1891"/>
      <c r="I142" s="1917" t="s">
        <v>2272</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
  <cols>
    <col min="1" max="1" width="10.453125" style="1332" customWidth="1"/>
    <col min="2" max="2" width="15.81640625" style="1332" customWidth="1"/>
    <col min="3" max="3" width="14.36328125" style="1332" customWidth="1"/>
    <col min="4" max="4" width="12.1796875" style="1332" customWidth="1"/>
    <col min="5" max="5" width="14.36328125" style="1332" customWidth="1"/>
    <col min="6" max="6" width="12.1796875" style="1332" customWidth="1"/>
    <col min="7" max="7" width="14.453125" style="1332" customWidth="1"/>
    <col min="8" max="8" width="12.1796875" style="1332" customWidth="1"/>
    <col min="9" max="9" width="14.453125" style="1332" customWidth="1"/>
    <col min="10" max="10" width="12.1796875" style="1332" customWidth="1"/>
    <col min="11" max="11" width="12.1796875" style="1338" customWidth="1"/>
    <col min="12" max="12" width="12.1796875" style="1339" customWidth="1"/>
    <col min="13" max="15" width="12.1796875" style="1332" customWidth="1"/>
    <col min="16" max="16" width="4.81640625" style="1332" customWidth="1"/>
    <col min="17" max="17" width="19.453125" style="1332" customWidth="1"/>
    <col min="18" max="22" width="6.08984375" style="1332" customWidth="1"/>
    <col min="23" max="23" width="5.81640625" style="1332" customWidth="1"/>
    <col min="24" max="24" width="4.1796875" style="1332" customWidth="1"/>
    <col min="25" max="25" width="3.453125" style="1332" customWidth="1"/>
    <col min="26" max="26" width="19.81640625" style="1332" customWidth="1"/>
    <col min="27" max="28" width="9.3632812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c r="A4" s="511" t="s">
        <v>521</v>
      </c>
      <c r="B4" s="512"/>
      <c r="C4" s="3380" t="s">
        <v>522</v>
      </c>
      <c r="D4" s="3381"/>
      <c r="E4" s="3414" t="s">
        <v>523</v>
      </c>
      <c r="F4" s="3415"/>
      <c r="G4" s="3380" t="s">
        <v>524</v>
      </c>
      <c r="H4" s="3381"/>
      <c r="I4" s="3380" t="s">
        <v>525</v>
      </c>
      <c r="J4" s="3381"/>
      <c r="K4" s="513" t="s">
        <v>526</v>
      </c>
      <c r="L4" s="2117"/>
      <c r="M4" s="2118"/>
      <c r="N4" s="2118"/>
      <c r="O4" s="2118"/>
      <c r="P4" s="3382" t="s">
        <v>527</v>
      </c>
      <c r="Q4" s="3383"/>
      <c r="R4" s="3388" t="s">
        <v>523</v>
      </c>
      <c r="S4" s="3389"/>
      <c r="T4" s="3388" t="s">
        <v>524</v>
      </c>
      <c r="U4" s="3389"/>
      <c r="V4" s="3375" t="s">
        <v>525</v>
      </c>
      <c r="W4" s="3375"/>
      <c r="X4" s="1552"/>
      <c r="Y4" s="3388" t="s">
        <v>527</v>
      </c>
      <c r="Z4" s="3389"/>
      <c r="AA4" s="3377" t="s">
        <v>523</v>
      </c>
      <c r="AB4" s="3375" t="s">
        <v>524</v>
      </c>
      <c r="AC4" s="3377" t="s">
        <v>525</v>
      </c>
    </row>
    <row r="5" spans="1:29">
      <c r="A5" s="514"/>
      <c r="B5" s="515"/>
      <c r="C5" s="3396" t="s">
        <v>2927</v>
      </c>
      <c r="D5" s="3397"/>
      <c r="E5" s="3416" t="s">
        <v>2928</v>
      </c>
      <c r="F5" s="3417"/>
      <c r="G5" s="3396" t="s">
        <v>2929</v>
      </c>
      <c r="H5" s="3397"/>
      <c r="I5" s="3396" t="s">
        <v>2930</v>
      </c>
      <c r="J5" s="3397"/>
      <c r="K5" s="513"/>
      <c r="L5" s="2117"/>
      <c r="M5" s="2118"/>
      <c r="N5" s="2118"/>
      <c r="O5" s="2118"/>
      <c r="P5" s="3384"/>
      <c r="Q5" s="3385"/>
      <c r="R5" s="3390"/>
      <c r="S5" s="3391"/>
      <c r="T5" s="3390"/>
      <c r="U5" s="3391"/>
      <c r="V5" s="3375"/>
      <c r="W5" s="3375"/>
      <c r="X5" s="1552"/>
      <c r="Y5" s="3390"/>
      <c r="Z5" s="3391"/>
      <c r="AA5" s="3378"/>
      <c r="AB5" s="3375"/>
      <c r="AC5" s="3378"/>
    </row>
    <row r="6" spans="1:29" ht="15" thickBot="1">
      <c r="A6" s="516"/>
      <c r="B6" s="517"/>
      <c r="C6" s="3394" t="s">
        <v>2931</v>
      </c>
      <c r="D6" s="3395"/>
      <c r="E6" s="3412" t="s">
        <v>2931</v>
      </c>
      <c r="F6" s="3413"/>
      <c r="G6" s="3394" t="s">
        <v>2931</v>
      </c>
      <c r="H6" s="3395"/>
      <c r="I6" s="3394" t="s">
        <v>2931</v>
      </c>
      <c r="J6" s="3395"/>
      <c r="K6" s="513" t="s">
        <v>528</v>
      </c>
      <c r="L6" s="2117"/>
      <c r="M6" s="2118"/>
      <c r="N6" s="2118"/>
      <c r="O6" s="2118"/>
      <c r="P6" s="3386"/>
      <c r="Q6" s="3387"/>
      <c r="R6" s="3390"/>
      <c r="S6" s="3391"/>
      <c r="T6" s="3392"/>
      <c r="U6" s="3393"/>
      <c r="V6" s="3375"/>
      <c r="W6" s="3375"/>
      <c r="X6" s="1552"/>
      <c r="Y6" s="3392"/>
      <c r="Z6" s="3393"/>
      <c r="AA6" s="3379"/>
      <c r="AB6" s="3375"/>
      <c r="AC6" s="3379"/>
    </row>
    <row r="7" spans="1:29" s="1215" customFormat="1" ht="14.5" thickBot="1">
      <c r="A7" s="2866"/>
      <c r="B7" s="2873" t="s">
        <v>529</v>
      </c>
      <c r="C7" s="518">
        <f>'数据-取费表'!B2</f>
        <v>43873</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05" t="s">
        <v>530</v>
      </c>
      <c r="Q7" s="3407"/>
      <c r="R7" s="1553" t="s">
        <v>8</v>
      </c>
      <c r="S7" s="1554">
        <f t="shared" ref="S7:S15" si="0">F7</f>
        <v>0</v>
      </c>
      <c r="T7" s="1553" t="s">
        <v>8</v>
      </c>
      <c r="U7" s="1554">
        <f t="shared" ref="U7:U15" si="1">H7</f>
        <v>0</v>
      </c>
      <c r="V7" s="1553" t="s">
        <v>8</v>
      </c>
      <c r="W7" s="1554">
        <f t="shared" ref="W7:W15" si="2">J7</f>
        <v>0</v>
      </c>
      <c r="X7" s="1555"/>
      <c r="Y7" s="3405" t="s">
        <v>530</v>
      </c>
      <c r="Z7" s="3406"/>
      <c r="AA7" s="1556" t="e">
        <f>D7/F7</f>
        <v>#DIV/0!</v>
      </c>
      <c r="AB7" s="1556" t="e">
        <f>D7/H7</f>
        <v>#DIV/0!</v>
      </c>
      <c r="AC7" s="1556" t="e">
        <f>D7/J7</f>
        <v>#DIV/0!</v>
      </c>
    </row>
    <row r="8" spans="1:29" s="1215" customFormat="1" ht="14.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46" si="3">D8/F8</f>
        <v>#DIV/0!</v>
      </c>
      <c r="AB8" s="1556" t="e">
        <f t="shared" ref="AB8:AB46" si="4">D8/H8</f>
        <v>#DIV/0!</v>
      </c>
      <c r="AC8" s="1556" t="e">
        <f t="shared" ref="AC8:AC46" si="5">D8/J8</f>
        <v>#DIV/0!</v>
      </c>
    </row>
    <row r="9" spans="1:29" s="1215" customFormat="1">
      <c r="A9" s="2868"/>
      <c r="B9" s="2875" t="s">
        <v>2753</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74" t="s">
        <v>535</v>
      </c>
      <c r="Q9" s="1146" t="str">
        <f t="shared" ref="Q9:Q15" si="6">B9</f>
        <v>用途</v>
      </c>
      <c r="R9" s="1553" t="s">
        <v>8</v>
      </c>
      <c r="S9" s="1554">
        <f t="shared" si="0"/>
        <v>100</v>
      </c>
      <c r="T9" s="1553" t="s">
        <v>8</v>
      </c>
      <c r="U9" s="1554">
        <f t="shared" si="1"/>
        <v>100</v>
      </c>
      <c r="V9" s="1553" t="s">
        <v>8</v>
      </c>
      <c r="W9" s="1554">
        <f t="shared" si="2"/>
        <v>100</v>
      </c>
      <c r="X9" s="1555"/>
      <c r="Y9" s="3320" t="s">
        <v>536</v>
      </c>
      <c r="Z9" s="1145" t="str">
        <f t="shared" ref="Z9:Z15" si="7">Q9</f>
        <v>用途</v>
      </c>
      <c r="AA9" s="1556">
        <f t="shared" si="3"/>
        <v>1</v>
      </c>
      <c r="AB9" s="1556">
        <f t="shared" si="4"/>
        <v>1</v>
      </c>
      <c r="AC9" s="1556">
        <f t="shared" si="5"/>
        <v>1</v>
      </c>
    </row>
    <row r="10" spans="1:29" s="1333" customFormat="1" ht="28">
      <c r="A10" s="2869"/>
      <c r="B10" s="2874" t="s">
        <v>2754</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74"/>
      <c r="Q10" s="1146" t="str">
        <f t="shared" si="6"/>
        <v>土地使用年限（年）</v>
      </c>
      <c r="R10" s="1553" t="s">
        <v>8</v>
      </c>
      <c r="S10" s="1554">
        <f t="shared" si="0"/>
        <v>100</v>
      </c>
      <c r="T10" s="1553" t="s">
        <v>8</v>
      </c>
      <c r="U10" s="1554">
        <f t="shared" si="1"/>
        <v>100</v>
      </c>
      <c r="V10" s="1553" t="s">
        <v>8</v>
      </c>
      <c r="W10" s="1554">
        <f t="shared" si="2"/>
        <v>100</v>
      </c>
      <c r="X10" s="1555"/>
      <c r="Y10" s="3320"/>
      <c r="Z10" s="1145" t="str">
        <f t="shared" si="7"/>
        <v>土地使用年限（年）</v>
      </c>
      <c r="AA10" s="1556">
        <f t="shared" si="3"/>
        <v>1</v>
      </c>
      <c r="AB10" s="1556">
        <f t="shared" si="4"/>
        <v>1</v>
      </c>
      <c r="AC10" s="1556">
        <f t="shared" si="5"/>
        <v>1</v>
      </c>
    </row>
    <row r="11" spans="1:29" ht="15.5">
      <c r="A11" s="2870"/>
      <c r="B11" s="2874"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74"/>
      <c r="Q11" s="1146" t="str">
        <f t="shared" si="6"/>
        <v>容积率</v>
      </c>
      <c r="R11" s="1553" t="s">
        <v>8</v>
      </c>
      <c r="S11" s="1554" t="e">
        <f t="shared" si="0"/>
        <v>#N/A</v>
      </c>
      <c r="T11" s="1553" t="s">
        <v>8</v>
      </c>
      <c r="U11" s="1554" t="e">
        <f t="shared" si="1"/>
        <v>#N/A</v>
      </c>
      <c r="V11" s="1553" t="s">
        <v>8</v>
      </c>
      <c r="W11" s="1554" t="e">
        <f t="shared" si="2"/>
        <v>#N/A</v>
      </c>
      <c r="X11" s="1555"/>
      <c r="Y11" s="3320"/>
      <c r="Z11" s="1145" t="str">
        <f t="shared" si="7"/>
        <v>容积率</v>
      </c>
      <c r="AA11" s="1556" t="e">
        <f t="shared" si="3"/>
        <v>#N/A</v>
      </c>
      <c r="AB11" s="1556" t="e">
        <f t="shared" si="4"/>
        <v>#N/A</v>
      </c>
      <c r="AC11" s="1556" t="e">
        <f t="shared" si="5"/>
        <v>#N/A</v>
      </c>
    </row>
    <row r="12" spans="1:29" s="1215" customFormat="1" ht="15.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74"/>
      <c r="Q12" s="1146">
        <f t="shared" si="6"/>
        <v>111</v>
      </c>
      <c r="R12" s="1553" t="s">
        <v>8</v>
      </c>
      <c r="S12" s="1554">
        <f t="shared" si="0"/>
        <v>100</v>
      </c>
      <c r="T12" s="1553" t="s">
        <v>8</v>
      </c>
      <c r="U12" s="1554">
        <f t="shared" si="1"/>
        <v>100</v>
      </c>
      <c r="V12" s="1553" t="s">
        <v>8</v>
      </c>
      <c r="W12" s="1554">
        <f t="shared" si="2"/>
        <v>100</v>
      </c>
      <c r="X12" s="1555"/>
      <c r="Y12" s="3320"/>
      <c r="Z12" s="1145">
        <f t="shared" si="7"/>
        <v>111</v>
      </c>
      <c r="AA12" s="1556">
        <f>D12/F12</f>
        <v>1</v>
      </c>
      <c r="AB12" s="1556">
        <f>D12/H12</f>
        <v>1</v>
      </c>
      <c r="AC12" s="1556">
        <f>D12/J12</f>
        <v>1</v>
      </c>
    </row>
    <row r="13" spans="1:29" ht="15.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74"/>
      <c r="Q13" s="1146">
        <f t="shared" si="6"/>
        <v>111</v>
      </c>
      <c r="R13" s="1553" t="s">
        <v>8</v>
      </c>
      <c r="S13" s="1554">
        <f t="shared" si="0"/>
        <v>100</v>
      </c>
      <c r="T13" s="1553" t="s">
        <v>8</v>
      </c>
      <c r="U13" s="1554">
        <f t="shared" si="1"/>
        <v>100</v>
      </c>
      <c r="V13" s="1553" t="s">
        <v>8</v>
      </c>
      <c r="W13" s="1554">
        <f t="shared" si="2"/>
        <v>100</v>
      </c>
      <c r="X13" s="1555"/>
      <c r="Y13" s="3320"/>
      <c r="Z13" s="1145">
        <f t="shared" si="7"/>
        <v>111</v>
      </c>
      <c r="AA13" s="1556">
        <f t="shared" si="3"/>
        <v>1</v>
      </c>
      <c r="AB13" s="1556">
        <f t="shared" si="4"/>
        <v>1</v>
      </c>
      <c r="AC13" s="1556">
        <f t="shared" si="5"/>
        <v>1</v>
      </c>
    </row>
    <row r="14" spans="1:29" ht="16"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74"/>
      <c r="Q14" s="1146">
        <f t="shared" si="6"/>
        <v>111</v>
      </c>
      <c r="R14" s="1553" t="s">
        <v>8</v>
      </c>
      <c r="S14" s="1554">
        <f t="shared" si="0"/>
        <v>100</v>
      </c>
      <c r="T14" s="1553" t="s">
        <v>8</v>
      </c>
      <c r="U14" s="1554">
        <f t="shared" si="1"/>
        <v>100</v>
      </c>
      <c r="V14" s="1553" t="s">
        <v>8</v>
      </c>
      <c r="W14" s="1554">
        <f t="shared" si="2"/>
        <v>100</v>
      </c>
      <c r="X14" s="1555"/>
      <c r="Y14" s="3320"/>
      <c r="Z14" s="1145">
        <f t="shared" si="7"/>
        <v>111</v>
      </c>
      <c r="AA14" s="1556">
        <f t="shared" si="3"/>
        <v>1</v>
      </c>
      <c r="AB14" s="1556">
        <f t="shared" si="4"/>
        <v>1</v>
      </c>
      <c r="AC14" s="1556">
        <f t="shared" si="5"/>
        <v>1</v>
      </c>
    </row>
    <row r="15" spans="1:29" ht="84">
      <c r="A15" s="2864"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08" t="s">
        <v>540</v>
      </c>
      <c r="Q15" s="1557" t="str">
        <f t="shared" si="6"/>
        <v>商业繁华度</v>
      </c>
      <c r="R15" s="1558" t="s">
        <v>8</v>
      </c>
      <c r="S15" s="1559">
        <f t="shared" si="0"/>
        <v>100</v>
      </c>
      <c r="T15" s="1558" t="s">
        <v>8</v>
      </c>
      <c r="U15" s="1559">
        <f t="shared" si="1"/>
        <v>100</v>
      </c>
      <c r="V15" s="1558" t="s">
        <v>8</v>
      </c>
      <c r="W15" s="1559">
        <f t="shared" si="2"/>
        <v>100</v>
      </c>
      <c r="X15" s="1552"/>
      <c r="Y15" s="3408" t="s">
        <v>540</v>
      </c>
      <c r="Z15" s="1560" t="str">
        <f t="shared" si="7"/>
        <v>商业繁华度</v>
      </c>
      <c r="AA15" s="1561">
        <f t="shared" si="3"/>
        <v>1</v>
      </c>
      <c r="AB15" s="1561">
        <f t="shared" si="4"/>
        <v>1</v>
      </c>
      <c r="AC15" s="1561">
        <f t="shared" si="5"/>
        <v>1</v>
      </c>
    </row>
    <row r="16" spans="1:29" ht="15.5">
      <c r="A16" s="531"/>
      <c r="B16" s="868"/>
      <c r="C16" s="575"/>
      <c r="D16" s="554"/>
      <c r="E16" s="575"/>
      <c r="F16" s="556"/>
      <c r="G16" s="575"/>
      <c r="H16" s="558"/>
      <c r="I16" s="575"/>
      <c r="J16" s="554"/>
      <c r="K16" s="898"/>
      <c r="L16" s="2126"/>
      <c r="M16" s="2118"/>
      <c r="N16" s="2118"/>
      <c r="O16" s="2125"/>
      <c r="P16" s="3409"/>
      <c r="Q16" s="1557"/>
      <c r="R16" s="1558"/>
      <c r="S16" s="1559"/>
      <c r="T16" s="1558"/>
      <c r="U16" s="1559"/>
      <c r="V16" s="1558"/>
      <c r="W16" s="1559"/>
      <c r="X16" s="1552"/>
      <c r="Y16" s="3409"/>
      <c r="Z16" s="1560"/>
      <c r="AA16" s="1561">
        <v>1</v>
      </c>
      <c r="AB16" s="1561">
        <v>1</v>
      </c>
      <c r="AC16" s="1561">
        <v>1</v>
      </c>
    </row>
    <row r="17" spans="1:29" ht="9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5.5">
      <c r="A18" s="531"/>
      <c r="B18" s="594"/>
      <c r="C18" s="872"/>
      <c r="D18" s="558"/>
      <c r="E18" s="567"/>
      <c r="F18" s="562"/>
      <c r="G18" s="568"/>
      <c r="H18" s="554"/>
      <c r="I18" s="567"/>
      <c r="J18" s="554"/>
      <c r="K18" s="898"/>
      <c r="L18" s="2126"/>
      <c r="M18" s="2118"/>
      <c r="N18" s="2118"/>
      <c r="O18" s="2125"/>
      <c r="P18" s="3409"/>
      <c r="Q18" s="1557"/>
      <c r="R18" s="1558"/>
      <c r="S18" s="1559"/>
      <c r="T18" s="1558"/>
      <c r="U18" s="1559"/>
      <c r="V18" s="1558"/>
      <c r="W18" s="1559"/>
      <c r="X18" s="1552"/>
      <c r="Y18" s="3409"/>
      <c r="Z18" s="1560"/>
      <c r="AA18" s="1561">
        <v>1</v>
      </c>
      <c r="AB18" s="1561">
        <v>1</v>
      </c>
      <c r="AC18" s="1561">
        <v>1</v>
      </c>
    </row>
    <row r="19" spans="1:29" ht="42">
      <c r="A19" s="531"/>
      <c r="B19" s="2563"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5.5">
      <c r="A20" s="531"/>
      <c r="B20" s="594"/>
      <c r="C20" s="575"/>
      <c r="D20" s="554"/>
      <c r="E20" s="555"/>
      <c r="F20" s="556"/>
      <c r="G20" s="557"/>
      <c r="H20" s="554"/>
      <c r="I20" s="555"/>
      <c r="J20" s="554"/>
      <c r="K20" s="898"/>
      <c r="L20" s="2126"/>
      <c r="M20" s="2118"/>
      <c r="N20" s="2118"/>
      <c r="O20" s="2125"/>
      <c r="P20" s="3409"/>
      <c r="Q20" s="1557"/>
      <c r="R20" s="1558"/>
      <c r="S20" s="1559"/>
      <c r="T20" s="1558"/>
      <c r="U20" s="1559"/>
      <c r="V20" s="1558"/>
      <c r="W20" s="1559"/>
      <c r="X20" s="1552"/>
      <c r="Y20" s="3409"/>
      <c r="Z20" s="1560"/>
      <c r="AA20" s="1561">
        <v>1</v>
      </c>
      <c r="AB20" s="1561">
        <v>1</v>
      </c>
      <c r="AC20" s="1561">
        <v>1</v>
      </c>
    </row>
    <row r="21" spans="1:29" ht="42">
      <c r="A21" s="531"/>
      <c r="B21" s="2556"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5.5">
      <c r="A22" s="531"/>
      <c r="B22" s="921"/>
      <c r="C22" s="872"/>
      <c r="D22" s="554"/>
      <c r="E22" s="575"/>
      <c r="F22" s="556"/>
      <c r="G22" s="575"/>
      <c r="H22" s="554"/>
      <c r="I22" s="575"/>
      <c r="J22" s="554"/>
      <c r="K22" s="2565"/>
      <c r="L22" s="2126"/>
      <c r="M22" s="2118"/>
      <c r="N22" s="2118"/>
      <c r="O22" s="2125"/>
      <c r="P22" s="3409"/>
      <c r="Q22" s="2542"/>
      <c r="R22" s="1558"/>
      <c r="S22" s="1559"/>
      <c r="T22" s="1558"/>
      <c r="U22" s="1559"/>
      <c r="V22" s="1558"/>
      <c r="W22" s="1559"/>
      <c r="X22" s="2544"/>
      <c r="Y22" s="3409"/>
      <c r="Z22" s="2543"/>
      <c r="AA22" s="1561">
        <v>1</v>
      </c>
      <c r="AB22" s="1561">
        <v>1</v>
      </c>
      <c r="AC22" s="1561">
        <v>1</v>
      </c>
    </row>
    <row r="23" spans="1:29" ht="56">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09"/>
      <c r="Q23" s="1557" t="str">
        <f>B23</f>
        <v>自然及人文环境</v>
      </c>
      <c r="R23" s="1558" t="s">
        <v>8</v>
      </c>
      <c r="S23" s="1559">
        <f>F23</f>
        <v>100</v>
      </c>
      <c r="T23" s="1558" t="s">
        <v>8</v>
      </c>
      <c r="U23" s="1559">
        <f>H23</f>
        <v>100</v>
      </c>
      <c r="V23" s="1558" t="s">
        <v>8</v>
      </c>
      <c r="W23" s="1559">
        <f>J23</f>
        <v>100</v>
      </c>
      <c r="X23" s="1552"/>
      <c r="Y23" s="3409"/>
      <c r="Z23" s="1560" t="str">
        <f>Q23</f>
        <v>自然及人文环境</v>
      </c>
      <c r="AA23" s="1561">
        <f t="shared" si="3"/>
        <v>1</v>
      </c>
      <c r="AB23" s="1561">
        <f t="shared" si="4"/>
        <v>1</v>
      </c>
      <c r="AC23" s="1561">
        <f t="shared" si="5"/>
        <v>1</v>
      </c>
    </row>
    <row r="24" spans="1:29" ht="15.5">
      <c r="A24" s="531"/>
      <c r="B24" s="594"/>
      <c r="C24" s="575"/>
      <c r="D24" s="554"/>
      <c r="E24" s="555"/>
      <c r="F24" s="556"/>
      <c r="G24" s="557"/>
      <c r="H24" s="554"/>
      <c r="I24" s="555"/>
      <c r="J24" s="554"/>
      <c r="K24" s="898"/>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5.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09"/>
      <c r="Q25" s="1557" t="str">
        <f t="shared" ref="Q25:Q46" si="11">B25</f>
        <v>临街状况</v>
      </c>
      <c r="R25" s="1558" t="s">
        <v>8</v>
      </c>
      <c r="S25" s="1559">
        <f>F25</f>
        <v>100</v>
      </c>
      <c r="T25" s="1558" t="s">
        <v>8</v>
      </c>
      <c r="U25" s="1559">
        <f>H25</f>
        <v>100</v>
      </c>
      <c r="V25" s="1558" t="s">
        <v>8</v>
      </c>
      <c r="W25" s="1559">
        <f>J25</f>
        <v>100</v>
      </c>
      <c r="X25" s="1552"/>
      <c r="Y25" s="3409"/>
      <c r="Z25" s="1560" t="str">
        <f>Q25</f>
        <v>临街状况</v>
      </c>
      <c r="AA25" s="1561">
        <f t="shared" si="3"/>
        <v>1</v>
      </c>
      <c r="AB25" s="1561">
        <f t="shared" si="4"/>
        <v>1</v>
      </c>
      <c r="AC25" s="1561">
        <f t="shared" si="5"/>
        <v>1</v>
      </c>
    </row>
    <row r="26" spans="1:29" ht="15.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09"/>
      <c r="Q26" s="1557" t="str">
        <f t="shared" si="11"/>
        <v>平面位置/可视性</v>
      </c>
      <c r="R26" s="1558" t="s">
        <v>8</v>
      </c>
      <c r="S26" s="1559">
        <f>F26</f>
        <v>100</v>
      </c>
      <c r="T26" s="1558" t="s">
        <v>8</v>
      </c>
      <c r="U26" s="1559">
        <f>H26</f>
        <v>100</v>
      </c>
      <c r="V26" s="1558" t="s">
        <v>8</v>
      </c>
      <c r="W26" s="1559">
        <f>J26</f>
        <v>100</v>
      </c>
      <c r="X26" s="1552"/>
      <c r="Y26" s="3409"/>
      <c r="Z26" s="1560" t="str">
        <f>Q26</f>
        <v>平面位置/可视性</v>
      </c>
      <c r="AA26" s="1561">
        <f t="shared" si="3"/>
        <v>1</v>
      </c>
      <c r="AB26" s="1561">
        <f t="shared" si="4"/>
        <v>1</v>
      </c>
      <c r="AC26" s="1561">
        <f t="shared" si="5"/>
        <v>1</v>
      </c>
    </row>
    <row r="27" spans="1:29" s="1215" customFormat="1" ht="15.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09"/>
      <c r="Q27" s="1146" t="str">
        <f t="shared" si="11"/>
        <v>人流量</v>
      </c>
      <c r="R27" s="1553" t="s">
        <v>8</v>
      </c>
      <c r="S27" s="1554">
        <f>F27</f>
        <v>100</v>
      </c>
      <c r="T27" s="1553" t="s">
        <v>8</v>
      </c>
      <c r="U27" s="1554">
        <f>H27</f>
        <v>100</v>
      </c>
      <c r="V27" s="1553" t="s">
        <v>8</v>
      </c>
      <c r="W27" s="1554">
        <f>J27</f>
        <v>100</v>
      </c>
      <c r="X27" s="1555"/>
      <c r="Y27" s="3409"/>
      <c r="Z27" s="1145" t="str">
        <f>Q27</f>
        <v>人流量</v>
      </c>
      <c r="AA27" s="1561">
        <f>D27/F27</f>
        <v>1</v>
      </c>
      <c r="AB27" s="1561">
        <f>D27/H27</f>
        <v>1</v>
      </c>
      <c r="AC27" s="1561">
        <f>D27/J27</f>
        <v>1</v>
      </c>
    </row>
    <row r="28" spans="1:29" ht="15.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0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9"/>
      <c r="Z28" s="1560" t="str">
        <f t="shared" ref="Z28:Z46" si="15">Q28</f>
        <v>楼层</v>
      </c>
      <c r="AA28" s="1561">
        <f t="shared" si="3"/>
        <v>1</v>
      </c>
      <c r="AB28" s="1561">
        <f t="shared" si="4"/>
        <v>1</v>
      </c>
      <c r="AC28" s="1561">
        <f t="shared" si="5"/>
        <v>1</v>
      </c>
    </row>
    <row r="29" spans="1:29" ht="15.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09"/>
      <c r="Q29" s="1557">
        <f t="shared" si="11"/>
        <v>111</v>
      </c>
      <c r="R29" s="1558" t="s">
        <v>8</v>
      </c>
      <c r="S29" s="1559">
        <f t="shared" si="12"/>
        <v>100</v>
      </c>
      <c r="T29" s="1558" t="s">
        <v>8</v>
      </c>
      <c r="U29" s="1559">
        <f t="shared" si="13"/>
        <v>100</v>
      </c>
      <c r="V29" s="1558" t="s">
        <v>8</v>
      </c>
      <c r="W29" s="1559">
        <f t="shared" si="14"/>
        <v>100</v>
      </c>
      <c r="X29" s="1552"/>
      <c r="Y29" s="3409"/>
      <c r="Z29" s="1560">
        <f t="shared" si="15"/>
        <v>111</v>
      </c>
      <c r="AA29" s="1561">
        <f t="shared" si="3"/>
        <v>1</v>
      </c>
      <c r="AB29" s="1561">
        <f t="shared" si="4"/>
        <v>1</v>
      </c>
      <c r="AC29" s="1561">
        <f t="shared" si="5"/>
        <v>1</v>
      </c>
    </row>
    <row r="30" spans="1:29" ht="15.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09"/>
      <c r="Q30" s="1557">
        <f t="shared" si="11"/>
        <v>111</v>
      </c>
      <c r="R30" s="1558" t="s">
        <v>8</v>
      </c>
      <c r="S30" s="1559">
        <f t="shared" si="12"/>
        <v>100</v>
      </c>
      <c r="T30" s="1558" t="s">
        <v>8</v>
      </c>
      <c r="U30" s="1559">
        <f t="shared" si="13"/>
        <v>100</v>
      </c>
      <c r="V30" s="1558" t="s">
        <v>8</v>
      </c>
      <c r="W30" s="1559">
        <f t="shared" si="14"/>
        <v>100</v>
      </c>
      <c r="X30" s="1552"/>
      <c r="Y30" s="3409"/>
      <c r="Z30" s="1560">
        <f t="shared" si="15"/>
        <v>111</v>
      </c>
      <c r="AA30" s="1561">
        <f t="shared" si="3"/>
        <v>1</v>
      </c>
      <c r="AB30" s="1561">
        <f t="shared" si="4"/>
        <v>1</v>
      </c>
      <c r="AC30" s="1561">
        <f t="shared" si="5"/>
        <v>1</v>
      </c>
    </row>
    <row r="31" spans="1:29" ht="1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09"/>
      <c r="Q31" s="1557">
        <f t="shared" si="11"/>
        <v>111</v>
      </c>
      <c r="R31" s="1558" t="s">
        <v>8</v>
      </c>
      <c r="S31" s="1559">
        <f t="shared" si="12"/>
        <v>100</v>
      </c>
      <c r="T31" s="1558" t="s">
        <v>8</v>
      </c>
      <c r="U31" s="1559">
        <f t="shared" si="13"/>
        <v>100</v>
      </c>
      <c r="V31" s="1558" t="s">
        <v>8</v>
      </c>
      <c r="W31" s="1559">
        <f t="shared" si="14"/>
        <v>100</v>
      </c>
      <c r="X31" s="1552"/>
      <c r="Y31" s="3409"/>
      <c r="Z31" s="1560">
        <f t="shared" si="15"/>
        <v>111</v>
      </c>
      <c r="AA31" s="1561">
        <f t="shared" si="3"/>
        <v>1</v>
      </c>
      <c r="AB31" s="1561">
        <f t="shared" si="4"/>
        <v>1</v>
      </c>
      <c r="AC31" s="1561">
        <f t="shared" si="5"/>
        <v>1</v>
      </c>
    </row>
    <row r="32" spans="1:29" ht="15.5">
      <c r="A32" s="2861"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10" t="s">
        <v>550</v>
      </c>
      <c r="Q32" s="1557" t="str">
        <f t="shared" si="11"/>
        <v>商业类型</v>
      </c>
      <c r="R32" s="1558" t="s">
        <v>8</v>
      </c>
      <c r="S32" s="1559">
        <f t="shared" si="12"/>
        <v>100</v>
      </c>
      <c r="T32" s="1558" t="s">
        <v>8</v>
      </c>
      <c r="U32" s="1559">
        <f t="shared" si="13"/>
        <v>100</v>
      </c>
      <c r="V32" s="1558" t="s">
        <v>8</v>
      </c>
      <c r="W32" s="1559">
        <f t="shared" si="14"/>
        <v>100</v>
      </c>
      <c r="X32" s="1552"/>
      <c r="Y32" s="3411" t="s">
        <v>550</v>
      </c>
      <c r="Z32" s="1560" t="str">
        <f t="shared" si="15"/>
        <v>商业类型</v>
      </c>
      <c r="AA32" s="1561">
        <f t="shared" si="3"/>
        <v>1</v>
      </c>
      <c r="AB32" s="1561">
        <f t="shared" si="4"/>
        <v>1</v>
      </c>
      <c r="AC32" s="1561">
        <f t="shared" si="5"/>
        <v>1</v>
      </c>
    </row>
    <row r="33" spans="1:29" s="1334" customFormat="1" ht="15.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11"/>
      <c r="Q33" s="1589" t="str">
        <f t="shared" si="11"/>
        <v>项目建筑规模</v>
      </c>
      <c r="R33" s="1562" t="s">
        <v>8</v>
      </c>
      <c r="S33" s="1563" t="e">
        <f t="shared" si="12"/>
        <v>#N/A</v>
      </c>
      <c r="T33" s="1562" t="s">
        <v>8</v>
      </c>
      <c r="U33" s="1563" t="e">
        <f t="shared" si="13"/>
        <v>#N/A</v>
      </c>
      <c r="V33" s="1562" t="s">
        <v>8</v>
      </c>
      <c r="W33" s="1563" t="e">
        <f t="shared" si="14"/>
        <v>#N/A</v>
      </c>
      <c r="X33" s="1564"/>
      <c r="Y33" s="3411"/>
      <c r="Z33" s="1565" t="str">
        <f t="shared" si="15"/>
        <v>项目建筑规模</v>
      </c>
      <c r="AA33" s="1561" t="e">
        <f t="shared" si="3"/>
        <v>#N/A</v>
      </c>
      <c r="AB33" s="1561" t="e">
        <f t="shared" si="4"/>
        <v>#N/A</v>
      </c>
      <c r="AC33" s="1561" t="e">
        <f t="shared" si="5"/>
        <v>#N/A</v>
      </c>
    </row>
    <row r="34" spans="1:29" ht="15.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11"/>
      <c r="Q34" s="1557" t="str">
        <f t="shared" si="11"/>
        <v>建筑结构</v>
      </c>
      <c r="R34" s="1558" t="s">
        <v>8</v>
      </c>
      <c r="S34" s="1559">
        <f t="shared" si="12"/>
        <v>100</v>
      </c>
      <c r="T34" s="1558" t="s">
        <v>8</v>
      </c>
      <c r="U34" s="1559">
        <f t="shared" si="13"/>
        <v>100</v>
      </c>
      <c r="V34" s="1558" t="s">
        <v>8</v>
      </c>
      <c r="W34" s="1559">
        <f t="shared" si="14"/>
        <v>100</v>
      </c>
      <c r="X34" s="1552"/>
      <c r="Y34" s="3411"/>
      <c r="Z34" s="1560" t="str">
        <f t="shared" si="15"/>
        <v>建筑结构</v>
      </c>
      <c r="AA34" s="1561">
        <f t="shared" si="3"/>
        <v>1</v>
      </c>
      <c r="AB34" s="1561">
        <f t="shared" si="4"/>
        <v>1</v>
      </c>
      <c r="AC34" s="1561">
        <f t="shared" si="5"/>
        <v>1</v>
      </c>
    </row>
    <row r="35" spans="1:29" ht="15.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11"/>
      <c r="Q35" s="1557" t="str">
        <f t="shared" si="11"/>
        <v>公共部分装修</v>
      </c>
      <c r="R35" s="1558" t="s">
        <v>8</v>
      </c>
      <c r="S35" s="1559">
        <f t="shared" si="12"/>
        <v>100</v>
      </c>
      <c r="T35" s="1558" t="s">
        <v>8</v>
      </c>
      <c r="U35" s="1559">
        <f t="shared" si="13"/>
        <v>100</v>
      </c>
      <c r="V35" s="1558" t="s">
        <v>8</v>
      </c>
      <c r="W35" s="1559">
        <f t="shared" si="14"/>
        <v>100</v>
      </c>
      <c r="X35" s="1552"/>
      <c r="Y35" s="3411"/>
      <c r="Z35" s="1560" t="str">
        <f t="shared" si="15"/>
        <v>公共部分装修</v>
      </c>
      <c r="AA35" s="1561">
        <f t="shared" si="3"/>
        <v>1</v>
      </c>
      <c r="AB35" s="1561">
        <f t="shared" si="4"/>
        <v>1</v>
      </c>
      <c r="AC35" s="1561">
        <f t="shared" si="5"/>
        <v>1</v>
      </c>
    </row>
    <row r="36" spans="1:29" ht="15.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11"/>
      <c r="Q36" s="1557" t="str">
        <f t="shared" si="11"/>
        <v>成新度</v>
      </c>
      <c r="R36" s="1558" t="s">
        <v>8</v>
      </c>
      <c r="S36" s="1559" t="e">
        <f t="shared" si="12"/>
        <v>#N/A</v>
      </c>
      <c r="T36" s="1558" t="s">
        <v>8</v>
      </c>
      <c r="U36" s="1559" t="e">
        <f t="shared" si="13"/>
        <v>#N/A</v>
      </c>
      <c r="V36" s="1558" t="s">
        <v>8</v>
      </c>
      <c r="W36" s="1559" t="e">
        <f t="shared" si="14"/>
        <v>#N/A</v>
      </c>
      <c r="X36" s="1552"/>
      <c r="Y36" s="3411"/>
      <c r="Z36" s="1560" t="str">
        <f t="shared" si="15"/>
        <v>成新度</v>
      </c>
      <c r="AA36" s="1561" t="e">
        <f t="shared" si="3"/>
        <v>#N/A</v>
      </c>
      <c r="AB36" s="1561" t="e">
        <f t="shared" si="4"/>
        <v>#N/A</v>
      </c>
      <c r="AC36" s="1561" t="e">
        <f t="shared" si="5"/>
        <v>#N/A</v>
      </c>
    </row>
    <row r="37" spans="1:29" s="1215" customFormat="1" ht="15.5">
      <c r="A37" s="599"/>
      <c r="B37" s="1879"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11"/>
      <c r="Q37" s="1146" t="str">
        <f t="shared" si="11"/>
        <v>市政基础设施</v>
      </c>
      <c r="R37" s="1553" t="s">
        <v>8</v>
      </c>
      <c r="S37" s="1554">
        <f t="shared" si="12"/>
        <v>100</v>
      </c>
      <c r="T37" s="1553" t="s">
        <v>8</v>
      </c>
      <c r="U37" s="1554">
        <f t="shared" si="13"/>
        <v>100</v>
      </c>
      <c r="V37" s="1553" t="s">
        <v>8</v>
      </c>
      <c r="W37" s="1554">
        <f t="shared" si="14"/>
        <v>100</v>
      </c>
      <c r="X37" s="1555"/>
      <c r="Y37" s="3411"/>
      <c r="Z37" s="1145" t="str">
        <f t="shared" si="15"/>
        <v>市政基础设施</v>
      </c>
      <c r="AA37" s="1556">
        <f t="shared" si="3"/>
        <v>1</v>
      </c>
      <c r="AB37" s="1556">
        <f t="shared" si="4"/>
        <v>1</v>
      </c>
      <c r="AC37" s="1556">
        <f t="shared" si="5"/>
        <v>1</v>
      </c>
    </row>
    <row r="38" spans="1:29" ht="15.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11" t="s">
        <v>766</v>
      </c>
      <c r="Q38" s="1557" t="str">
        <f t="shared" si="11"/>
        <v>业态</v>
      </c>
      <c r="R38" s="1558" t="s">
        <v>8</v>
      </c>
      <c r="S38" s="1559">
        <f t="shared" si="12"/>
        <v>100</v>
      </c>
      <c r="T38" s="1558" t="s">
        <v>8</v>
      </c>
      <c r="U38" s="1559">
        <f t="shared" si="13"/>
        <v>100</v>
      </c>
      <c r="V38" s="1558" t="s">
        <v>8</v>
      </c>
      <c r="W38" s="1559">
        <f t="shared" si="14"/>
        <v>100</v>
      </c>
      <c r="X38" s="1552"/>
      <c r="Y38" s="3411" t="s">
        <v>766</v>
      </c>
      <c r="Z38" s="1560" t="str">
        <f t="shared" si="15"/>
        <v>业态</v>
      </c>
      <c r="AA38" s="1561">
        <f t="shared" si="3"/>
        <v>1</v>
      </c>
      <c r="AB38" s="1561">
        <f t="shared" si="4"/>
        <v>1</v>
      </c>
      <c r="AC38" s="1561">
        <f t="shared" si="5"/>
        <v>1</v>
      </c>
    </row>
    <row r="39" spans="1:29" ht="15.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1"/>
      <c r="Q39" s="1557" t="str">
        <f t="shared" si="11"/>
        <v>层高</v>
      </c>
      <c r="R39" s="1558" t="s">
        <v>8</v>
      </c>
      <c r="S39" s="1559">
        <f t="shared" si="12"/>
        <v>100</v>
      </c>
      <c r="T39" s="1558" t="s">
        <v>8</v>
      </c>
      <c r="U39" s="1559">
        <f t="shared" si="13"/>
        <v>100</v>
      </c>
      <c r="V39" s="1558" t="s">
        <v>8</v>
      </c>
      <c r="W39" s="1559">
        <f t="shared" si="14"/>
        <v>100</v>
      </c>
      <c r="X39" s="1552"/>
      <c r="Y39" s="3411"/>
      <c r="Z39" s="1560" t="str">
        <f t="shared" si="15"/>
        <v>层高</v>
      </c>
      <c r="AA39" s="1561">
        <f t="shared" si="3"/>
        <v>1</v>
      </c>
      <c r="AB39" s="1561">
        <f t="shared" si="4"/>
        <v>1</v>
      </c>
      <c r="AC39" s="1561">
        <f t="shared" si="5"/>
        <v>1</v>
      </c>
    </row>
    <row r="40" spans="1:29" ht="15.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11"/>
      <c r="Q40" s="1557" t="str">
        <f t="shared" si="11"/>
        <v>单套建筑面积</v>
      </c>
      <c r="R40" s="1558" t="s">
        <v>8</v>
      </c>
      <c r="S40" s="1559">
        <f t="shared" si="12"/>
        <v>100</v>
      </c>
      <c r="T40" s="1558" t="s">
        <v>8</v>
      </c>
      <c r="U40" s="1559">
        <f t="shared" si="13"/>
        <v>100</v>
      </c>
      <c r="V40" s="1558" t="s">
        <v>8</v>
      </c>
      <c r="W40" s="1559">
        <f t="shared" si="14"/>
        <v>100</v>
      </c>
      <c r="X40" s="1552"/>
      <c r="Y40" s="3411"/>
      <c r="Z40" s="1560" t="str">
        <f t="shared" si="15"/>
        <v>单套建筑面积</v>
      </c>
      <c r="AA40" s="1561">
        <f t="shared" si="3"/>
        <v>1</v>
      </c>
      <c r="AB40" s="1561">
        <f t="shared" si="4"/>
        <v>1</v>
      </c>
      <c r="AC40" s="1561">
        <f t="shared" si="5"/>
        <v>1</v>
      </c>
    </row>
    <row r="41" spans="1:29" s="1334" customFormat="1" ht="15.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11"/>
      <c r="Q41" s="1589" t="str">
        <f t="shared" si="11"/>
        <v>进深比</v>
      </c>
      <c r="R41" s="1562" t="s">
        <v>8</v>
      </c>
      <c r="S41" s="1563">
        <f t="shared" si="12"/>
        <v>100</v>
      </c>
      <c r="T41" s="1562" t="s">
        <v>8</v>
      </c>
      <c r="U41" s="1563">
        <f t="shared" si="13"/>
        <v>100</v>
      </c>
      <c r="V41" s="1562" t="s">
        <v>8</v>
      </c>
      <c r="W41" s="1563">
        <f t="shared" si="14"/>
        <v>100</v>
      </c>
      <c r="X41" s="1564"/>
      <c r="Y41" s="3411"/>
      <c r="Z41" s="1565" t="str">
        <f t="shared" si="15"/>
        <v>进深比</v>
      </c>
      <c r="AA41" s="1561">
        <f t="shared" si="3"/>
        <v>1</v>
      </c>
      <c r="AB41" s="1561">
        <f t="shared" si="4"/>
        <v>1</v>
      </c>
      <c r="AC41" s="1561">
        <f t="shared" si="5"/>
        <v>1</v>
      </c>
    </row>
    <row r="42" spans="1:29" ht="15.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11"/>
      <c r="Q42" s="1557" t="str">
        <f t="shared" si="11"/>
        <v>内部装修</v>
      </c>
      <c r="R42" s="1558" t="s">
        <v>8</v>
      </c>
      <c r="S42" s="1559">
        <f t="shared" si="12"/>
        <v>100</v>
      </c>
      <c r="T42" s="1558" t="s">
        <v>8</v>
      </c>
      <c r="U42" s="1559">
        <f t="shared" si="13"/>
        <v>100</v>
      </c>
      <c r="V42" s="1558" t="s">
        <v>8</v>
      </c>
      <c r="W42" s="1559">
        <f t="shared" si="14"/>
        <v>100</v>
      </c>
      <c r="X42" s="1552"/>
      <c r="Y42" s="3411"/>
      <c r="Z42" s="1560" t="str">
        <f t="shared" si="15"/>
        <v>内部装修</v>
      </c>
      <c r="AA42" s="1561">
        <f t="shared" si="3"/>
        <v>1</v>
      </c>
      <c r="AB42" s="1561">
        <f t="shared" si="4"/>
        <v>1</v>
      </c>
      <c r="AC42" s="1561">
        <f t="shared" si="5"/>
        <v>1</v>
      </c>
    </row>
    <row r="43" spans="1:29" ht="2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11"/>
      <c r="Q43" s="1557" t="str">
        <f t="shared" si="11"/>
        <v>内部装修维护情况</v>
      </c>
      <c r="R43" s="1558" t="s">
        <v>8</v>
      </c>
      <c r="S43" s="1559">
        <f t="shared" si="12"/>
        <v>100</v>
      </c>
      <c r="T43" s="1558" t="s">
        <v>8</v>
      </c>
      <c r="U43" s="1559">
        <f t="shared" si="13"/>
        <v>100</v>
      </c>
      <c r="V43" s="1558" t="s">
        <v>8</v>
      </c>
      <c r="W43" s="1559">
        <f t="shared" si="14"/>
        <v>100</v>
      </c>
      <c r="X43" s="1552"/>
      <c r="Y43" s="3411"/>
      <c r="Z43" s="1560" t="str">
        <f t="shared" si="15"/>
        <v>内部装修维护情况</v>
      </c>
      <c r="AA43" s="1561">
        <f t="shared" si="3"/>
        <v>1</v>
      </c>
      <c r="AB43" s="1561">
        <f t="shared" si="4"/>
        <v>1</v>
      </c>
      <c r="AC43" s="1561">
        <f t="shared" si="5"/>
        <v>1</v>
      </c>
    </row>
    <row r="44" spans="1:29" s="1215" customFormat="1" ht="15.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11"/>
      <c r="Q44" s="1146">
        <f t="shared" si="11"/>
        <v>111</v>
      </c>
      <c r="R44" s="1553" t="s">
        <v>8</v>
      </c>
      <c r="S44" s="1554">
        <f t="shared" si="12"/>
        <v>100</v>
      </c>
      <c r="T44" s="1553" t="s">
        <v>8</v>
      </c>
      <c r="U44" s="1554">
        <f t="shared" si="13"/>
        <v>100</v>
      </c>
      <c r="V44" s="1553" t="s">
        <v>8</v>
      </c>
      <c r="W44" s="1554">
        <f t="shared" si="14"/>
        <v>100</v>
      </c>
      <c r="X44" s="1555"/>
      <c r="Y44" s="3411"/>
      <c r="Z44" s="1145">
        <f t="shared" si="15"/>
        <v>111</v>
      </c>
      <c r="AA44" s="1556">
        <f t="shared" si="3"/>
        <v>1</v>
      </c>
      <c r="AB44" s="1556">
        <f t="shared" si="4"/>
        <v>1</v>
      </c>
      <c r="AC44" s="1556">
        <f t="shared" si="5"/>
        <v>1</v>
      </c>
    </row>
    <row r="45" spans="1:29" ht="15.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11"/>
      <c r="Q45" s="1557">
        <f t="shared" si="11"/>
        <v>111</v>
      </c>
      <c r="R45" s="1558" t="s">
        <v>8</v>
      </c>
      <c r="S45" s="1559">
        <f t="shared" si="12"/>
        <v>100</v>
      </c>
      <c r="T45" s="1558" t="s">
        <v>8</v>
      </c>
      <c r="U45" s="1559">
        <f t="shared" si="13"/>
        <v>100</v>
      </c>
      <c r="V45" s="1558" t="s">
        <v>8</v>
      </c>
      <c r="W45" s="1559">
        <f t="shared" si="14"/>
        <v>100</v>
      </c>
      <c r="X45" s="1552"/>
      <c r="Y45" s="3411"/>
      <c r="Z45" s="1560">
        <f t="shared" si="15"/>
        <v>111</v>
      </c>
      <c r="AA45" s="1561">
        <f t="shared" si="3"/>
        <v>1</v>
      </c>
      <c r="AB45" s="1561">
        <f t="shared" si="4"/>
        <v>1</v>
      </c>
      <c r="AC45" s="1561">
        <f t="shared" si="5"/>
        <v>1</v>
      </c>
    </row>
    <row r="46" spans="1:29" ht="1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92"/>
      <c r="Q46" s="1557">
        <f t="shared" si="11"/>
        <v>111</v>
      </c>
      <c r="R46" s="1558" t="s">
        <v>8</v>
      </c>
      <c r="S46" s="1559">
        <f t="shared" si="12"/>
        <v>100</v>
      </c>
      <c r="T46" s="1558" t="s">
        <v>8</v>
      </c>
      <c r="U46" s="1559">
        <f t="shared" si="13"/>
        <v>100</v>
      </c>
      <c r="V46" s="1558" t="s">
        <v>8</v>
      </c>
      <c r="W46" s="1559">
        <f t="shared" si="14"/>
        <v>100</v>
      </c>
      <c r="X46" s="1552"/>
      <c r="Y46" s="3492"/>
      <c r="Z46" s="1560">
        <f t="shared" si="15"/>
        <v>111</v>
      </c>
      <c r="AA46" s="1561">
        <f t="shared" si="3"/>
        <v>1</v>
      </c>
      <c r="AB46" s="1561">
        <f t="shared" si="4"/>
        <v>1</v>
      </c>
      <c r="AC46" s="1561">
        <f t="shared" si="5"/>
        <v>1</v>
      </c>
    </row>
    <row r="47" spans="1:29">
      <c r="A47" s="606" t="s">
        <v>736</v>
      </c>
      <c r="B47" s="886"/>
      <c r="C47" s="2590" t="s">
        <v>1</v>
      </c>
      <c r="D47" s="2591"/>
      <c r="E47" s="2592"/>
      <c r="F47" s="2593"/>
      <c r="G47" s="2594"/>
      <c r="H47" s="2595"/>
      <c r="I47" s="2592"/>
      <c r="J47" s="2595"/>
      <c r="K47" s="1595"/>
      <c r="L47" s="2128"/>
      <c r="M47" s="2129"/>
      <c r="N47" s="2118"/>
      <c r="O47" s="2129"/>
      <c r="P47" s="3374" t="str">
        <f>A47</f>
        <v>成交单价（元/平方米）</v>
      </c>
      <c r="Q47" s="3374"/>
      <c r="R47" s="3491">
        <f>E47</f>
        <v>0</v>
      </c>
      <c r="S47" s="3491"/>
      <c r="T47" s="3491">
        <f>G47</f>
        <v>0</v>
      </c>
      <c r="U47" s="3491"/>
      <c r="V47" s="3491">
        <f>I47</f>
        <v>0</v>
      </c>
      <c r="W47" s="3491"/>
      <c r="X47" s="1544"/>
      <c r="Y47" s="1566"/>
      <c r="Z47" s="1544"/>
      <c r="AA47" s="1544"/>
      <c r="AB47" s="1544"/>
      <c r="AC47" s="1544"/>
    </row>
    <row r="48" spans="1:29" ht="14.5" thickBot="1">
      <c r="A48" s="614" t="s">
        <v>2757</v>
      </c>
      <c r="B48" s="887"/>
      <c r="C48" s="2596" t="e">
        <f>R49</f>
        <v>#DIV/0!</v>
      </c>
      <c r="D48" s="2597"/>
      <c r="E48" s="2598" t="e">
        <f>R48</f>
        <v>#DIV/0!</v>
      </c>
      <c r="F48" s="2598"/>
      <c r="G48" s="2596" t="e">
        <f>T48</f>
        <v>#DIV/0!</v>
      </c>
      <c r="H48" s="2597"/>
      <c r="I48" s="2598" t="e">
        <f>V48</f>
        <v>#DIV/0!</v>
      </c>
      <c r="J48" s="2597"/>
      <c r="K48" s="1596"/>
      <c r="L48" s="2128"/>
      <c r="M48" s="2129"/>
      <c r="N48" s="2118"/>
      <c r="O48" s="2129"/>
      <c r="P48" s="3374" t="str">
        <f>A48</f>
        <v>比较价格（元/平方米）</v>
      </c>
      <c r="Q48" s="337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4"/>
      <c r="Y48" s="1544"/>
      <c r="Z48" s="1544"/>
      <c r="AA48" s="1544"/>
      <c r="AB48" s="1544"/>
      <c r="AC48" s="1544"/>
    </row>
    <row r="49" spans="1:29" ht="14.5" thickBot="1">
      <c r="A49" s="620" t="s">
        <v>2933</v>
      </c>
      <c r="B49" s="621"/>
      <c r="C49" s="2599" t="e">
        <f>R49</f>
        <v>#DIV/0!</v>
      </c>
      <c r="D49" s="2599"/>
      <c r="E49" s="2599"/>
      <c r="F49" s="2599"/>
      <c r="G49" s="2599"/>
      <c r="H49" s="2599"/>
      <c r="I49" s="2599"/>
      <c r="J49" s="2599"/>
      <c r="K49" s="1597"/>
      <c r="L49" s="2128"/>
      <c r="M49" s="2129"/>
      <c r="N49" s="2118"/>
      <c r="O49" s="2129"/>
      <c r="P49" s="3371" t="str">
        <f>A49</f>
        <v>估价对象XX用房的比较价格（楼面单价，元/平方米）</v>
      </c>
      <c r="Q49" s="3372"/>
      <c r="R49" s="3490" t="e">
        <f>IF(F1="售价",ROUND(AVERAGE(R48:V48),0),ROUND(AVERAGE(R48:V48),1))</f>
        <v>#DIV/0!</v>
      </c>
      <c r="S49" s="3490"/>
      <c r="T49" s="3490"/>
      <c r="U49" s="3490"/>
      <c r="V49" s="3490"/>
      <c r="W49" s="349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c r="A58" s="644" t="s">
        <v>529</v>
      </c>
      <c r="B58" s="645"/>
      <c r="C58" s="2756"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4.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8.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4.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4.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4.5" thickTop="1">
      <c r="A80" s="668"/>
      <c r="B80" s="1880" t="s">
        <v>2555</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4.5" thickTop="1">
      <c r="A82" s="668"/>
      <c r="B82" s="2560" t="s">
        <v>2556</v>
      </c>
      <c r="C82" s="2561" t="s">
        <v>2557</v>
      </c>
      <c r="D82" s="2561" t="s">
        <v>2558</v>
      </c>
      <c r="E82" s="2561" t="s">
        <v>2559</v>
      </c>
      <c r="F82" s="2561" t="s">
        <v>2560</v>
      </c>
      <c r="G82" s="2561" t="s">
        <v>2561</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4.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4.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4.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4.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4.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4.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4.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4.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4.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4.5" thickTop="1">
      <c r="A112" s="727"/>
      <c r="B112" s="1880" t="s">
        <v>2554</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4.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4.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4.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4.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4.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4.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4.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4.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8.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topLeftCell="A18" zoomScale="80" zoomScaleNormal="80" workbookViewId="0">
      <selection activeCell="L35" sqref="L35"/>
    </sheetView>
  </sheetViews>
  <sheetFormatPr defaultColWidth="9" defaultRowHeight="14"/>
  <cols>
    <col min="1" max="1" width="10.453125" style="1332" customWidth="1"/>
    <col min="2" max="2" width="15.81640625" style="1332" customWidth="1"/>
    <col min="3" max="3" width="15.54296875" style="1332" customWidth="1"/>
    <col min="4" max="4" width="12.1796875" style="1332" customWidth="1"/>
    <col min="5" max="5" width="16.08984375" style="1332" customWidth="1"/>
    <col min="6" max="6" width="12.1796875" style="1332" customWidth="1"/>
    <col min="7" max="7" width="15.453125" style="1332" customWidth="1"/>
    <col min="8" max="8" width="12.1796875" style="1332" customWidth="1"/>
    <col min="9" max="9" width="15.36328125" style="1332" customWidth="1"/>
    <col min="10" max="10" width="12.1796875" style="1332" customWidth="1"/>
    <col min="11" max="11" width="12.1796875" style="1338" customWidth="1"/>
    <col min="12" max="12" width="12.1796875" style="1339" customWidth="1"/>
    <col min="13" max="15" width="12.1796875" style="1332" customWidth="1"/>
    <col min="16" max="16" width="4.81640625" style="2205" customWidth="1"/>
    <col min="17" max="17" width="19.453125" style="1332" customWidth="1"/>
    <col min="18" max="22" width="6.08984375" style="1332" customWidth="1"/>
    <col min="23" max="23" width="5.81640625" style="1332" customWidth="1"/>
    <col min="24" max="24" width="4.1796875" style="1332" customWidth="1"/>
    <col min="25" max="25" width="3.453125" style="1332" customWidth="1"/>
    <col min="26" max="26" width="19.81640625" style="1332" customWidth="1"/>
    <col min="27" max="28" width="9.36328125" style="1332" customWidth="1"/>
    <col min="29" max="16384" width="9" style="1332"/>
  </cols>
  <sheetData>
    <row r="1" spans="1:29" s="1331" customFormat="1" ht="28.5" customHeight="1">
      <c r="A1" s="501" t="s">
        <v>718</v>
      </c>
      <c r="B1" s="502" t="s">
        <v>777</v>
      </c>
      <c r="C1" s="503" t="s">
        <v>720</v>
      </c>
      <c r="D1" s="848" t="s">
        <v>1677</v>
      </c>
      <c r="E1" s="505"/>
      <c r="F1" s="2761" t="s">
        <v>3127</v>
      </c>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f>ROUND(B3*D3/10000,0)</f>
        <v>391405</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f>C50</f>
        <v>52555</v>
      </c>
      <c r="C3" s="851" t="s">
        <v>722</v>
      </c>
      <c r="D3" s="850">
        <f>SUMIF('数据-汇总表'!$C19:$C33,D1,'数据-汇总表'!$E19:$E33)</f>
        <v>74475.31</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c r="A4" s="511" t="s">
        <v>521</v>
      </c>
      <c r="B4" s="512"/>
      <c r="C4" s="3380" t="s">
        <v>522</v>
      </c>
      <c r="D4" s="3381"/>
      <c r="E4" s="3414" t="s">
        <v>523</v>
      </c>
      <c r="F4" s="3415"/>
      <c r="G4" s="3380" t="s">
        <v>524</v>
      </c>
      <c r="H4" s="3381"/>
      <c r="I4" s="3380" t="s">
        <v>525</v>
      </c>
      <c r="J4" s="3381"/>
      <c r="K4" s="513" t="s">
        <v>526</v>
      </c>
      <c r="L4" s="2117"/>
      <c r="M4" s="2118"/>
      <c r="N4" s="2118"/>
      <c r="O4" s="2118"/>
      <c r="P4" s="3494" t="s">
        <v>527</v>
      </c>
      <c r="Q4" s="3383"/>
      <c r="R4" s="3388" t="s">
        <v>523</v>
      </c>
      <c r="S4" s="3389"/>
      <c r="T4" s="3388" t="s">
        <v>524</v>
      </c>
      <c r="U4" s="3389"/>
      <c r="V4" s="3375" t="s">
        <v>525</v>
      </c>
      <c r="W4" s="3375"/>
      <c r="X4" s="1552"/>
      <c r="Y4" s="3388" t="s">
        <v>527</v>
      </c>
      <c r="Z4" s="3389"/>
      <c r="AA4" s="3377" t="s">
        <v>523</v>
      </c>
      <c r="AB4" s="3377" t="s">
        <v>524</v>
      </c>
      <c r="AC4" s="3377" t="s">
        <v>525</v>
      </c>
    </row>
    <row r="5" spans="1:29">
      <c r="A5" s="514"/>
      <c r="B5" s="515"/>
      <c r="C5" s="3396" t="s">
        <v>2927</v>
      </c>
      <c r="D5" s="3397"/>
      <c r="E5" s="3498" t="s">
        <v>3103</v>
      </c>
      <c r="F5" s="3417"/>
      <c r="G5" s="3497" t="s">
        <v>3106</v>
      </c>
      <c r="H5" s="3397"/>
      <c r="I5" s="3497" t="s">
        <v>3107</v>
      </c>
      <c r="J5" s="3397"/>
      <c r="K5" s="513"/>
      <c r="L5" s="2117"/>
      <c r="M5" s="2118"/>
      <c r="N5" s="2118"/>
      <c r="O5" s="2118"/>
      <c r="P5" s="3495"/>
      <c r="Q5" s="3385"/>
      <c r="R5" s="3390"/>
      <c r="S5" s="3391"/>
      <c r="T5" s="3390"/>
      <c r="U5" s="3391"/>
      <c r="V5" s="3375"/>
      <c r="W5" s="3375"/>
      <c r="X5" s="1552"/>
      <c r="Y5" s="3390"/>
      <c r="Z5" s="3391"/>
      <c r="AA5" s="3378"/>
      <c r="AB5" s="3378"/>
      <c r="AC5" s="3378"/>
    </row>
    <row r="6" spans="1:29" ht="15" thickBot="1">
      <c r="A6" s="516"/>
      <c r="B6" s="517"/>
      <c r="C6" s="3394" t="s">
        <v>2931</v>
      </c>
      <c r="D6" s="3395"/>
      <c r="E6" s="3412" t="s">
        <v>2931</v>
      </c>
      <c r="F6" s="3413"/>
      <c r="G6" s="3394" t="s">
        <v>2931</v>
      </c>
      <c r="H6" s="3395"/>
      <c r="I6" s="3394" t="s">
        <v>2931</v>
      </c>
      <c r="J6" s="3395"/>
      <c r="K6" s="513" t="s">
        <v>528</v>
      </c>
      <c r="L6" s="2117"/>
      <c r="M6" s="2118"/>
      <c r="N6" s="2118"/>
      <c r="O6" s="2118"/>
      <c r="P6" s="3496"/>
      <c r="Q6" s="3387"/>
      <c r="R6" s="3390"/>
      <c r="S6" s="3391"/>
      <c r="T6" s="3392"/>
      <c r="U6" s="3393"/>
      <c r="V6" s="3375"/>
      <c r="W6" s="3375"/>
      <c r="X6" s="1552"/>
      <c r="Y6" s="3392"/>
      <c r="Z6" s="3393"/>
      <c r="AA6" s="3379"/>
      <c r="AB6" s="3379"/>
      <c r="AC6" s="3379"/>
    </row>
    <row r="7" spans="1:29" s="1215" customFormat="1" ht="14.5" thickBot="1">
      <c r="A7" s="2866"/>
      <c r="B7" s="2873" t="s">
        <v>529</v>
      </c>
      <c r="C7" s="518">
        <f>'数据-取费表'!B2</f>
        <v>43873</v>
      </c>
      <c r="D7" s="519">
        <v>100</v>
      </c>
      <c r="E7" s="520">
        <f>C7</f>
        <v>43873</v>
      </c>
      <c r="F7" s="521">
        <f>SUMIF(59:59,YEAR(E7)&amp;"-"&amp;MONTH(E7),60:60)</f>
        <v>100</v>
      </c>
      <c r="G7" s="520">
        <f>C7</f>
        <v>43873</v>
      </c>
      <c r="H7" s="519">
        <f>SUMIF(59:59,YEAR(G7)&amp;"-"&amp;MONTH(G7),60:60)</f>
        <v>100</v>
      </c>
      <c r="I7" s="520">
        <f>C7</f>
        <v>43873</v>
      </c>
      <c r="J7" s="519">
        <f>SUMIF(59:59,YEAR(I7)&amp;"-"&amp;MONTH(I7),60:60)</f>
        <v>100</v>
      </c>
      <c r="K7" s="523"/>
      <c r="L7" s="2119"/>
      <c r="M7" s="2120"/>
      <c r="N7" s="2120"/>
      <c r="O7" s="2120"/>
      <c r="P7" s="3407" t="s">
        <v>530</v>
      </c>
      <c r="Q7" s="3407"/>
      <c r="R7" s="1553" t="s">
        <v>8</v>
      </c>
      <c r="S7" s="1554">
        <f t="shared" ref="S7:S15" si="0">F7</f>
        <v>100</v>
      </c>
      <c r="T7" s="1553" t="s">
        <v>8</v>
      </c>
      <c r="U7" s="1554">
        <f t="shared" ref="U7:U15" si="1">H7</f>
        <v>100</v>
      </c>
      <c r="V7" s="1553" t="s">
        <v>8</v>
      </c>
      <c r="W7" s="1554">
        <f t="shared" ref="W7:W15" si="2">J7</f>
        <v>100</v>
      </c>
      <c r="X7" s="1555"/>
      <c r="Y7" s="3405" t="s">
        <v>530</v>
      </c>
      <c r="Z7" s="3406"/>
      <c r="AA7" s="1556">
        <f>D7/F7</f>
        <v>1</v>
      </c>
      <c r="AB7" s="1556">
        <f>D7/H7</f>
        <v>1</v>
      </c>
      <c r="AC7" s="1556">
        <f>D7/J7</f>
        <v>1</v>
      </c>
    </row>
    <row r="8" spans="1:29" s="1215" customFormat="1" ht="14.5" thickBot="1">
      <c r="A8" s="2867"/>
      <c r="B8" s="2874"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19"/>
      <c r="M8" s="2120"/>
      <c r="N8" s="2120"/>
      <c r="O8" s="2120"/>
      <c r="P8" s="3407" t="s">
        <v>533</v>
      </c>
      <c r="Q8" s="3406"/>
      <c r="R8" s="1553" t="s">
        <v>8</v>
      </c>
      <c r="S8" s="1554">
        <f t="shared" si="0"/>
        <v>100</v>
      </c>
      <c r="T8" s="1553" t="s">
        <v>8</v>
      </c>
      <c r="U8" s="1554">
        <f t="shared" si="1"/>
        <v>100</v>
      </c>
      <c r="V8" s="1553" t="s">
        <v>8</v>
      </c>
      <c r="W8" s="1554">
        <f t="shared" si="2"/>
        <v>100</v>
      </c>
      <c r="X8" s="1555"/>
      <c r="Y8" s="3405" t="s">
        <v>533</v>
      </c>
      <c r="Z8" s="3406"/>
      <c r="AA8" s="1556">
        <f t="shared" ref="AA8:AA47" si="3">D8/F8</f>
        <v>1</v>
      </c>
      <c r="AB8" s="1556">
        <f t="shared" ref="AB8:AB47" si="4">D8/H8</f>
        <v>1</v>
      </c>
      <c r="AC8" s="1556">
        <f t="shared" ref="AC8:AC47" si="5">D8/J8</f>
        <v>1</v>
      </c>
    </row>
    <row r="9" spans="1:29" s="1215" customFormat="1">
      <c r="A9" s="2868"/>
      <c r="B9" s="2875" t="s">
        <v>2753</v>
      </c>
      <c r="C9" s="3186" t="s">
        <v>3104</v>
      </c>
      <c r="D9" s="253">
        <v>100</v>
      </c>
      <c r="E9" s="859" t="s">
        <v>1677</v>
      </c>
      <c r="F9" s="253">
        <f>SUMIF(64:64,E9,65:65)-SUMIF(64:64,C9,65:65)+100</f>
        <v>100</v>
      </c>
      <c r="G9" s="859" t="s">
        <v>1677</v>
      </c>
      <c r="H9" s="253">
        <f>SUMIF(64:64,G9,65:65)-SUMIF(64:64,C9,65:65)+100</f>
        <v>100</v>
      </c>
      <c r="I9" s="859" t="s">
        <v>1677</v>
      </c>
      <c r="J9" s="253">
        <f>SUMIF(64:64,I9,65:65)-SUMIF(64:64,C9,65:65)+100</f>
        <v>100</v>
      </c>
      <c r="K9" s="523"/>
      <c r="L9" s="2119"/>
      <c r="M9" s="2120"/>
      <c r="N9" s="2120"/>
      <c r="O9" s="2120"/>
      <c r="P9" s="3374" t="s">
        <v>535</v>
      </c>
      <c r="Q9" s="1146" t="str">
        <f t="shared" ref="Q9:Q15" si="6">B9</f>
        <v>用途</v>
      </c>
      <c r="R9" s="1553" t="s">
        <v>8</v>
      </c>
      <c r="S9" s="1554">
        <f t="shared" si="0"/>
        <v>100</v>
      </c>
      <c r="T9" s="1553" t="s">
        <v>8</v>
      </c>
      <c r="U9" s="1554">
        <f t="shared" si="1"/>
        <v>100</v>
      </c>
      <c r="V9" s="1553" t="s">
        <v>8</v>
      </c>
      <c r="W9" s="1554">
        <f t="shared" si="2"/>
        <v>100</v>
      </c>
      <c r="X9" s="1555"/>
      <c r="Y9" s="3320" t="s">
        <v>536</v>
      </c>
      <c r="Z9" s="1145" t="str">
        <f t="shared" ref="Z9:Z15" si="7">Q9</f>
        <v>用途</v>
      </c>
      <c r="AA9" s="1556">
        <f t="shared" si="3"/>
        <v>1</v>
      </c>
      <c r="AB9" s="1556">
        <f t="shared" si="4"/>
        <v>1</v>
      </c>
      <c r="AC9" s="1556">
        <f t="shared" si="5"/>
        <v>1</v>
      </c>
    </row>
    <row r="10" spans="1:29" s="1333" customFormat="1" ht="28">
      <c r="A10" s="2869"/>
      <c r="B10" s="2874" t="s">
        <v>2754</v>
      </c>
      <c r="C10" s="860" t="s">
        <v>3105</v>
      </c>
      <c r="D10" s="254">
        <v>100</v>
      </c>
      <c r="E10" s="860" t="s">
        <v>3105</v>
      </c>
      <c r="F10" s="254">
        <f>SUMIF(66:66,E10,67:67)-SUMIF(66:66,C10,67:67)+100</f>
        <v>100</v>
      </c>
      <c r="G10" s="861" t="s">
        <v>3105</v>
      </c>
      <c r="H10" s="254">
        <f>SUMIF(66:66,G10,67:67)-SUMIF(66:66,C10,67:67)+100</f>
        <v>100</v>
      </c>
      <c r="I10" s="860" t="s">
        <v>3105</v>
      </c>
      <c r="J10" s="254">
        <f>SUMIF(66:66,I10,67:67)-SUMIF(66:66,C10,67:67)+100</f>
        <v>100</v>
      </c>
      <c r="K10" s="583">
        <v>2</v>
      </c>
      <c r="L10" s="2122"/>
      <c r="M10" s="2162"/>
      <c r="N10" s="2162"/>
      <c r="O10" s="2162"/>
      <c r="P10" s="3374"/>
      <c r="Q10" s="1146" t="str">
        <f t="shared" si="6"/>
        <v>土地使用年限（年）</v>
      </c>
      <c r="R10" s="1553" t="s">
        <v>8</v>
      </c>
      <c r="S10" s="1554">
        <f t="shared" si="0"/>
        <v>100</v>
      </c>
      <c r="T10" s="1553" t="s">
        <v>8</v>
      </c>
      <c r="U10" s="1554">
        <f t="shared" si="1"/>
        <v>100</v>
      </c>
      <c r="V10" s="1553" t="s">
        <v>8</v>
      </c>
      <c r="W10" s="1554">
        <f t="shared" si="2"/>
        <v>100</v>
      </c>
      <c r="X10" s="1555"/>
      <c r="Y10" s="3320"/>
      <c r="Z10" s="1145" t="str">
        <f t="shared" si="7"/>
        <v>土地使用年限（年）</v>
      </c>
      <c r="AA10" s="1556">
        <f t="shared" si="3"/>
        <v>1</v>
      </c>
      <c r="AB10" s="1556">
        <f t="shared" si="4"/>
        <v>1</v>
      </c>
      <c r="AC10" s="1556">
        <f t="shared" si="5"/>
        <v>1</v>
      </c>
    </row>
    <row r="11" spans="1:29" ht="16" thickBot="1">
      <c r="A11" s="2870"/>
      <c r="B11" s="2874" t="s">
        <v>2755</v>
      </c>
      <c r="C11" s="532">
        <f>'数据-汇总表'!I6</f>
        <v>0.97</v>
      </c>
      <c r="D11" s="254">
        <v>100</v>
      </c>
      <c r="E11" s="532">
        <v>9.1</v>
      </c>
      <c r="F11" s="254">
        <f>LOOKUP(E11,69:69,70:70)-LOOKUP(C11,69:69,70:70)+100</f>
        <v>91</v>
      </c>
      <c r="G11" s="533">
        <v>8.6999999999999993</v>
      </c>
      <c r="H11" s="254">
        <f>LOOKUP(G11,69:69,70:70)-LOOKUP(C11,69:69,70:70)+100</f>
        <v>92</v>
      </c>
      <c r="I11" s="532">
        <v>7.5</v>
      </c>
      <c r="J11" s="254">
        <f>LOOKUP(I11,69:69,70:70)-LOOKUP(C11,69:69,70:70)+100</f>
        <v>93</v>
      </c>
      <c r="K11" s="583">
        <v>1</v>
      </c>
      <c r="L11" s="2124"/>
      <c r="M11" s="2118"/>
      <c r="N11" s="2118"/>
      <c r="O11" s="2118"/>
      <c r="P11" s="3374"/>
      <c r="Q11" s="1146" t="str">
        <f t="shared" si="6"/>
        <v>容积率</v>
      </c>
      <c r="R11" s="1553" t="s">
        <v>8</v>
      </c>
      <c r="S11" s="1554">
        <f t="shared" si="0"/>
        <v>91</v>
      </c>
      <c r="T11" s="1553" t="s">
        <v>8</v>
      </c>
      <c r="U11" s="1554">
        <f t="shared" si="1"/>
        <v>92</v>
      </c>
      <c r="V11" s="1553" t="s">
        <v>8</v>
      </c>
      <c r="W11" s="1554">
        <f t="shared" si="2"/>
        <v>93</v>
      </c>
      <c r="X11" s="1555"/>
      <c r="Y11" s="3320"/>
      <c r="Z11" s="1145" t="str">
        <f t="shared" si="7"/>
        <v>容积率</v>
      </c>
      <c r="AA11" s="1556">
        <f t="shared" si="3"/>
        <v>1.098901098901099</v>
      </c>
      <c r="AB11" s="1556">
        <f t="shared" si="4"/>
        <v>1.0869565217391304</v>
      </c>
      <c r="AC11" s="1556">
        <f t="shared" si="5"/>
        <v>1.075268817204301</v>
      </c>
    </row>
    <row r="12" spans="1:29" s="1215" customFormat="1" ht="15.5" hidden="1">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74"/>
      <c r="Q12" s="1146">
        <f t="shared" si="6"/>
        <v>111</v>
      </c>
      <c r="R12" s="1553" t="s">
        <v>8</v>
      </c>
      <c r="S12" s="1554">
        <f t="shared" si="0"/>
        <v>100</v>
      </c>
      <c r="T12" s="1553" t="s">
        <v>8</v>
      </c>
      <c r="U12" s="1554">
        <f t="shared" si="1"/>
        <v>100</v>
      </c>
      <c r="V12" s="1553" t="s">
        <v>8</v>
      </c>
      <c r="W12" s="1554">
        <f t="shared" si="2"/>
        <v>100</v>
      </c>
      <c r="X12" s="1555"/>
      <c r="Y12" s="3320"/>
      <c r="Z12" s="1145">
        <f t="shared" si="7"/>
        <v>111</v>
      </c>
      <c r="AA12" s="1556">
        <f>D12/F12</f>
        <v>1</v>
      </c>
      <c r="AB12" s="1556">
        <f>D12/H12</f>
        <v>1</v>
      </c>
      <c r="AC12" s="1556">
        <f>D12/J12</f>
        <v>1</v>
      </c>
    </row>
    <row r="13" spans="1:29" ht="15.5" hidden="1">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74"/>
      <c r="Q13" s="1146">
        <f t="shared" si="6"/>
        <v>111</v>
      </c>
      <c r="R13" s="1553" t="s">
        <v>8</v>
      </c>
      <c r="S13" s="1554">
        <f t="shared" si="0"/>
        <v>100</v>
      </c>
      <c r="T13" s="1553" t="s">
        <v>8</v>
      </c>
      <c r="U13" s="1554">
        <f t="shared" si="1"/>
        <v>100</v>
      </c>
      <c r="V13" s="1553" t="s">
        <v>8</v>
      </c>
      <c r="W13" s="1554">
        <f t="shared" si="2"/>
        <v>100</v>
      </c>
      <c r="X13" s="1555"/>
      <c r="Y13" s="3320"/>
      <c r="Z13" s="1145">
        <f t="shared" si="7"/>
        <v>111</v>
      </c>
      <c r="AA13" s="1556">
        <f t="shared" si="3"/>
        <v>1</v>
      </c>
      <c r="AB13" s="1556">
        <f t="shared" si="4"/>
        <v>1</v>
      </c>
      <c r="AC13" s="1556">
        <f t="shared" si="5"/>
        <v>1</v>
      </c>
    </row>
    <row r="14" spans="1:29" ht="16" hidden="1"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74"/>
      <c r="Q14" s="1146">
        <f t="shared" si="6"/>
        <v>111</v>
      </c>
      <c r="R14" s="1553" t="s">
        <v>8</v>
      </c>
      <c r="S14" s="1554">
        <f t="shared" si="0"/>
        <v>100</v>
      </c>
      <c r="T14" s="1553" t="s">
        <v>8</v>
      </c>
      <c r="U14" s="1554">
        <f t="shared" si="1"/>
        <v>100</v>
      </c>
      <c r="V14" s="1553" t="s">
        <v>8</v>
      </c>
      <c r="W14" s="1554">
        <f t="shared" si="2"/>
        <v>100</v>
      </c>
      <c r="X14" s="1555"/>
      <c r="Y14" s="3320"/>
      <c r="Z14" s="1145">
        <f t="shared" si="7"/>
        <v>111</v>
      </c>
      <c r="AA14" s="1556">
        <f t="shared" si="3"/>
        <v>1</v>
      </c>
      <c r="AB14" s="1556">
        <f t="shared" si="4"/>
        <v>1</v>
      </c>
      <c r="AC14" s="1556">
        <f t="shared" si="5"/>
        <v>1</v>
      </c>
    </row>
    <row r="15" spans="1:29" ht="70">
      <c r="A15" s="2864"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v>1</v>
      </c>
      <c r="L15" s="2126"/>
      <c r="M15" s="2118"/>
      <c r="N15" s="2118"/>
      <c r="O15" s="2118"/>
      <c r="P15" s="3408" t="s">
        <v>540</v>
      </c>
      <c r="Q15" s="1557" t="str">
        <f t="shared" si="6"/>
        <v>办公集聚程度</v>
      </c>
      <c r="R15" s="1558" t="s">
        <v>8</v>
      </c>
      <c r="S15" s="1559">
        <f t="shared" si="0"/>
        <v>100</v>
      </c>
      <c r="T15" s="1558" t="s">
        <v>8</v>
      </c>
      <c r="U15" s="1559">
        <f t="shared" si="1"/>
        <v>100</v>
      </c>
      <c r="V15" s="1558" t="s">
        <v>8</v>
      </c>
      <c r="W15" s="1559">
        <f t="shared" si="2"/>
        <v>100</v>
      </c>
      <c r="X15" s="1552"/>
      <c r="Y15" s="3408" t="s">
        <v>540</v>
      </c>
      <c r="Z15" s="1560" t="str">
        <f t="shared" si="7"/>
        <v>办公集聚程度</v>
      </c>
      <c r="AA15" s="1561">
        <f t="shared" si="3"/>
        <v>1</v>
      </c>
      <c r="AB15" s="1561">
        <f t="shared" si="4"/>
        <v>1</v>
      </c>
      <c r="AC15" s="1561">
        <f t="shared" si="5"/>
        <v>1</v>
      </c>
    </row>
    <row r="16" spans="1:29" ht="15.5">
      <c r="A16" s="531"/>
      <c r="B16" s="552"/>
      <c r="C16" s="553" t="s">
        <v>3080</v>
      </c>
      <c r="D16" s="554"/>
      <c r="E16" s="553" t="s">
        <v>3080</v>
      </c>
      <c r="F16" s="554"/>
      <c r="G16" s="553" t="s">
        <v>3080</v>
      </c>
      <c r="H16" s="558"/>
      <c r="I16" s="553" t="s">
        <v>3080</v>
      </c>
      <c r="J16" s="554"/>
      <c r="K16" s="898"/>
      <c r="L16" s="2126"/>
      <c r="M16" s="2118"/>
      <c r="N16" s="2118"/>
      <c r="O16" s="2118"/>
      <c r="P16" s="3409"/>
      <c r="Q16" s="1557"/>
      <c r="R16" s="1558"/>
      <c r="S16" s="1559"/>
      <c r="T16" s="1558"/>
      <c r="U16" s="1559"/>
      <c r="V16" s="1558"/>
      <c r="W16" s="1559"/>
      <c r="X16" s="1552"/>
      <c r="Y16" s="3409"/>
      <c r="Z16" s="1560"/>
      <c r="AA16" s="1561">
        <v>1</v>
      </c>
      <c r="AB16" s="1561">
        <v>1</v>
      </c>
      <c r="AC16" s="1561">
        <v>1</v>
      </c>
    </row>
    <row r="17" spans="1:29" ht="84">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v>1</v>
      </c>
      <c r="L17" s="2126"/>
      <c r="M17" s="2118"/>
      <c r="N17" s="2118"/>
      <c r="O17" s="2118"/>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5.5">
      <c r="A18" s="531"/>
      <c r="B18" s="565"/>
      <c r="C18" s="566" t="s">
        <v>3080</v>
      </c>
      <c r="D18" s="558"/>
      <c r="E18" s="566" t="s">
        <v>3080</v>
      </c>
      <c r="F18" s="558"/>
      <c r="G18" s="566" t="s">
        <v>3080</v>
      </c>
      <c r="H18" s="554"/>
      <c r="I18" s="566" t="s">
        <v>3080</v>
      </c>
      <c r="J18" s="554"/>
      <c r="K18" s="898"/>
      <c r="L18" s="2126"/>
      <c r="M18" s="2118"/>
      <c r="N18" s="2118"/>
      <c r="O18" s="2118"/>
      <c r="P18" s="3409"/>
      <c r="Q18" s="1557"/>
      <c r="R18" s="1558"/>
      <c r="S18" s="1559"/>
      <c r="T18" s="1558"/>
      <c r="U18" s="1559"/>
      <c r="V18" s="1558"/>
      <c r="W18" s="1559"/>
      <c r="X18" s="1552"/>
      <c r="Y18" s="3409"/>
      <c r="Z18" s="1560"/>
      <c r="AA18" s="1561">
        <v>1</v>
      </c>
      <c r="AB18" s="1561">
        <v>1</v>
      </c>
      <c r="AC18" s="1561">
        <v>1</v>
      </c>
    </row>
    <row r="19" spans="1:29" ht="42">
      <c r="A19" s="531"/>
      <c r="B19" s="2566"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v>1</v>
      </c>
      <c r="L19" s="2126"/>
      <c r="M19" s="2118"/>
      <c r="N19" s="2118"/>
      <c r="O19" s="2118"/>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5.5">
      <c r="A20" s="531"/>
      <c r="B20" s="565"/>
      <c r="C20" s="553" t="s">
        <v>3080</v>
      </c>
      <c r="D20" s="554"/>
      <c r="E20" s="553" t="s">
        <v>3080</v>
      </c>
      <c r="F20" s="554"/>
      <c r="G20" s="553" t="s">
        <v>3080</v>
      </c>
      <c r="H20" s="554"/>
      <c r="I20" s="553" t="s">
        <v>3080</v>
      </c>
      <c r="J20" s="554"/>
      <c r="K20" s="898"/>
      <c r="L20" s="2126"/>
      <c r="M20" s="2118"/>
      <c r="N20" s="2118"/>
      <c r="O20" s="2118"/>
      <c r="P20" s="3409"/>
      <c r="Q20" s="1557"/>
      <c r="R20" s="1558"/>
      <c r="S20" s="1559"/>
      <c r="T20" s="1558"/>
      <c r="U20" s="1559"/>
      <c r="V20" s="1558"/>
      <c r="W20" s="1559"/>
      <c r="X20" s="1552"/>
      <c r="Y20" s="3409"/>
      <c r="Z20" s="1560"/>
      <c r="AA20" s="1561">
        <v>1</v>
      </c>
      <c r="AB20" s="1561">
        <v>1</v>
      </c>
      <c r="AC20" s="1561">
        <v>1</v>
      </c>
    </row>
    <row r="21" spans="1:29" ht="28">
      <c r="A21" s="531"/>
      <c r="B21" s="2554"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v>1</v>
      </c>
      <c r="L21" s="2126"/>
      <c r="M21" s="2118"/>
      <c r="N21" s="2118"/>
      <c r="O21" s="2118"/>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5.5">
      <c r="A22" s="531"/>
      <c r="B22" s="577"/>
      <c r="C22" s="566" t="s">
        <v>3082</v>
      </c>
      <c r="D22" s="554"/>
      <c r="E22" s="566" t="s">
        <v>3082</v>
      </c>
      <c r="F22" s="554"/>
      <c r="G22" s="566" t="s">
        <v>3082</v>
      </c>
      <c r="H22" s="554"/>
      <c r="I22" s="566" t="s">
        <v>3082</v>
      </c>
      <c r="J22" s="554"/>
      <c r="K22" s="2565"/>
      <c r="L22" s="2126"/>
      <c r="M22" s="2118"/>
      <c r="N22" s="2118"/>
      <c r="O22" s="2118"/>
      <c r="P22" s="3409"/>
      <c r="Q22" s="2542"/>
      <c r="R22" s="1558"/>
      <c r="S22" s="1559"/>
      <c r="T22" s="1558"/>
      <c r="U22" s="1559"/>
      <c r="V22" s="1558"/>
      <c r="W22" s="1559"/>
      <c r="X22" s="2544"/>
      <c r="Y22" s="3409"/>
      <c r="Z22" s="2543"/>
      <c r="AA22" s="1561">
        <v>1</v>
      </c>
      <c r="AB22" s="1561">
        <v>1</v>
      </c>
      <c r="AC22" s="1561">
        <v>1</v>
      </c>
    </row>
    <row r="23" spans="1:29" ht="56">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v>1</v>
      </c>
      <c r="L23" s="2126"/>
      <c r="M23" s="2118"/>
      <c r="N23" s="2118"/>
      <c r="O23" s="2118"/>
      <c r="P23" s="3409"/>
      <c r="Q23" s="1557" t="str">
        <f>B23</f>
        <v>环境质量</v>
      </c>
      <c r="R23" s="1558" t="s">
        <v>8</v>
      </c>
      <c r="S23" s="1559">
        <f>F23</f>
        <v>100</v>
      </c>
      <c r="T23" s="1558" t="s">
        <v>8</v>
      </c>
      <c r="U23" s="1559">
        <f>H23</f>
        <v>100</v>
      </c>
      <c r="V23" s="1558" t="s">
        <v>8</v>
      </c>
      <c r="W23" s="1559">
        <f>J23</f>
        <v>100</v>
      </c>
      <c r="X23" s="1552"/>
      <c r="Y23" s="3409"/>
      <c r="Z23" s="1560" t="str">
        <f>Q23</f>
        <v>环境质量</v>
      </c>
      <c r="AA23" s="1561">
        <f t="shared" si="3"/>
        <v>1</v>
      </c>
      <c r="AB23" s="1561">
        <f t="shared" si="4"/>
        <v>1</v>
      </c>
      <c r="AC23" s="1561">
        <f t="shared" si="5"/>
        <v>1</v>
      </c>
    </row>
    <row r="24" spans="1:29" ht="16" thickBot="1">
      <c r="A24" s="531"/>
      <c r="B24" s="577"/>
      <c r="C24" s="553" t="s">
        <v>3081</v>
      </c>
      <c r="D24" s="554"/>
      <c r="E24" s="553" t="s">
        <v>3081</v>
      </c>
      <c r="F24" s="554"/>
      <c r="G24" s="553" t="s">
        <v>3081</v>
      </c>
      <c r="H24" s="554"/>
      <c r="I24" s="553" t="s">
        <v>3081</v>
      </c>
      <c r="J24" s="554"/>
      <c r="K24" s="898"/>
      <c r="L24" s="2126"/>
      <c r="M24" s="2118"/>
      <c r="N24" s="2118"/>
      <c r="O24" s="2118"/>
      <c r="P24" s="3409"/>
      <c r="Q24" s="1557"/>
      <c r="R24" s="1558"/>
      <c r="S24" s="1559"/>
      <c r="T24" s="1558"/>
      <c r="U24" s="1559"/>
      <c r="V24" s="1558"/>
      <c r="W24" s="1559"/>
      <c r="X24" s="1552"/>
      <c r="Y24" s="3409"/>
      <c r="Z24" s="1560"/>
      <c r="AA24" s="1561">
        <v>1</v>
      </c>
      <c r="AB24" s="1561">
        <v>1</v>
      </c>
      <c r="AC24" s="1561">
        <v>1</v>
      </c>
    </row>
    <row r="25" spans="1:29" ht="28" hidden="1">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v>1</v>
      </c>
      <c r="L25" s="2126"/>
      <c r="M25" s="2118"/>
      <c r="N25" s="2118"/>
      <c r="O25" s="2118"/>
      <c r="P25" s="3409"/>
      <c r="Q25" s="1557" t="str">
        <f>B25</f>
        <v>毗邻道路的类型与等级</v>
      </c>
      <c r="R25" s="1558" t="s">
        <v>8</v>
      </c>
      <c r="S25" s="1559">
        <f>F25</f>
        <v>100</v>
      </c>
      <c r="T25" s="1558" t="s">
        <v>8</v>
      </c>
      <c r="U25" s="1559">
        <f>H25</f>
        <v>100</v>
      </c>
      <c r="V25" s="1558" t="s">
        <v>8</v>
      </c>
      <c r="W25" s="1559">
        <f>J25</f>
        <v>100</v>
      </c>
      <c r="X25" s="1552"/>
      <c r="Y25" s="3409"/>
      <c r="Z25" s="1560" t="str">
        <f>Q25</f>
        <v>毗邻道路的类型与等级</v>
      </c>
      <c r="AA25" s="1561">
        <f t="shared" si="3"/>
        <v>1</v>
      </c>
      <c r="AB25" s="1561">
        <f t="shared" si="4"/>
        <v>1</v>
      </c>
      <c r="AC25" s="1561">
        <f t="shared" si="5"/>
        <v>1</v>
      </c>
    </row>
    <row r="26" spans="1:29" ht="16" hidden="1" thickBot="1">
      <c r="A26" s="514"/>
      <c r="B26" s="565"/>
      <c r="C26" s="579" t="s">
        <v>3113</v>
      </c>
      <c r="D26" s="539"/>
      <c r="E26" s="582" t="s">
        <v>3113</v>
      </c>
      <c r="F26" s="539"/>
      <c r="G26" s="579" t="s">
        <v>3113</v>
      </c>
      <c r="H26" s="539"/>
      <c r="I26" s="582" t="s">
        <v>3113</v>
      </c>
      <c r="J26" s="539"/>
      <c r="K26" s="898"/>
      <c r="L26" s="2126"/>
      <c r="M26" s="2118"/>
      <c r="N26" s="2118"/>
      <c r="O26" s="2118"/>
      <c r="P26" s="3409"/>
      <c r="Q26" s="1557"/>
      <c r="R26" s="1558"/>
      <c r="S26" s="1559"/>
      <c r="T26" s="1558"/>
      <c r="U26" s="1559"/>
      <c r="V26" s="1558"/>
      <c r="W26" s="1559"/>
      <c r="X26" s="1552"/>
      <c r="Y26" s="3409"/>
      <c r="Z26" s="1560"/>
      <c r="AA26" s="1561">
        <v>1</v>
      </c>
      <c r="AB26" s="1561">
        <v>1</v>
      </c>
      <c r="AC26" s="1561">
        <v>1</v>
      </c>
    </row>
    <row r="27" spans="1:29" ht="15.5" hidden="1">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09"/>
      <c r="Q27" s="1557" t="str">
        <f t="shared" ref="Q27:Q47" si="11">B27</f>
        <v>楼层</v>
      </c>
      <c r="R27" s="1558" t="s">
        <v>8</v>
      </c>
      <c r="S27" s="1559">
        <f>F27</f>
        <v>100</v>
      </c>
      <c r="T27" s="1558" t="s">
        <v>8</v>
      </c>
      <c r="U27" s="1559">
        <f>H27</f>
        <v>100</v>
      </c>
      <c r="V27" s="1558" t="s">
        <v>8</v>
      </c>
      <c r="W27" s="1559">
        <f>J27</f>
        <v>100</v>
      </c>
      <c r="X27" s="1552"/>
      <c r="Y27" s="3409"/>
      <c r="Z27" s="1560" t="str">
        <f>Q27</f>
        <v>楼层</v>
      </c>
      <c r="AA27" s="1561">
        <f t="shared" si="3"/>
        <v>1</v>
      </c>
      <c r="AB27" s="1561">
        <f t="shared" si="4"/>
        <v>1</v>
      </c>
      <c r="AC27" s="1561">
        <f t="shared" si="5"/>
        <v>1</v>
      </c>
    </row>
    <row r="28" spans="1:29" s="1215" customFormat="1" ht="15.5" hidden="1">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09"/>
      <c r="Q28" s="1146" t="str">
        <f t="shared" si="11"/>
        <v>朝向</v>
      </c>
      <c r="R28" s="1553" t="s">
        <v>8</v>
      </c>
      <c r="S28" s="1554">
        <f>F28</f>
        <v>100</v>
      </c>
      <c r="T28" s="1553" t="s">
        <v>8</v>
      </c>
      <c r="U28" s="1554">
        <f>H28</f>
        <v>100</v>
      </c>
      <c r="V28" s="1553" t="s">
        <v>8</v>
      </c>
      <c r="W28" s="1554">
        <f>J28</f>
        <v>100</v>
      </c>
      <c r="X28" s="1555"/>
      <c r="Y28" s="3409"/>
      <c r="Z28" s="1145" t="str">
        <f>Q28</f>
        <v>朝向</v>
      </c>
      <c r="AA28" s="1561">
        <f>D28/F28</f>
        <v>1</v>
      </c>
      <c r="AB28" s="1561">
        <f>D28/H28</f>
        <v>1</v>
      </c>
      <c r="AC28" s="1561">
        <f>D28/J28</f>
        <v>1</v>
      </c>
    </row>
    <row r="29" spans="1:29" ht="15.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09"/>
      <c r="Q29" s="1557">
        <f t="shared" si="11"/>
        <v>111</v>
      </c>
      <c r="R29" s="1558" t="s">
        <v>8</v>
      </c>
      <c r="S29" s="1559">
        <f t="shared" ref="S29:S47" si="12">F29</f>
        <v>100</v>
      </c>
      <c r="T29" s="1558" t="s">
        <v>8</v>
      </c>
      <c r="U29" s="1559">
        <f t="shared" ref="U29:U47" si="13">H29</f>
        <v>100</v>
      </c>
      <c r="V29" s="1558" t="s">
        <v>8</v>
      </c>
      <c r="W29" s="1559">
        <f t="shared" ref="W29:W47" si="14">J29</f>
        <v>100</v>
      </c>
      <c r="X29" s="1552"/>
      <c r="Y29" s="3409"/>
      <c r="Z29" s="1560">
        <f t="shared" ref="Z29:Z47" si="15">Q29</f>
        <v>111</v>
      </c>
      <c r="AA29" s="1561">
        <f t="shared" si="3"/>
        <v>1</v>
      </c>
      <c r="AB29" s="1561">
        <f t="shared" si="4"/>
        <v>1</v>
      </c>
      <c r="AC29" s="1561">
        <f t="shared" si="5"/>
        <v>1</v>
      </c>
    </row>
    <row r="30" spans="1:29" ht="15.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09"/>
      <c r="Q30" s="1557">
        <f t="shared" si="11"/>
        <v>111</v>
      </c>
      <c r="R30" s="1558" t="s">
        <v>8</v>
      </c>
      <c r="S30" s="1559">
        <f t="shared" si="12"/>
        <v>100</v>
      </c>
      <c r="T30" s="1558" t="s">
        <v>8</v>
      </c>
      <c r="U30" s="1559">
        <f t="shared" si="13"/>
        <v>100</v>
      </c>
      <c r="V30" s="1558" t="s">
        <v>8</v>
      </c>
      <c r="W30" s="1559">
        <f t="shared" si="14"/>
        <v>100</v>
      </c>
      <c r="X30" s="1552"/>
      <c r="Y30" s="3409"/>
      <c r="Z30" s="1560">
        <f t="shared" si="15"/>
        <v>111</v>
      </c>
      <c r="AA30" s="1561">
        <f t="shared" si="3"/>
        <v>1</v>
      </c>
      <c r="AB30" s="1561">
        <f t="shared" si="4"/>
        <v>1</v>
      </c>
      <c r="AC30" s="1561">
        <f t="shared" si="5"/>
        <v>1</v>
      </c>
    </row>
    <row r="31" spans="1:29" ht="15.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09"/>
      <c r="Q31" s="1557">
        <f t="shared" si="11"/>
        <v>111</v>
      </c>
      <c r="R31" s="1558" t="s">
        <v>8</v>
      </c>
      <c r="S31" s="1559">
        <f t="shared" si="12"/>
        <v>100</v>
      </c>
      <c r="T31" s="1558" t="s">
        <v>8</v>
      </c>
      <c r="U31" s="1559">
        <f t="shared" si="13"/>
        <v>100</v>
      </c>
      <c r="V31" s="1558" t="s">
        <v>8</v>
      </c>
      <c r="W31" s="1559">
        <f t="shared" si="14"/>
        <v>100</v>
      </c>
      <c r="X31" s="1552"/>
      <c r="Y31" s="3409"/>
      <c r="Z31" s="1560">
        <f t="shared" si="15"/>
        <v>111</v>
      </c>
      <c r="AA31" s="1561">
        <f t="shared" si="3"/>
        <v>1</v>
      </c>
      <c r="AB31" s="1561">
        <f t="shared" si="4"/>
        <v>1</v>
      </c>
      <c r="AC31" s="1561">
        <f t="shared" si="5"/>
        <v>1</v>
      </c>
    </row>
    <row r="32" spans="1:29" ht="16"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09"/>
      <c r="Q32" s="1557">
        <f t="shared" si="11"/>
        <v>111</v>
      </c>
      <c r="R32" s="1558" t="s">
        <v>8</v>
      </c>
      <c r="S32" s="1559">
        <f t="shared" si="12"/>
        <v>100</v>
      </c>
      <c r="T32" s="1558" t="s">
        <v>8</v>
      </c>
      <c r="U32" s="1559">
        <f t="shared" si="13"/>
        <v>100</v>
      </c>
      <c r="V32" s="1558" t="s">
        <v>8</v>
      </c>
      <c r="W32" s="1559">
        <f t="shared" si="14"/>
        <v>100</v>
      </c>
      <c r="X32" s="1552"/>
      <c r="Y32" s="3409"/>
      <c r="Z32" s="1560">
        <f t="shared" si="15"/>
        <v>111</v>
      </c>
      <c r="AA32" s="1561">
        <f t="shared" si="3"/>
        <v>1</v>
      </c>
      <c r="AB32" s="1561">
        <f t="shared" si="4"/>
        <v>1</v>
      </c>
      <c r="AC32" s="1561">
        <f t="shared" si="5"/>
        <v>1</v>
      </c>
    </row>
    <row r="33" spans="1:29" ht="15.5">
      <c r="A33" s="2861" t="s">
        <v>2752</v>
      </c>
      <c r="B33" s="172" t="s">
        <v>780</v>
      </c>
      <c r="C33" s="915" t="s">
        <v>3114</v>
      </c>
      <c r="D33" s="596">
        <v>100</v>
      </c>
      <c r="E33" s="915" t="s">
        <v>3116</v>
      </c>
      <c r="F33" s="574">
        <f>SUMIF(101:101,E33,102:102)-SUMIF(101:101,C33,102:102)+100</f>
        <v>105</v>
      </c>
      <c r="G33" s="915" t="s">
        <v>3116</v>
      </c>
      <c r="H33" s="539">
        <f>SUMIF(101:101,G33,102:102)-SUMIF(101:101,C33,102:102)+100</f>
        <v>105</v>
      </c>
      <c r="I33" s="915" t="s">
        <v>3116</v>
      </c>
      <c r="J33" s="596">
        <f>SUMIF(101:101,I33,102:102)-SUMIF(101:101,C33,102:102)+100</f>
        <v>105</v>
      </c>
      <c r="K33" s="583">
        <v>5</v>
      </c>
      <c r="L33" s="2126"/>
      <c r="M33" s="2118"/>
      <c r="N33" s="2118"/>
      <c r="O33" s="2118"/>
      <c r="P33" s="3410" t="s">
        <v>550</v>
      </c>
      <c r="Q33" s="1557" t="str">
        <f t="shared" si="11"/>
        <v>建筑类型</v>
      </c>
      <c r="R33" s="1558" t="s">
        <v>8</v>
      </c>
      <c r="S33" s="1559">
        <f t="shared" si="12"/>
        <v>105</v>
      </c>
      <c r="T33" s="1558" t="s">
        <v>8</v>
      </c>
      <c r="U33" s="1559">
        <f t="shared" si="13"/>
        <v>105</v>
      </c>
      <c r="V33" s="1558" t="s">
        <v>8</v>
      </c>
      <c r="W33" s="1559">
        <f t="shared" si="14"/>
        <v>105</v>
      </c>
      <c r="X33" s="1552"/>
      <c r="Y33" s="3411" t="s">
        <v>550</v>
      </c>
      <c r="Z33" s="1560" t="str">
        <f t="shared" si="15"/>
        <v>建筑类型</v>
      </c>
      <c r="AA33" s="1561">
        <f t="shared" si="3"/>
        <v>0.95238095238095233</v>
      </c>
      <c r="AB33" s="1561">
        <f t="shared" si="4"/>
        <v>0.95238095238095233</v>
      </c>
      <c r="AC33" s="1561">
        <f t="shared" si="5"/>
        <v>0.95238095238095233</v>
      </c>
    </row>
    <row r="34" spans="1:29" s="1334" customFormat="1" ht="15.5">
      <c r="A34" s="602"/>
      <c r="B34" s="526" t="s">
        <v>726</v>
      </c>
      <c r="C34" s="879">
        <f>'数据-汇总表'!E3</f>
        <v>189603.41999999995</v>
      </c>
      <c r="D34" s="254">
        <v>100</v>
      </c>
      <c r="E34" s="533">
        <v>716037</v>
      </c>
      <c r="F34" s="862">
        <f>LOOKUP(E34,104:104,105:105)-LOOKUP(C34,104:104,105:105)+100</f>
        <v>103</v>
      </c>
      <c r="G34" s="532">
        <v>117609</v>
      </c>
      <c r="H34" s="254">
        <f>LOOKUP(G34,104:104,105:105)-LOOKUP(C34,104:104,105:105)+100</f>
        <v>100</v>
      </c>
      <c r="I34" s="532">
        <v>315968</v>
      </c>
      <c r="J34" s="254">
        <f>LOOKUP(I34,104:104,105:105)-LOOKUP(C34,104:104,105:105)+100</f>
        <v>101</v>
      </c>
      <c r="K34" s="580"/>
      <c r="L34" s="2124"/>
      <c r="M34" s="2155"/>
      <c r="N34" s="2155"/>
      <c r="O34" s="2155"/>
      <c r="P34" s="3411"/>
      <c r="Q34" s="1589" t="str">
        <f t="shared" si="11"/>
        <v>项目建筑规模</v>
      </c>
      <c r="R34" s="1562" t="s">
        <v>8</v>
      </c>
      <c r="S34" s="1563">
        <f t="shared" si="12"/>
        <v>103</v>
      </c>
      <c r="T34" s="1562" t="s">
        <v>8</v>
      </c>
      <c r="U34" s="1563">
        <f t="shared" si="13"/>
        <v>100</v>
      </c>
      <c r="V34" s="1562" t="s">
        <v>8</v>
      </c>
      <c r="W34" s="1563">
        <f t="shared" si="14"/>
        <v>101</v>
      </c>
      <c r="X34" s="1564"/>
      <c r="Y34" s="3411"/>
      <c r="Z34" s="1565" t="str">
        <f t="shared" si="15"/>
        <v>项目建筑规模</v>
      </c>
      <c r="AA34" s="1561">
        <f t="shared" si="3"/>
        <v>0.970873786407767</v>
      </c>
      <c r="AB34" s="1561">
        <f t="shared" si="4"/>
        <v>1</v>
      </c>
      <c r="AC34" s="1561">
        <f t="shared" si="5"/>
        <v>0.99009900990099009</v>
      </c>
    </row>
    <row r="35" spans="1:29" ht="15.5">
      <c r="A35" s="593"/>
      <c r="B35" s="526" t="s">
        <v>727</v>
      </c>
      <c r="C35" s="573" t="s">
        <v>3102</v>
      </c>
      <c r="D35" s="539">
        <v>100</v>
      </c>
      <c r="E35" s="573" t="s">
        <v>3102</v>
      </c>
      <c r="F35" s="574">
        <f>SUMIF(106:106,E35,107:107)-SUMIF(106:106,C35,107:107)+100</f>
        <v>100</v>
      </c>
      <c r="G35" s="573" t="s">
        <v>3102</v>
      </c>
      <c r="H35" s="539">
        <f>SUMIF(106:106,G35,107:107)-SUMIF(106:106,C35,107:107)+100</f>
        <v>100</v>
      </c>
      <c r="I35" s="573" t="s">
        <v>3102</v>
      </c>
      <c r="J35" s="539">
        <f>SUMIF(106:106,I35,107:107)-SUMIF(106:106,C35,107:107)+100</f>
        <v>100</v>
      </c>
      <c r="K35" s="583">
        <v>1</v>
      </c>
      <c r="L35" s="2126"/>
      <c r="M35" s="2118"/>
      <c r="N35" s="2118"/>
      <c r="O35" s="2118"/>
      <c r="P35" s="3411"/>
      <c r="Q35" s="1557" t="str">
        <f t="shared" si="11"/>
        <v>建筑结构</v>
      </c>
      <c r="R35" s="1558" t="s">
        <v>8</v>
      </c>
      <c r="S35" s="1559">
        <f t="shared" si="12"/>
        <v>100</v>
      </c>
      <c r="T35" s="1558" t="s">
        <v>8</v>
      </c>
      <c r="U35" s="1559">
        <f t="shared" si="13"/>
        <v>100</v>
      </c>
      <c r="V35" s="1558" t="s">
        <v>8</v>
      </c>
      <c r="W35" s="1559">
        <f t="shared" si="14"/>
        <v>100</v>
      </c>
      <c r="X35" s="1552"/>
      <c r="Y35" s="3411"/>
      <c r="Z35" s="1560" t="str">
        <f t="shared" si="15"/>
        <v>建筑结构</v>
      </c>
      <c r="AA35" s="1561">
        <f t="shared" si="3"/>
        <v>1</v>
      </c>
      <c r="AB35" s="1561">
        <f t="shared" si="4"/>
        <v>1</v>
      </c>
      <c r="AC35" s="1561">
        <f t="shared" si="5"/>
        <v>1</v>
      </c>
    </row>
    <row r="36" spans="1:29" ht="15.5">
      <c r="A36" s="593"/>
      <c r="B36" s="526" t="s">
        <v>763</v>
      </c>
      <c r="C36" s="573" t="s">
        <v>3119</v>
      </c>
      <c r="D36" s="539">
        <v>100</v>
      </c>
      <c r="E36" s="573" t="s">
        <v>3119</v>
      </c>
      <c r="F36" s="574">
        <f>SUMIF(108:108,E36,109:109)-SUMIF(108:108,C36,109:109)+100</f>
        <v>100</v>
      </c>
      <c r="G36" s="573" t="s">
        <v>3119</v>
      </c>
      <c r="H36" s="539">
        <f>SUMIF(108:108,G36,109:109)-SUMIF(108:108,C36,109:109)+100</f>
        <v>100</v>
      </c>
      <c r="I36" s="573" t="s">
        <v>3119</v>
      </c>
      <c r="J36" s="539">
        <f>SUMIF(108:108,I36,109:109)-SUMIF(108:108,C36,109:109)+100</f>
        <v>100</v>
      </c>
      <c r="K36" s="583">
        <v>1</v>
      </c>
      <c r="L36" s="2126"/>
      <c r="M36" s="2118"/>
      <c r="N36" s="2118"/>
      <c r="O36" s="2118"/>
      <c r="P36" s="3411"/>
      <c r="Q36" s="1557" t="str">
        <f t="shared" si="11"/>
        <v>公共部分装修</v>
      </c>
      <c r="R36" s="1558" t="s">
        <v>8</v>
      </c>
      <c r="S36" s="1559">
        <f t="shared" si="12"/>
        <v>100</v>
      </c>
      <c r="T36" s="1558" t="s">
        <v>8</v>
      </c>
      <c r="U36" s="1559">
        <f t="shared" si="13"/>
        <v>100</v>
      </c>
      <c r="V36" s="1558" t="s">
        <v>8</v>
      </c>
      <c r="W36" s="1559">
        <f t="shared" si="14"/>
        <v>100</v>
      </c>
      <c r="X36" s="1552"/>
      <c r="Y36" s="3411"/>
      <c r="Z36" s="1560" t="str">
        <f t="shared" si="15"/>
        <v>公共部分装修</v>
      </c>
      <c r="AA36" s="1561">
        <f t="shared" si="3"/>
        <v>1</v>
      </c>
      <c r="AB36" s="1561">
        <f t="shared" si="4"/>
        <v>1</v>
      </c>
      <c r="AC36" s="1561">
        <f t="shared" si="5"/>
        <v>1</v>
      </c>
    </row>
    <row r="37" spans="1:29" ht="15.5">
      <c r="A37" s="593"/>
      <c r="B37" s="526" t="s">
        <v>764</v>
      </c>
      <c r="C37" s="882">
        <v>1</v>
      </c>
      <c r="D37" s="539">
        <v>100</v>
      </c>
      <c r="E37" s="882">
        <f>C37</f>
        <v>1</v>
      </c>
      <c r="F37" s="574">
        <f>LOOKUP(E37,111:111,112:112)-LOOKUP(C37,111:111,112:112)+100</f>
        <v>100</v>
      </c>
      <c r="G37" s="882">
        <f>C37</f>
        <v>1</v>
      </c>
      <c r="H37" s="574">
        <f>LOOKUP(G37,111:111,112:112)-LOOKUP(C37,111:111,112:112)+100</f>
        <v>100</v>
      </c>
      <c r="I37" s="882">
        <f>C37</f>
        <v>1</v>
      </c>
      <c r="J37" s="539">
        <f>LOOKUP(I37,111:111,112:112)-LOOKUP(C37,111:111,112:112)+100</f>
        <v>100</v>
      </c>
      <c r="K37" s="583">
        <v>1</v>
      </c>
      <c r="L37" s="2126"/>
      <c r="M37" s="2118"/>
      <c r="N37" s="2118"/>
      <c r="O37" s="2118"/>
      <c r="P37" s="3411"/>
      <c r="Q37" s="1557" t="str">
        <f t="shared" si="11"/>
        <v>成新度</v>
      </c>
      <c r="R37" s="1558" t="s">
        <v>8</v>
      </c>
      <c r="S37" s="1559">
        <f t="shared" si="12"/>
        <v>100</v>
      </c>
      <c r="T37" s="1558" t="s">
        <v>8</v>
      </c>
      <c r="U37" s="1559">
        <f t="shared" si="13"/>
        <v>100</v>
      </c>
      <c r="V37" s="1558" t="s">
        <v>8</v>
      </c>
      <c r="W37" s="1559">
        <f t="shared" si="14"/>
        <v>100</v>
      </c>
      <c r="X37" s="1552"/>
      <c r="Y37" s="3411"/>
      <c r="Z37" s="1560" t="str">
        <f t="shared" si="15"/>
        <v>成新度</v>
      </c>
      <c r="AA37" s="1561">
        <f t="shared" si="3"/>
        <v>1</v>
      </c>
      <c r="AB37" s="1561">
        <f t="shared" si="4"/>
        <v>1</v>
      </c>
      <c r="AC37" s="1561">
        <f t="shared" si="5"/>
        <v>1</v>
      </c>
    </row>
    <row r="38" spans="1:29" s="1215" customFormat="1" ht="15.5" hidden="1">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11"/>
      <c r="Q38" s="1146" t="str">
        <f t="shared" si="11"/>
        <v>写字楼等级</v>
      </c>
      <c r="R38" s="1553" t="s">
        <v>8</v>
      </c>
      <c r="S38" s="1554">
        <f t="shared" si="12"/>
        <v>100</v>
      </c>
      <c r="T38" s="1553" t="s">
        <v>8</v>
      </c>
      <c r="U38" s="1554">
        <f t="shared" si="13"/>
        <v>100</v>
      </c>
      <c r="V38" s="1553" t="s">
        <v>8</v>
      </c>
      <c r="W38" s="1554">
        <f t="shared" si="14"/>
        <v>100</v>
      </c>
      <c r="X38" s="1555"/>
      <c r="Y38" s="3411"/>
      <c r="Z38" s="1145" t="str">
        <f t="shared" si="15"/>
        <v>写字楼等级</v>
      </c>
      <c r="AA38" s="1556">
        <f t="shared" si="3"/>
        <v>1</v>
      </c>
      <c r="AB38" s="1556">
        <f t="shared" si="4"/>
        <v>1</v>
      </c>
      <c r="AC38" s="1556">
        <f t="shared" si="5"/>
        <v>1</v>
      </c>
    </row>
    <row r="39" spans="1:29" ht="15.5">
      <c r="A39" s="593"/>
      <c r="B39" s="526" t="s">
        <v>782</v>
      </c>
      <c r="C39" s="573" t="s">
        <v>3121</v>
      </c>
      <c r="D39" s="539">
        <v>100</v>
      </c>
      <c r="E39" s="573" t="s">
        <v>3121</v>
      </c>
      <c r="F39" s="574">
        <f>SUMIF(115:115,E39,116:116)-SUMIF(115:115,C39,116:116)+100</f>
        <v>100</v>
      </c>
      <c r="G39" s="573" t="s">
        <v>3121</v>
      </c>
      <c r="H39" s="539">
        <f>SUMIF(115:115,G39,116:116)-SUMIF(115:115,C39,116:116)+100</f>
        <v>100</v>
      </c>
      <c r="I39" s="573" t="s">
        <v>3121</v>
      </c>
      <c r="J39" s="539">
        <f>SUMIF(115:115,I39,116:116)-SUMIF(115:115,C39,116:116)+100</f>
        <v>100</v>
      </c>
      <c r="K39" s="583">
        <v>1</v>
      </c>
      <c r="L39" s="2126"/>
      <c r="M39" s="2118"/>
      <c r="N39" s="2118"/>
      <c r="O39" s="2118"/>
      <c r="P39" s="3411" t="s">
        <v>550</v>
      </c>
      <c r="Q39" s="1557" t="str">
        <f t="shared" si="11"/>
        <v>物业管理</v>
      </c>
      <c r="R39" s="1558" t="s">
        <v>8</v>
      </c>
      <c r="S39" s="1559">
        <f t="shared" si="12"/>
        <v>100</v>
      </c>
      <c r="T39" s="1558" t="s">
        <v>8</v>
      </c>
      <c r="U39" s="1559">
        <f t="shared" si="13"/>
        <v>100</v>
      </c>
      <c r="V39" s="1558" t="s">
        <v>8</v>
      </c>
      <c r="W39" s="1559">
        <f t="shared" si="14"/>
        <v>100</v>
      </c>
      <c r="X39" s="1552"/>
      <c r="Y39" s="3411" t="s">
        <v>550</v>
      </c>
      <c r="Z39" s="1560" t="str">
        <f t="shared" si="15"/>
        <v>物业管理</v>
      </c>
      <c r="AA39" s="1561">
        <f t="shared" si="3"/>
        <v>1</v>
      </c>
      <c r="AB39" s="1561">
        <f t="shared" si="4"/>
        <v>1</v>
      </c>
      <c r="AC39" s="1561">
        <f t="shared" si="5"/>
        <v>1</v>
      </c>
    </row>
    <row r="40" spans="1:29" ht="15.5">
      <c r="A40" s="593"/>
      <c r="B40" s="1879" t="s">
        <v>2563</v>
      </c>
      <c r="C40" s="573" t="s">
        <v>3082</v>
      </c>
      <c r="D40" s="539">
        <v>100</v>
      </c>
      <c r="E40" s="573" t="s">
        <v>3082</v>
      </c>
      <c r="F40" s="574">
        <f>SUMIF(117:117,E40,118:118)-SUMIF(117:117,C40,118:118)+100</f>
        <v>100</v>
      </c>
      <c r="G40" s="573" t="s">
        <v>3082</v>
      </c>
      <c r="H40" s="539">
        <f>SUMIF(117:117,G40,118:118)-SUMIF(117:117,C40,118:118)+100</f>
        <v>100</v>
      </c>
      <c r="I40" s="573" t="s">
        <v>3082</v>
      </c>
      <c r="J40" s="539">
        <f>SUMIF(117:117,I40,118:118)-SUMIF(117:117,C40,118:118)+100</f>
        <v>100</v>
      </c>
      <c r="K40" s="583">
        <v>1</v>
      </c>
      <c r="L40" s="2126"/>
      <c r="M40" s="2118"/>
      <c r="N40" s="2118"/>
      <c r="O40" s="2118"/>
      <c r="P40" s="3411"/>
      <c r="Q40" s="1557" t="str">
        <f t="shared" si="11"/>
        <v>市政基础设施</v>
      </c>
      <c r="R40" s="1558" t="s">
        <v>8</v>
      </c>
      <c r="S40" s="1559">
        <f t="shared" si="12"/>
        <v>100</v>
      </c>
      <c r="T40" s="1558" t="s">
        <v>8</v>
      </c>
      <c r="U40" s="1559">
        <f t="shared" si="13"/>
        <v>100</v>
      </c>
      <c r="V40" s="1558" t="s">
        <v>8</v>
      </c>
      <c r="W40" s="1559">
        <f t="shared" si="14"/>
        <v>100</v>
      </c>
      <c r="X40" s="1552"/>
      <c r="Y40" s="3411"/>
      <c r="Z40" s="1560" t="str">
        <f t="shared" si="15"/>
        <v>市政基础设施</v>
      </c>
      <c r="AA40" s="1561">
        <f t="shared" si="3"/>
        <v>1</v>
      </c>
      <c r="AB40" s="1561">
        <f t="shared" si="4"/>
        <v>1</v>
      </c>
      <c r="AC40" s="1561">
        <f t="shared" si="5"/>
        <v>1</v>
      </c>
    </row>
    <row r="41" spans="1:29" ht="15.5" hidden="1">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11"/>
      <c r="Q41" s="1557" t="str">
        <f t="shared" si="11"/>
        <v>层高</v>
      </c>
      <c r="R41" s="1558" t="s">
        <v>8</v>
      </c>
      <c r="S41" s="1559">
        <f t="shared" si="12"/>
        <v>100</v>
      </c>
      <c r="T41" s="1558" t="s">
        <v>8</v>
      </c>
      <c r="U41" s="1559">
        <f t="shared" si="13"/>
        <v>100</v>
      </c>
      <c r="V41" s="1558" t="s">
        <v>8</v>
      </c>
      <c r="W41" s="1559">
        <f t="shared" si="14"/>
        <v>100</v>
      </c>
      <c r="X41" s="1552"/>
      <c r="Y41" s="3411"/>
      <c r="Z41" s="1560" t="str">
        <f t="shared" si="15"/>
        <v>层高</v>
      </c>
      <c r="AA41" s="1561">
        <f t="shared" si="3"/>
        <v>1</v>
      </c>
      <c r="AB41" s="1561">
        <f t="shared" si="4"/>
        <v>1</v>
      </c>
      <c r="AC41" s="1561">
        <f t="shared" si="5"/>
        <v>1</v>
      </c>
    </row>
    <row r="42" spans="1:29" s="1334" customFormat="1" ht="15.5" hidden="1">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11"/>
      <c r="Q42" s="1589" t="str">
        <f t="shared" si="11"/>
        <v>单套建筑面积</v>
      </c>
      <c r="R42" s="1562" t="s">
        <v>8</v>
      </c>
      <c r="S42" s="1563">
        <f t="shared" si="12"/>
        <v>100</v>
      </c>
      <c r="T42" s="1562" t="s">
        <v>8</v>
      </c>
      <c r="U42" s="1563">
        <f t="shared" si="13"/>
        <v>100</v>
      </c>
      <c r="V42" s="1562" t="s">
        <v>8</v>
      </c>
      <c r="W42" s="1563">
        <f t="shared" si="14"/>
        <v>100</v>
      </c>
      <c r="X42" s="1564"/>
      <c r="Y42" s="3411"/>
      <c r="Z42" s="1565" t="str">
        <f t="shared" si="15"/>
        <v>单套建筑面积</v>
      </c>
      <c r="AA42" s="1561">
        <f t="shared" si="3"/>
        <v>1</v>
      </c>
      <c r="AB42" s="1561">
        <f t="shared" si="4"/>
        <v>1</v>
      </c>
      <c r="AC42" s="1561">
        <f t="shared" si="5"/>
        <v>1</v>
      </c>
    </row>
    <row r="43" spans="1:29" ht="16" thickBot="1">
      <c r="A43" s="593"/>
      <c r="B43" s="526" t="s">
        <v>770</v>
      </c>
      <c r="C43" s="573" t="s">
        <v>3128</v>
      </c>
      <c r="D43" s="539">
        <v>100</v>
      </c>
      <c r="E43" s="573" t="s">
        <v>3119</v>
      </c>
      <c r="F43" s="574">
        <f>SUMIF(123:123,E43,124:124)-SUMIF(123:123,C43,124:124)+100</f>
        <v>103</v>
      </c>
      <c r="G43" s="573" t="s">
        <v>3119</v>
      </c>
      <c r="H43" s="539">
        <f>SUMIF(123:123,G43,124:124)-SUMIF(123:123,C43,124:124)+100</f>
        <v>103</v>
      </c>
      <c r="I43" s="573" t="s">
        <v>3119</v>
      </c>
      <c r="J43" s="539">
        <f>SUMIF(123:123,I43,124:124)-SUMIF(123:123,C43,124:124)+100</f>
        <v>103</v>
      </c>
      <c r="K43" s="583">
        <v>1</v>
      </c>
      <c r="L43" s="2126"/>
      <c r="M43" s="2118"/>
      <c r="N43" s="2118"/>
      <c r="O43" s="2118"/>
      <c r="P43" s="3411"/>
      <c r="Q43" s="1557" t="str">
        <f t="shared" si="11"/>
        <v>内部装修</v>
      </c>
      <c r="R43" s="1558" t="s">
        <v>8</v>
      </c>
      <c r="S43" s="1559">
        <f t="shared" si="12"/>
        <v>103</v>
      </c>
      <c r="T43" s="1558" t="s">
        <v>8</v>
      </c>
      <c r="U43" s="1559">
        <f t="shared" si="13"/>
        <v>103</v>
      </c>
      <c r="V43" s="1558" t="s">
        <v>8</v>
      </c>
      <c r="W43" s="1559">
        <f t="shared" si="14"/>
        <v>103</v>
      </c>
      <c r="X43" s="1552"/>
      <c r="Y43" s="3411"/>
      <c r="Z43" s="1560" t="str">
        <f t="shared" si="15"/>
        <v>内部装修</v>
      </c>
      <c r="AA43" s="1561">
        <f t="shared" si="3"/>
        <v>0.970873786407767</v>
      </c>
      <c r="AB43" s="1561">
        <f t="shared" si="4"/>
        <v>0.970873786407767</v>
      </c>
      <c r="AC43" s="1561">
        <f t="shared" si="5"/>
        <v>0.970873786407767</v>
      </c>
    </row>
    <row r="44" spans="1:29" ht="28" hidden="1">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11"/>
      <c r="Q44" s="1557" t="str">
        <f t="shared" si="11"/>
        <v>内部装修维护情况</v>
      </c>
      <c r="R44" s="1558" t="s">
        <v>8</v>
      </c>
      <c r="S44" s="1559">
        <f t="shared" si="12"/>
        <v>100</v>
      </c>
      <c r="T44" s="1558" t="s">
        <v>8</v>
      </c>
      <c r="U44" s="1559">
        <f t="shared" si="13"/>
        <v>100</v>
      </c>
      <c r="V44" s="1558" t="s">
        <v>8</v>
      </c>
      <c r="W44" s="1559">
        <f t="shared" si="14"/>
        <v>100</v>
      </c>
      <c r="X44" s="1552"/>
      <c r="Y44" s="3411"/>
      <c r="Z44" s="1560" t="str">
        <f t="shared" si="15"/>
        <v>内部装修维护情况</v>
      </c>
      <c r="AA44" s="1561">
        <f t="shared" si="3"/>
        <v>1</v>
      </c>
      <c r="AB44" s="1561">
        <f t="shared" si="4"/>
        <v>1</v>
      </c>
      <c r="AC44" s="1561">
        <f t="shared" si="5"/>
        <v>1</v>
      </c>
    </row>
    <row r="45" spans="1:29" s="1215" customFormat="1" ht="15.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11"/>
      <c r="Q45" s="1146">
        <f t="shared" si="11"/>
        <v>111</v>
      </c>
      <c r="R45" s="1553" t="s">
        <v>8</v>
      </c>
      <c r="S45" s="1554">
        <f t="shared" si="12"/>
        <v>100</v>
      </c>
      <c r="T45" s="1553" t="s">
        <v>8</v>
      </c>
      <c r="U45" s="1554">
        <f t="shared" si="13"/>
        <v>100</v>
      </c>
      <c r="V45" s="1553" t="s">
        <v>8</v>
      </c>
      <c r="W45" s="1554">
        <f t="shared" si="14"/>
        <v>100</v>
      </c>
      <c r="X45" s="1555"/>
      <c r="Y45" s="3411"/>
      <c r="Z45" s="1145">
        <f t="shared" si="15"/>
        <v>111</v>
      </c>
      <c r="AA45" s="1556">
        <f t="shared" si="3"/>
        <v>1</v>
      </c>
      <c r="AB45" s="1556">
        <f t="shared" si="4"/>
        <v>1</v>
      </c>
      <c r="AC45" s="1556">
        <f t="shared" si="5"/>
        <v>1</v>
      </c>
    </row>
    <row r="46" spans="1:29" ht="15.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11"/>
      <c r="Q46" s="1557">
        <f t="shared" si="11"/>
        <v>111</v>
      </c>
      <c r="R46" s="1558" t="s">
        <v>8</v>
      </c>
      <c r="S46" s="1559">
        <f t="shared" si="12"/>
        <v>100</v>
      </c>
      <c r="T46" s="1558" t="s">
        <v>8</v>
      </c>
      <c r="U46" s="1559">
        <f t="shared" si="13"/>
        <v>100</v>
      </c>
      <c r="V46" s="1558" t="s">
        <v>8</v>
      </c>
      <c r="W46" s="1559">
        <f t="shared" si="14"/>
        <v>100</v>
      </c>
      <c r="X46" s="1552"/>
      <c r="Y46" s="3411"/>
      <c r="Z46" s="1560">
        <f t="shared" si="15"/>
        <v>111</v>
      </c>
      <c r="AA46" s="1561">
        <f t="shared" si="3"/>
        <v>1</v>
      </c>
      <c r="AB46" s="1561">
        <f t="shared" si="4"/>
        <v>1</v>
      </c>
      <c r="AC46" s="1561">
        <f t="shared" si="5"/>
        <v>1</v>
      </c>
    </row>
    <row r="47" spans="1:29" ht="16"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92"/>
      <c r="Q47" s="1557">
        <f t="shared" si="11"/>
        <v>111</v>
      </c>
      <c r="R47" s="1558" t="s">
        <v>8</v>
      </c>
      <c r="S47" s="1559">
        <f t="shared" si="12"/>
        <v>100</v>
      </c>
      <c r="T47" s="1558" t="s">
        <v>8</v>
      </c>
      <c r="U47" s="1559">
        <f t="shared" si="13"/>
        <v>100</v>
      </c>
      <c r="V47" s="1558" t="s">
        <v>8</v>
      </c>
      <c r="W47" s="1559">
        <f t="shared" si="14"/>
        <v>100</v>
      </c>
      <c r="X47" s="1552"/>
      <c r="Y47" s="3492"/>
      <c r="Z47" s="1560">
        <f t="shared" si="15"/>
        <v>111</v>
      </c>
      <c r="AA47" s="1561">
        <f t="shared" si="3"/>
        <v>1</v>
      </c>
      <c r="AB47" s="1561">
        <f t="shared" si="4"/>
        <v>1</v>
      </c>
      <c r="AC47" s="1561">
        <f t="shared" si="5"/>
        <v>1</v>
      </c>
    </row>
    <row r="48" spans="1:29">
      <c r="A48" s="606" t="s">
        <v>736</v>
      </c>
      <c r="B48" s="886"/>
      <c r="C48" s="2590" t="s">
        <v>1</v>
      </c>
      <c r="D48" s="2591"/>
      <c r="E48" s="2592">
        <v>54000</v>
      </c>
      <c r="F48" s="2593"/>
      <c r="G48" s="2594">
        <v>50000</v>
      </c>
      <c r="H48" s="2595"/>
      <c r="I48" s="2592">
        <v>55000</v>
      </c>
      <c r="J48" s="2595"/>
      <c r="K48" s="1595"/>
      <c r="L48" s="2128"/>
      <c r="M48" s="2118"/>
      <c r="N48" s="2118"/>
      <c r="O48" s="2118"/>
      <c r="P48" s="3372" t="str">
        <f>A48</f>
        <v>成交单价（元/平方米）</v>
      </c>
      <c r="Q48" s="3374"/>
      <c r="R48" s="3491">
        <f>E48</f>
        <v>54000</v>
      </c>
      <c r="S48" s="3491"/>
      <c r="T48" s="3491">
        <f>G48</f>
        <v>50000</v>
      </c>
      <c r="U48" s="3491"/>
      <c r="V48" s="3491">
        <f>I48</f>
        <v>55000</v>
      </c>
      <c r="W48" s="3491"/>
      <c r="X48" s="1544"/>
      <c r="Y48" s="1566"/>
      <c r="Z48" s="1544"/>
      <c r="AA48" s="1544"/>
      <c r="AB48" s="1544"/>
      <c r="AC48" s="1544"/>
    </row>
    <row r="49" spans="1:29" ht="14.5" thickBot="1">
      <c r="A49" s="614" t="s">
        <v>2757</v>
      </c>
      <c r="B49" s="887"/>
      <c r="C49" s="2596">
        <f>R50</f>
        <v>52555</v>
      </c>
      <c r="D49" s="2597"/>
      <c r="E49" s="2598">
        <f>R49</f>
        <v>53271</v>
      </c>
      <c r="F49" s="2598"/>
      <c r="G49" s="2596">
        <f>T49</f>
        <v>50252</v>
      </c>
      <c r="H49" s="2597"/>
      <c r="I49" s="2598">
        <f>V49</f>
        <v>54142</v>
      </c>
      <c r="J49" s="2597"/>
      <c r="K49" s="1596"/>
      <c r="L49" s="2128"/>
      <c r="M49" s="2118"/>
      <c r="N49" s="2118"/>
      <c r="O49" s="2118"/>
      <c r="P49" s="3372" t="str">
        <f>A49</f>
        <v>比较价格（元/平方米）</v>
      </c>
      <c r="Q49" s="3374"/>
      <c r="R49" s="3491">
        <f>IF(F1="售价",ROUND(PRODUCT(R48,AA7:AA47),0),ROUND(PRODUCT(R48,AA7:AA47),1))</f>
        <v>53271</v>
      </c>
      <c r="S49" s="3491"/>
      <c r="T49" s="3491">
        <f>IF(F1="售价",ROUND(PRODUCT(T48,AB7:AB47),0),ROUND(PRODUCT(T48,AB7:AB47),1))</f>
        <v>50252</v>
      </c>
      <c r="U49" s="3491"/>
      <c r="V49" s="3491">
        <f>IF(F1="售价",ROUND(PRODUCT(V48,AC7:AC47),0),ROUND(PRODUCT(V48,AC7:AC47),1))</f>
        <v>54142</v>
      </c>
      <c r="W49" s="3491"/>
      <c r="X49" s="1544"/>
      <c r="Y49" s="1544"/>
      <c r="Z49" s="1544"/>
      <c r="AA49" s="1544"/>
      <c r="AB49" s="1544"/>
      <c r="AC49" s="1544"/>
    </row>
    <row r="50" spans="1:29" ht="14.5" thickBot="1">
      <c r="A50" s="620" t="s">
        <v>2933</v>
      </c>
      <c r="B50" s="621"/>
      <c r="C50" s="2599">
        <f>R50</f>
        <v>52555</v>
      </c>
      <c r="D50" s="2599"/>
      <c r="E50" s="2599"/>
      <c r="F50" s="2599"/>
      <c r="G50" s="2599"/>
      <c r="H50" s="2599"/>
      <c r="I50" s="2599"/>
      <c r="J50" s="2599"/>
      <c r="K50" s="1597"/>
      <c r="L50" s="2128"/>
      <c r="M50" s="2118"/>
      <c r="N50" s="2118"/>
      <c r="O50" s="2118"/>
      <c r="P50" s="3493" t="str">
        <f>A50</f>
        <v>估价对象XX用房的比较价格（楼面单价，元/平方米）</v>
      </c>
      <c r="Q50" s="3372"/>
      <c r="R50" s="3490">
        <f>IF(F1="售价",ROUND(AVERAGE(R49:V49),0),ROUND(AVERAGE(R49:V49),1))</f>
        <v>52555</v>
      </c>
      <c r="S50" s="3490"/>
      <c r="T50" s="3490"/>
      <c r="U50" s="3490"/>
      <c r="V50" s="3490"/>
      <c r="W50" s="3490"/>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1.3684744044602182E-2</v>
      </c>
      <c r="F53" s="626" t="str">
        <f>IF(OR(E53&gt;=0.3,E53&lt;=-0.3),"超过30%","")</f>
        <v/>
      </c>
      <c r="G53" s="625">
        <f>IF(G48&lt;G49,G49/G48-1,G48/G49-1)</f>
        <v>5.0399999999999334E-3</v>
      </c>
      <c r="H53" s="626" t="str">
        <f>IF(OR(G53&gt;=0.3,G53&lt;=-0.3),"超过30%","")</f>
        <v/>
      </c>
      <c r="I53" s="625">
        <f>IF(I48&lt;I49,I49/I48-1,I48/I49-1)</f>
        <v>1.5847216578626533E-2</v>
      </c>
      <c r="J53" s="626" t="str">
        <f>IF(OR(I53&gt;=0.3,I53&lt;=-0.3),"超过30%","")</f>
        <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6.0077210857279351E-2</v>
      </c>
      <c r="F54" s="626" t="str">
        <f>IF(OR(E54&gt;=0.2,E54&lt;=-0.2),"超过20%","")</f>
        <v/>
      </c>
      <c r="G54" s="625">
        <f>IF(G49&lt;I49,I49/G49-1,G49/I49-1)</f>
        <v>7.7409854334155925E-2</v>
      </c>
      <c r="H54" s="626" t="str">
        <f>IF(OR(G54&gt;=0.2,G54&lt;=-0.2),"超过20%","")</f>
        <v/>
      </c>
      <c r="I54" s="625">
        <f>IF(I49&lt;E49,E49/I49-1,I49/E49-1)</f>
        <v>1.6350359482645294E-2</v>
      </c>
      <c r="J54" s="626" t="str">
        <f>IF(OR(I54&gt;=0.2,I54&lt;=-0.2),"超过20%","")</f>
        <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8.0000000000000071E-2</v>
      </c>
      <c r="F55" s="626" t="str">
        <f>IF(OR(E55&gt;=0.3,E55&lt;=-0.3),"超过30%","")</f>
        <v/>
      </c>
      <c r="G55" s="625">
        <f>IF(G48&lt;I48,I48/G48-1,G48/I48-1)</f>
        <v>0.10000000000000009</v>
      </c>
      <c r="H55" s="626" t="str">
        <f>IF(OR(G55&gt;=0.3,G55&lt;=-0.3),"超过30%","")</f>
        <v/>
      </c>
      <c r="I55" s="625">
        <f>IF(I48&lt;E48,E48/I48-1,I48/E48-1)</f>
        <v>1.8518518518518601E-2</v>
      </c>
      <c r="J55" s="626" t="str">
        <f>IF(OR(I55&gt;=0.3,I55&lt;=-0.3),"超过30%","")</f>
        <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c r="A59" s="644" t="s">
        <v>529</v>
      </c>
      <c r="B59" s="645"/>
      <c r="C59" s="2756" t="str">
        <f>YEAR(C7)&amp;"-"&amp;MONTH(C7)</f>
        <v>2020-2</v>
      </c>
      <c r="D59" s="2758">
        <f>EDATE(C59,-1)</f>
        <v>43831</v>
      </c>
      <c r="E59" s="2758">
        <f t="shared" ref="E59:O59" si="16">EDATE(D59,-1)</f>
        <v>43800</v>
      </c>
      <c r="F59" s="2758">
        <f t="shared" si="16"/>
        <v>43770</v>
      </c>
      <c r="G59" s="2758">
        <f t="shared" si="16"/>
        <v>43739</v>
      </c>
      <c r="H59" s="2758">
        <f t="shared" si="16"/>
        <v>43709</v>
      </c>
      <c r="I59" s="2758">
        <f t="shared" si="16"/>
        <v>43678</v>
      </c>
      <c r="J59" s="2758">
        <f t="shared" si="16"/>
        <v>43647</v>
      </c>
      <c r="K59" s="2758">
        <f t="shared" si="16"/>
        <v>43617</v>
      </c>
      <c r="L59" s="2758">
        <f t="shared" si="16"/>
        <v>43586</v>
      </c>
      <c r="M59" s="2758">
        <f t="shared" si="16"/>
        <v>43556</v>
      </c>
      <c r="N59" s="2758">
        <f t="shared" si="16"/>
        <v>43525</v>
      </c>
      <c r="O59" s="2758">
        <f t="shared" si="16"/>
        <v>43497</v>
      </c>
      <c r="P59" s="2195"/>
      <c r="Q59" s="2145"/>
      <c r="R59" s="2145"/>
      <c r="S59" s="2145"/>
      <c r="T59" s="2145"/>
      <c r="U59" s="2145"/>
      <c r="V59" s="2145"/>
      <c r="W59" s="2145"/>
      <c r="X59" s="2145"/>
      <c r="Y59" s="2145"/>
      <c r="Z59" s="2145"/>
      <c r="AA59" s="2145"/>
      <c r="AB59" s="2145"/>
      <c r="AC59" s="2145"/>
    </row>
    <row r="60" spans="1:29" s="1215" customFormat="1">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4.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4.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t="str">
        <f>C9</f>
        <v>办公</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4.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8.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4.5" thickBot="1">
      <c r="A67" s="668"/>
      <c r="B67" s="677"/>
      <c r="C67" s="678" t="s">
        <v>14</v>
      </c>
      <c r="D67" s="678" t="s">
        <v>15</v>
      </c>
      <c r="E67" s="678">
        <v>100</v>
      </c>
      <c r="F67" s="678">
        <f>E67-$K10</f>
        <v>98</v>
      </c>
      <c r="G67" s="678">
        <f>F67-$K10</f>
        <v>96</v>
      </c>
      <c r="H67" s="678">
        <f>G67-$K10</f>
        <v>94</v>
      </c>
      <c r="I67" s="678">
        <f>H67-$K10</f>
        <v>92</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4.5" thickTop="1">
      <c r="A68" s="668"/>
      <c r="B68" s="680" t="s">
        <v>538</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50"/>
      <c r="O68" s="2150"/>
      <c r="P68" s="2198"/>
      <c r="Q68" s="2142"/>
      <c r="R68" s="2129"/>
      <c r="S68" s="2129"/>
      <c r="T68" s="2129"/>
      <c r="U68" s="2129"/>
      <c r="V68" s="2129"/>
      <c r="W68" s="2129"/>
      <c r="X68" s="2129"/>
      <c r="Y68" s="2129"/>
      <c r="Z68" s="2129"/>
      <c r="AA68" s="2129"/>
      <c r="AB68" s="2129"/>
      <c r="AC68" s="2129"/>
    </row>
    <row r="69" spans="1:29">
      <c r="A69" s="668"/>
      <c r="B69" s="682"/>
      <c r="C69" s="540">
        <v>0</v>
      </c>
      <c r="D69" s="540">
        <v>1</v>
      </c>
      <c r="E69" s="540">
        <v>2</v>
      </c>
      <c r="F69" s="540">
        <v>3</v>
      </c>
      <c r="G69" s="540">
        <v>4</v>
      </c>
      <c r="H69" s="540">
        <v>5</v>
      </c>
      <c r="I69" s="540">
        <v>6</v>
      </c>
      <c r="J69" s="540">
        <v>7</v>
      </c>
      <c r="K69" s="683">
        <v>8</v>
      </c>
      <c r="L69" s="684">
        <v>9</v>
      </c>
      <c r="M69" s="685">
        <v>10</v>
      </c>
      <c r="N69" s="2148"/>
      <c r="O69" s="2148"/>
      <c r="P69" s="2198"/>
      <c r="Q69" s="2142"/>
      <c r="R69" s="2129"/>
      <c r="S69" s="2129"/>
      <c r="T69" s="2129"/>
      <c r="U69" s="2129"/>
      <c r="V69" s="2129"/>
      <c r="W69" s="2129"/>
      <c r="X69" s="2129"/>
      <c r="Y69" s="2129"/>
      <c r="Z69" s="2129"/>
      <c r="AA69" s="2129"/>
      <c r="AB69" s="2129"/>
      <c r="AC69" s="2129"/>
    </row>
    <row r="70" spans="1:29" ht="14.5" thickBot="1">
      <c r="A70" s="668"/>
      <c r="B70" s="669"/>
      <c r="C70" s="678">
        <v>100</v>
      </c>
      <c r="D70" s="678">
        <f t="shared" ref="D70:M70" si="18">C70-$K11</f>
        <v>99</v>
      </c>
      <c r="E70" s="678">
        <f t="shared" si="18"/>
        <v>98</v>
      </c>
      <c r="F70" s="678">
        <f t="shared" si="18"/>
        <v>97</v>
      </c>
      <c r="G70" s="678">
        <f t="shared" si="18"/>
        <v>96</v>
      </c>
      <c r="H70" s="678">
        <f t="shared" si="18"/>
        <v>95</v>
      </c>
      <c r="I70" s="678">
        <f t="shared" si="18"/>
        <v>94</v>
      </c>
      <c r="J70" s="678">
        <f t="shared" si="18"/>
        <v>93</v>
      </c>
      <c r="K70" s="678">
        <f t="shared" si="18"/>
        <v>92</v>
      </c>
      <c r="L70" s="678">
        <f t="shared" si="18"/>
        <v>91</v>
      </c>
      <c r="M70" s="679">
        <f t="shared" si="18"/>
        <v>90</v>
      </c>
      <c r="N70" s="2150"/>
      <c r="O70" s="2150"/>
      <c r="P70" s="2198"/>
      <c r="Q70" s="2142"/>
      <c r="R70" s="2129"/>
      <c r="S70" s="2129"/>
      <c r="T70" s="2129"/>
      <c r="U70" s="2129"/>
      <c r="V70" s="2129"/>
      <c r="W70" s="2129"/>
      <c r="X70" s="2129"/>
      <c r="Y70" s="2129"/>
      <c r="Z70" s="2129"/>
      <c r="AA70" s="2129"/>
      <c r="AB70" s="2129"/>
      <c r="AC70" s="2129"/>
    </row>
    <row r="71" spans="1:29" s="1334" customFormat="1" ht="14.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4.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4.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4.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4.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4.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4.5" thickBot="1">
      <c r="A78" s="668"/>
      <c r="B78" s="677"/>
      <c r="C78" s="678">
        <v>100</v>
      </c>
      <c r="D78" s="678">
        <f>C78-$K15</f>
        <v>99</v>
      </c>
      <c r="E78" s="678">
        <f>D78-$K15</f>
        <v>98</v>
      </c>
      <c r="F78" s="678">
        <f>E78-$K15</f>
        <v>97</v>
      </c>
      <c r="G78" s="678">
        <f>F78-$K15</f>
        <v>96</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4.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4.5" thickBot="1">
      <c r="A80" s="668"/>
      <c r="B80" s="677"/>
      <c r="C80" s="678">
        <v>100</v>
      </c>
      <c r="D80" s="678">
        <f>C80-$K17</f>
        <v>99</v>
      </c>
      <c r="E80" s="678">
        <f>D80-$K17</f>
        <v>98</v>
      </c>
      <c r="F80" s="678">
        <f>E80-$K17</f>
        <v>97</v>
      </c>
      <c r="G80" s="678">
        <f>F80-$K17</f>
        <v>96</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4.5" thickTop="1">
      <c r="A81" s="668"/>
      <c r="B81" s="1880" t="s">
        <v>2555</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4.5" thickBot="1">
      <c r="A82" s="668"/>
      <c r="B82" s="677"/>
      <c r="C82" s="678">
        <v>100</v>
      </c>
      <c r="D82" s="678">
        <f>C82-$K19</f>
        <v>99</v>
      </c>
      <c r="E82" s="678">
        <f>D82-$K19</f>
        <v>98</v>
      </c>
      <c r="F82" s="678">
        <f>E82-$K19</f>
        <v>97</v>
      </c>
      <c r="G82" s="678">
        <f>F82-$K19</f>
        <v>96</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4.5" thickTop="1">
      <c r="A83" s="668"/>
      <c r="B83" s="2560" t="s">
        <v>2556</v>
      </c>
      <c r="C83" s="2561" t="s">
        <v>2557</v>
      </c>
      <c r="D83" s="2561" t="s">
        <v>2558</v>
      </c>
      <c r="E83" s="2561" t="s">
        <v>2559</v>
      </c>
      <c r="F83" s="2561" t="s">
        <v>2560</v>
      </c>
      <c r="G83" s="2561" t="s">
        <v>2561</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4.5" thickBot="1">
      <c r="A84" s="668"/>
      <c r="B84" s="680"/>
      <c r="C84" s="678">
        <v>100</v>
      </c>
      <c r="D84" s="678">
        <f>C84-$K21</f>
        <v>99</v>
      </c>
      <c r="E84" s="678">
        <f>D84-$K21</f>
        <v>98</v>
      </c>
      <c r="F84" s="678">
        <f>E84-$K21</f>
        <v>97</v>
      </c>
      <c r="G84" s="678">
        <f>F84-$K21</f>
        <v>96</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4.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4.5" thickBot="1">
      <c r="A86" s="668"/>
      <c r="B86" s="677"/>
      <c r="C86" s="678">
        <v>100</v>
      </c>
      <c r="D86" s="678">
        <f>C86-$K23</f>
        <v>99</v>
      </c>
      <c r="E86" s="678">
        <f>D86-$K23</f>
        <v>98</v>
      </c>
      <c r="F86" s="678">
        <f>E86-$K23</f>
        <v>97</v>
      </c>
      <c r="G86" s="678">
        <f>F86-$K23</f>
        <v>96</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8.5" thickTop="1">
      <c r="A87" s="708"/>
      <c r="B87" s="672" t="s">
        <v>785</v>
      </c>
      <c r="C87" s="3184" t="s">
        <v>3108</v>
      </c>
      <c r="D87" s="3184" t="s">
        <v>3109</v>
      </c>
      <c r="E87" s="3184" t="s">
        <v>3110</v>
      </c>
      <c r="F87" s="3184" t="s">
        <v>3111</v>
      </c>
      <c r="G87" s="3184" t="s">
        <v>3112</v>
      </c>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5" thickBot="1">
      <c r="A88" s="708"/>
      <c r="B88" s="677"/>
      <c r="C88" s="711">
        <v>100</v>
      </c>
      <c r="D88" s="678">
        <f t="shared" ref="D88:M88" si="19">C88-$K25</f>
        <v>99</v>
      </c>
      <c r="E88" s="678">
        <f t="shared" si="19"/>
        <v>98</v>
      </c>
      <c r="F88" s="678">
        <f t="shared" si="19"/>
        <v>97</v>
      </c>
      <c r="G88" s="678">
        <f t="shared" si="19"/>
        <v>96</v>
      </c>
      <c r="H88" s="678">
        <f t="shared" si="19"/>
        <v>95</v>
      </c>
      <c r="I88" s="678">
        <f t="shared" si="19"/>
        <v>94</v>
      </c>
      <c r="J88" s="678">
        <f t="shared" si="19"/>
        <v>93</v>
      </c>
      <c r="K88" s="678">
        <f t="shared" si="19"/>
        <v>92</v>
      </c>
      <c r="L88" s="678">
        <f t="shared" si="19"/>
        <v>91</v>
      </c>
      <c r="M88" s="678">
        <f t="shared" si="19"/>
        <v>90</v>
      </c>
      <c r="N88" s="2150"/>
      <c r="O88" s="2150"/>
      <c r="P88" s="2198"/>
      <c r="Q88" s="2142"/>
      <c r="R88" s="1977"/>
      <c r="S88" s="1977"/>
      <c r="T88" s="1977"/>
      <c r="U88" s="1977"/>
      <c r="V88" s="1977"/>
      <c r="W88" s="1977"/>
      <c r="X88" s="1977"/>
      <c r="Y88" s="1977"/>
      <c r="Z88" s="1977"/>
      <c r="AA88" s="1977"/>
      <c r="AB88" s="1977"/>
      <c r="AC88" s="1977"/>
    </row>
    <row r="89" spans="1:29" s="1215" customFormat="1" ht="14.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4.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4.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4.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4.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4.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4.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4.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4.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4.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4.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3182" t="s">
        <v>3117</v>
      </c>
      <c r="D101" s="3182" t="s">
        <v>3115</v>
      </c>
      <c r="E101" s="3182"/>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4.5" thickBot="1">
      <c r="A102" s="668"/>
      <c r="B102" s="677"/>
      <c r="C102" s="678">
        <v>100</v>
      </c>
      <c r="D102" s="678">
        <f t="shared" ref="D102:M102" si="22">C102-$K33</f>
        <v>95</v>
      </c>
      <c r="E102" s="678">
        <f t="shared" si="22"/>
        <v>90</v>
      </c>
      <c r="F102" s="678">
        <f t="shared" si="22"/>
        <v>85</v>
      </c>
      <c r="G102" s="678">
        <f t="shared" si="22"/>
        <v>80</v>
      </c>
      <c r="H102" s="678">
        <f t="shared" si="22"/>
        <v>75</v>
      </c>
      <c r="I102" s="678">
        <f t="shared" si="22"/>
        <v>70</v>
      </c>
      <c r="J102" s="678">
        <f t="shared" si="22"/>
        <v>65</v>
      </c>
      <c r="K102" s="678">
        <f t="shared" si="22"/>
        <v>60</v>
      </c>
      <c r="L102" s="678">
        <f t="shared" si="22"/>
        <v>55</v>
      </c>
      <c r="M102" s="679">
        <f t="shared" si="22"/>
        <v>50</v>
      </c>
      <c r="N102" s="2150"/>
      <c r="O102" s="2150"/>
      <c r="P102" s="2198"/>
      <c r="Q102" s="2142"/>
      <c r="R102" s="2129"/>
      <c r="S102" s="2129"/>
      <c r="T102" s="2129"/>
      <c r="U102" s="2129"/>
      <c r="V102" s="2129"/>
      <c r="W102" s="2129"/>
      <c r="X102" s="2129"/>
      <c r="Y102" s="2129"/>
      <c r="Z102" s="2129"/>
      <c r="AA102" s="2129"/>
      <c r="AB102" s="2129"/>
      <c r="AC102" s="2129"/>
    </row>
    <row r="103" spans="1:29" ht="28.5" thickTop="1">
      <c r="A103" s="668"/>
      <c r="B103" s="672" t="s">
        <v>748</v>
      </c>
      <c r="C103" s="707" t="str">
        <f>C104&amp;"(含)"&amp;"-"&amp;D104</f>
        <v>0(含)-200000</v>
      </c>
      <c r="D103" s="707" t="str">
        <f t="shared" ref="D103:L103" si="23">D104&amp;"(含)"&amp;"-"&amp;E104</f>
        <v>200000(含)-400000</v>
      </c>
      <c r="E103" s="707" t="str">
        <f t="shared" si="23"/>
        <v>400000(含)-600000</v>
      </c>
      <c r="F103" s="707" t="str">
        <f t="shared" si="23"/>
        <v>600000(含)-800000</v>
      </c>
      <c r="G103" s="707" t="str">
        <f t="shared" si="23"/>
        <v>800000(含)-1000000</v>
      </c>
      <c r="H103" s="707" t="str">
        <f t="shared" si="23"/>
        <v>1000000(含)-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v>0</v>
      </c>
      <c r="D104" s="729">
        <v>200000</v>
      </c>
      <c r="E104" s="729">
        <v>400000</v>
      </c>
      <c r="F104" s="729">
        <v>600000</v>
      </c>
      <c r="G104" s="729">
        <v>800000</v>
      </c>
      <c r="H104" s="729">
        <v>1000000</v>
      </c>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4.5" thickBot="1">
      <c r="A105" s="686"/>
      <c r="B105" s="677"/>
      <c r="C105" s="691">
        <v>100</v>
      </c>
      <c r="D105" s="670">
        <v>101</v>
      </c>
      <c r="E105" s="670">
        <v>102</v>
      </c>
      <c r="F105" s="670">
        <v>103</v>
      </c>
      <c r="G105" s="670">
        <v>104</v>
      </c>
      <c r="H105" s="670">
        <v>105</v>
      </c>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4.5" thickTop="1">
      <c r="A106" s="734"/>
      <c r="B106" s="672" t="s">
        <v>749</v>
      </c>
      <c r="C106" s="3187" t="s">
        <v>3118</v>
      </c>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4.5" thickBot="1">
      <c r="A107" s="668"/>
      <c r="B107" s="677"/>
      <c r="C107" s="678">
        <v>100</v>
      </c>
      <c r="D107" s="678">
        <f t="shared" ref="D107:M107" si="24">C107-$K35</f>
        <v>99</v>
      </c>
      <c r="E107" s="678">
        <f t="shared" si="24"/>
        <v>98</v>
      </c>
      <c r="F107" s="678">
        <f t="shared" si="24"/>
        <v>97</v>
      </c>
      <c r="G107" s="678">
        <f t="shared" si="24"/>
        <v>96</v>
      </c>
      <c r="H107" s="678">
        <f t="shared" si="24"/>
        <v>95</v>
      </c>
      <c r="I107" s="678">
        <f t="shared" si="24"/>
        <v>94</v>
      </c>
      <c r="J107" s="678">
        <f t="shared" si="24"/>
        <v>93</v>
      </c>
      <c r="K107" s="678">
        <f t="shared" si="24"/>
        <v>92</v>
      </c>
      <c r="L107" s="678">
        <f t="shared" si="24"/>
        <v>91</v>
      </c>
      <c r="M107" s="679">
        <f t="shared" si="24"/>
        <v>90</v>
      </c>
      <c r="N107" s="2150"/>
      <c r="O107" s="2150"/>
      <c r="P107" s="2198"/>
      <c r="Q107" s="2142"/>
      <c r="R107" s="2129"/>
      <c r="S107" s="2129"/>
      <c r="T107" s="2129"/>
      <c r="U107" s="2129"/>
      <c r="V107" s="2129"/>
      <c r="W107" s="2129"/>
      <c r="X107" s="2129"/>
      <c r="Y107" s="2129"/>
      <c r="Z107" s="2129"/>
      <c r="AA107" s="2129"/>
      <c r="AB107" s="2129"/>
      <c r="AC107" s="2129"/>
    </row>
    <row r="108" spans="1:29" ht="14.5" thickTop="1">
      <c r="A108" s="734"/>
      <c r="B108" s="672" t="s">
        <v>751</v>
      </c>
      <c r="C108" s="3187" t="s">
        <v>3120</v>
      </c>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4.5" thickBot="1">
      <c r="A109" s="668"/>
      <c r="B109" s="677"/>
      <c r="C109" s="678">
        <v>100</v>
      </c>
      <c r="D109" s="678">
        <f t="shared" ref="D109:M109" si="25">C109-$K36</f>
        <v>99</v>
      </c>
      <c r="E109" s="678">
        <f t="shared" si="25"/>
        <v>98</v>
      </c>
      <c r="F109" s="678">
        <f t="shared" si="25"/>
        <v>97</v>
      </c>
      <c r="G109" s="678">
        <f t="shared" si="25"/>
        <v>96</v>
      </c>
      <c r="H109" s="678">
        <f t="shared" si="25"/>
        <v>95</v>
      </c>
      <c r="I109" s="678">
        <f t="shared" si="25"/>
        <v>94</v>
      </c>
      <c r="J109" s="678">
        <f t="shared" si="25"/>
        <v>93</v>
      </c>
      <c r="K109" s="678">
        <f t="shared" si="25"/>
        <v>92</v>
      </c>
      <c r="L109" s="678">
        <f t="shared" si="25"/>
        <v>91</v>
      </c>
      <c r="M109" s="679">
        <f t="shared" si="25"/>
        <v>90</v>
      </c>
      <c r="N109" s="2150"/>
      <c r="O109" s="2150"/>
      <c r="P109" s="2198"/>
      <c r="Q109" s="2142"/>
      <c r="R109" s="2129"/>
      <c r="S109" s="2129"/>
      <c r="T109" s="2129"/>
      <c r="U109" s="2129"/>
      <c r="V109" s="2129"/>
      <c r="W109" s="2129"/>
      <c r="X109" s="2129"/>
      <c r="Y109" s="2129"/>
      <c r="Z109" s="2129"/>
      <c r="AA109" s="2129"/>
      <c r="AB109" s="2129"/>
      <c r="AC109" s="2129"/>
    </row>
    <row r="110" spans="1:29" ht="14.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50"/>
      <c r="O112" s="2150"/>
      <c r="P112" s="2198"/>
      <c r="Q112" s="2142"/>
      <c r="R112" s="2129"/>
      <c r="S112" s="2129"/>
      <c r="T112" s="2129"/>
      <c r="U112" s="2129"/>
      <c r="V112" s="2129"/>
      <c r="W112" s="2129"/>
      <c r="X112" s="2129"/>
      <c r="Y112" s="2129"/>
      <c r="Z112" s="2129"/>
      <c r="AA112" s="2129"/>
      <c r="AB112" s="2129"/>
      <c r="AC112" s="2129"/>
    </row>
    <row r="113" spans="1:29" s="1334" customFormat="1" ht="14.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4.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4.5" thickTop="1">
      <c r="A115" s="734"/>
      <c r="B115" s="672" t="s">
        <v>753</v>
      </c>
      <c r="C115" s="3187" t="s">
        <v>3122</v>
      </c>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4.5" thickBot="1">
      <c r="A116" s="668"/>
      <c r="B116" s="677"/>
      <c r="C116" s="678">
        <v>100</v>
      </c>
      <c r="D116" s="678">
        <f t="shared" ref="D116:M116" si="28">C116-$K39</f>
        <v>99</v>
      </c>
      <c r="E116" s="678">
        <f t="shared" si="28"/>
        <v>98</v>
      </c>
      <c r="F116" s="678">
        <f t="shared" si="28"/>
        <v>97</v>
      </c>
      <c r="G116" s="678">
        <f t="shared" si="28"/>
        <v>96</v>
      </c>
      <c r="H116" s="678">
        <f t="shared" si="28"/>
        <v>95</v>
      </c>
      <c r="I116" s="678">
        <f t="shared" si="28"/>
        <v>94</v>
      </c>
      <c r="J116" s="678">
        <f t="shared" si="28"/>
        <v>93</v>
      </c>
      <c r="K116" s="678">
        <f t="shared" si="28"/>
        <v>92</v>
      </c>
      <c r="L116" s="678">
        <f t="shared" si="28"/>
        <v>91</v>
      </c>
      <c r="M116" s="679">
        <f t="shared" si="28"/>
        <v>90</v>
      </c>
      <c r="N116" s="2150"/>
      <c r="O116" s="2150"/>
      <c r="P116" s="2198"/>
      <c r="Q116" s="2142"/>
      <c r="R116" s="2129"/>
      <c r="S116" s="2129"/>
      <c r="T116" s="2129"/>
      <c r="U116" s="2129"/>
      <c r="V116" s="2129"/>
      <c r="W116" s="2129"/>
      <c r="X116" s="2129"/>
      <c r="Y116" s="2129"/>
      <c r="Z116" s="2129"/>
      <c r="AA116" s="2129"/>
      <c r="AB116" s="2129"/>
      <c r="AC116" s="2129"/>
    </row>
    <row r="117" spans="1:29" ht="14.5" thickTop="1">
      <c r="A117" s="734"/>
      <c r="B117" s="1880" t="s">
        <v>2554</v>
      </c>
      <c r="C117" s="3187" t="s">
        <v>3124</v>
      </c>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4.5" thickBot="1">
      <c r="A118" s="668"/>
      <c r="B118" s="677"/>
      <c r="C118" s="678">
        <v>100</v>
      </c>
      <c r="D118" s="678">
        <f>C118-$K40</f>
        <v>99</v>
      </c>
      <c r="E118" s="678">
        <f>D118-$K40</f>
        <v>98</v>
      </c>
      <c r="F118" s="678">
        <f>E118-$K40</f>
        <v>97</v>
      </c>
      <c r="G118" s="678">
        <f>F118-$K40</f>
        <v>96</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4.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4.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4.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4.5" thickTop="1">
      <c r="A123" s="734"/>
      <c r="B123" s="672" t="s">
        <v>755</v>
      </c>
      <c r="C123" s="3187" t="s">
        <v>3120</v>
      </c>
      <c r="D123" s="3187" t="s">
        <v>3123</v>
      </c>
      <c r="E123" s="3187" t="s">
        <v>3125</v>
      </c>
      <c r="F123" s="3188" t="s">
        <v>3126</v>
      </c>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4.5" thickBot="1">
      <c r="A124" s="668"/>
      <c r="B124" s="677"/>
      <c r="C124" s="678">
        <v>100</v>
      </c>
      <c r="D124" s="678">
        <f t="shared" ref="D124:M124" si="30">C124-$K43</f>
        <v>99</v>
      </c>
      <c r="E124" s="678">
        <f t="shared" si="30"/>
        <v>98</v>
      </c>
      <c r="F124" s="678">
        <f t="shared" si="30"/>
        <v>97</v>
      </c>
      <c r="G124" s="678">
        <f t="shared" si="30"/>
        <v>96</v>
      </c>
      <c r="H124" s="678">
        <f t="shared" si="30"/>
        <v>95</v>
      </c>
      <c r="I124" s="678">
        <f t="shared" si="30"/>
        <v>94</v>
      </c>
      <c r="J124" s="678">
        <f t="shared" si="30"/>
        <v>93</v>
      </c>
      <c r="K124" s="678">
        <f t="shared" si="30"/>
        <v>92</v>
      </c>
      <c r="L124" s="678">
        <f t="shared" si="30"/>
        <v>91</v>
      </c>
      <c r="M124" s="679">
        <f t="shared" si="30"/>
        <v>90</v>
      </c>
      <c r="N124" s="2150"/>
      <c r="O124" s="2150"/>
      <c r="P124" s="2198"/>
      <c r="Q124" s="2142"/>
      <c r="R124" s="2129"/>
      <c r="S124" s="2129"/>
      <c r="T124" s="2129"/>
      <c r="U124" s="2129"/>
      <c r="V124" s="2129"/>
      <c r="W124" s="2129"/>
      <c r="X124" s="2129"/>
      <c r="Y124" s="2129"/>
      <c r="Z124" s="2129"/>
      <c r="AA124" s="2129"/>
      <c r="AB124" s="2129"/>
      <c r="AC124" s="2129"/>
    </row>
    <row r="125" spans="1:29" ht="28.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4.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4.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4.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4.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4.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4.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4.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G76"/>
  <sheetViews>
    <sheetView zoomScale="80" zoomScaleNormal="80" workbookViewId="0">
      <selection activeCell="K33" sqref="K33"/>
    </sheetView>
  </sheetViews>
  <sheetFormatPr defaultColWidth="9" defaultRowHeight="15.5"/>
  <cols>
    <col min="1" max="1" width="9" style="2044" customWidth="1"/>
    <col min="2" max="2" width="20.6328125" style="2083" customWidth="1"/>
    <col min="3" max="3" width="11.90625" style="2083" customWidth="1"/>
    <col min="4" max="4" width="40.453125" style="2044" customWidth="1"/>
    <col min="5" max="5" width="15.81640625" style="2044" customWidth="1"/>
    <col min="6" max="6" width="10.6328125" style="2044" customWidth="1"/>
    <col min="7" max="7" width="4.90625" style="2044" customWidth="1"/>
    <col min="8" max="8" width="8.453125" style="2044" customWidth="1"/>
    <col min="9" max="9" width="21.1796875" style="2044" customWidth="1"/>
    <col min="10" max="10" width="12.1796875" style="2044" customWidth="1"/>
    <col min="11" max="11" width="40.08984375" style="2084" customWidth="1"/>
    <col min="12" max="12" width="18.36328125" style="2044" customWidth="1"/>
    <col min="13" max="13" width="13" style="2044" customWidth="1"/>
    <col min="14" max="14" width="9.453125" style="2043" bestFit="1" customWidth="1"/>
    <col min="15" max="15" width="5.90625" style="2043" customWidth="1"/>
    <col min="16" max="16" width="27.6328125" style="2043" customWidth="1"/>
    <col min="17" max="17" width="13.81640625" style="2081" customWidth="1"/>
    <col min="18" max="18" width="23.453125" style="2043" customWidth="1"/>
    <col min="19" max="19" width="1.453125" style="2043" customWidth="1"/>
    <col min="20" max="33" width="9" style="2043"/>
    <col min="34" max="16384" width="9" style="2044"/>
  </cols>
  <sheetData>
    <row r="1" spans="1:33" s="2038" customFormat="1" ht="21">
      <c r="A1" s="831" t="s">
        <v>1725</v>
      </c>
      <c r="B1" s="737"/>
      <c r="C1" s="772" t="s">
        <v>35</v>
      </c>
      <c r="D1" s="3076" t="s">
        <v>952</v>
      </c>
      <c r="E1" s="2350" t="s">
        <v>870</v>
      </c>
      <c r="F1" s="2351">
        <f ca="1">J53</f>
        <v>41.1</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8494</v>
      </c>
      <c r="C2" s="2041"/>
      <c r="D2" s="2039"/>
      <c r="E2" s="2040"/>
      <c r="F2" s="2040"/>
      <c r="G2" s="1575"/>
      <c r="H2" s="2041"/>
      <c r="I2" s="2041"/>
      <c r="J2" s="2041"/>
      <c r="K2" s="2042"/>
      <c r="L2" s="2041"/>
      <c r="M2" s="2041"/>
    </row>
    <row r="3" spans="1:33" ht="18" customHeight="1" thickBot="1">
      <c r="A3" s="832" t="s">
        <v>519</v>
      </c>
      <c r="B3" s="833">
        <f ca="1">IF(ISERROR(B2*10000/F43),0,ROUND(B2*10000/F43,0))</f>
        <v>2143</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2456</v>
      </c>
      <c r="C5" s="55">
        <f ca="1">C6+C10+C12</f>
        <v>760</v>
      </c>
      <c r="D5" s="2459" t="s">
        <v>2459</v>
      </c>
      <c r="E5" s="2453"/>
      <c r="F5" s="2454"/>
      <c r="G5" s="1577"/>
      <c r="H5" s="780">
        <v>1</v>
      </c>
      <c r="I5" s="781" t="s">
        <v>2456</v>
      </c>
      <c r="J5" s="55">
        <f ca="1">J6+J10+J12</f>
        <v>0</v>
      </c>
      <c r="K5" s="2459" t="s">
        <v>2459</v>
      </c>
      <c r="L5" s="2453"/>
      <c r="M5" s="2454"/>
    </row>
    <row r="6" spans="1:33" ht="18" customHeight="1">
      <c r="A6" s="1814" t="s">
        <v>1824</v>
      </c>
      <c r="B6" s="3461" t="s">
        <v>2461</v>
      </c>
      <c r="C6" s="782">
        <f ca="1">ROUND(F6*F8*F7*(1-F9)/10000,0)</f>
        <v>760</v>
      </c>
      <c r="D6" s="2460" t="s">
        <v>2460</v>
      </c>
      <c r="E6" s="783" t="s">
        <v>637</v>
      </c>
      <c r="F6" s="784">
        <f ca="1">INDIRECT("'数据-取费表'!u"&amp;$G$1)</f>
        <v>800</v>
      </c>
      <c r="G6" s="1577"/>
      <c r="H6" s="2467" t="s">
        <v>1824</v>
      </c>
      <c r="I6" s="3461" t="s">
        <v>2461</v>
      </c>
      <c r="J6" s="782">
        <f ca="1">ROUND(M6*M8*M7*(1-M9)/10000,0)</f>
        <v>0</v>
      </c>
      <c r="K6" s="340" t="s">
        <v>636</v>
      </c>
      <c r="L6" s="783" t="s">
        <v>637</v>
      </c>
      <c r="M6" s="784">
        <f ca="1">INDIRECT("'数据-取费表'!z"&amp;$G$1)</f>
        <v>0</v>
      </c>
    </row>
    <row r="7" spans="1:33" ht="18" customHeight="1">
      <c r="A7" s="2463"/>
      <c r="B7" s="3462"/>
      <c r="C7" s="787"/>
      <c r="D7" s="788"/>
      <c r="E7" s="783" t="s">
        <v>638</v>
      </c>
      <c r="F7" s="784">
        <f ca="1">IF(INDIRECT("'数据-取费表'!ah"&amp;$G$1)="",INDIRECT("'数据-取费表'!k"&amp;$G$1),INDIRECT("'数据-取费表'!ah"&amp;$G$1))</f>
        <v>990</v>
      </c>
      <c r="G7" s="1577"/>
      <c r="H7" s="2452"/>
      <c r="I7" s="3462"/>
      <c r="J7" s="787"/>
      <c r="K7" s="788"/>
      <c r="L7" s="783" t="s">
        <v>638</v>
      </c>
      <c r="M7" s="784">
        <f ca="1">F7</f>
        <v>990</v>
      </c>
    </row>
    <row r="8" spans="1:33" ht="18" customHeight="1">
      <c r="A8" s="2456"/>
      <c r="B8" s="3463"/>
      <c r="C8" s="787"/>
      <c r="D8" s="788"/>
      <c r="E8" s="783" t="s">
        <v>639</v>
      </c>
      <c r="F8" s="784">
        <f ca="1">INDIRECT("'数据-取费表'!ai"&amp;$G$1)</f>
        <v>12</v>
      </c>
      <c r="G8" s="1577"/>
      <c r="H8" s="2452"/>
      <c r="I8" s="3463"/>
      <c r="J8" s="787"/>
      <c r="K8" s="788"/>
      <c r="L8" s="783" t="s">
        <v>639</v>
      </c>
      <c r="M8" s="784">
        <f ca="1">INDIRECT("'数据-取费表'!ai"&amp;$G$1)</f>
        <v>12</v>
      </c>
    </row>
    <row r="9" spans="1:33" ht="18" customHeight="1">
      <c r="A9" s="785"/>
      <c r="B9" s="3464"/>
      <c r="C9" s="787"/>
      <c r="D9" s="788"/>
      <c r="E9" s="783" t="s">
        <v>640</v>
      </c>
      <c r="F9" s="793">
        <f ca="1">INDIRECT("'数据-取费表'!w"&amp;$G$1)</f>
        <v>0.2</v>
      </c>
      <c r="G9" s="1577"/>
      <c r="H9" s="2468"/>
      <c r="I9" s="3463"/>
      <c r="J9" s="787"/>
      <c r="K9" s="788"/>
      <c r="L9" s="794" t="s">
        <v>640</v>
      </c>
      <c r="M9" s="795">
        <f ca="1">INDIRECT("'数据-取费表'!ab"&amp;$G$1)</f>
        <v>0</v>
      </c>
    </row>
    <row r="10" spans="1:33" ht="18" customHeight="1">
      <c r="A10" s="1814" t="s">
        <v>1825</v>
      </c>
      <c r="B10" s="2457" t="s">
        <v>2457</v>
      </c>
      <c r="C10" s="798">
        <f ca="1">ROUND(IF(F10="押一",C6/12*F11,IF(F10="押二",C6/12*2*F11,IF(F10="押三",C6/12*3*F11,C11*F11))),0)</f>
        <v>0</v>
      </c>
      <c r="D10" s="2464" t="s">
        <v>2971</v>
      </c>
      <c r="E10" s="2461" t="s">
        <v>2462</v>
      </c>
      <c r="F10" s="2584" t="s">
        <v>3140</v>
      </c>
      <c r="G10" s="1577"/>
      <c r="H10" s="2524" t="s">
        <v>1825</v>
      </c>
      <c r="I10" s="2529" t="s">
        <v>2457</v>
      </c>
      <c r="J10" s="782">
        <f ca="1">ROUND(IF(M10="押一",J6/12*M11,IF(M10="押二",J6/12*2*M11,IF(M10="押三",J6/12*3*M11,J11*M11))),0)</f>
        <v>0</v>
      </c>
      <c r="K10" s="2464" t="s">
        <v>2971</v>
      </c>
      <c r="L10" s="2461" t="s">
        <v>2462</v>
      </c>
      <c r="M10" s="2584"/>
    </row>
    <row r="11" spans="1:33" ht="18" customHeight="1">
      <c r="A11" s="789"/>
      <c r="B11" s="2458" t="s">
        <v>2571</v>
      </c>
      <c r="C11" s="2462"/>
      <c r="D11" s="788"/>
      <c r="E11" s="2461" t="s">
        <v>2454</v>
      </c>
      <c r="F11" s="795">
        <f ca="1">'数据-取费表'!B39</f>
        <v>1.4999999999999999E-2</v>
      </c>
      <c r="G11" s="1577"/>
      <c r="H11" s="2525"/>
      <c r="I11" s="2458" t="s">
        <v>2571</v>
      </c>
      <c r="J11" s="2462"/>
      <c r="K11" s="2526"/>
      <c r="L11" s="2461" t="s">
        <v>2454</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644</v>
      </c>
      <c r="C13" s="791">
        <f ca="1">ROUND(C29*F13,0)</f>
        <v>28375</v>
      </c>
      <c r="D13" s="1818" t="s">
        <v>2295</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20396</v>
      </c>
      <c r="D14" s="3191" t="s">
        <v>646</v>
      </c>
      <c r="E14" s="3190"/>
      <c r="F14" s="804"/>
      <c r="G14" s="1577"/>
      <c r="H14" s="1633" t="s">
        <v>1824</v>
      </c>
      <c r="I14" s="2215" t="s">
        <v>2821</v>
      </c>
      <c r="J14" s="53">
        <f ca="1">C29</f>
        <v>28375</v>
      </c>
      <c r="K14" s="26"/>
      <c r="L14" s="800"/>
      <c r="M14" s="801"/>
    </row>
    <row r="15" spans="1:33" s="2048" customFormat="1" ht="18" customHeight="1" thickBot="1">
      <c r="A15" s="1632" t="s">
        <v>1832</v>
      </c>
      <c r="B15" s="783" t="s">
        <v>647</v>
      </c>
      <c r="C15" s="53">
        <f ca="1">ROUND(C14*F15,0)</f>
        <v>1020</v>
      </c>
      <c r="D15" s="805" t="s">
        <v>648</v>
      </c>
      <c r="E15" s="805" t="s">
        <v>649</v>
      </c>
      <c r="F15" s="806">
        <f>'数据-取费表'!B33</f>
        <v>0.05</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7</v>
      </c>
      <c r="I16" s="1811" t="s">
        <v>651</v>
      </c>
      <c r="J16" s="791">
        <f ca="1">ROUND(J17+J22+J23+J24,0)</f>
        <v>2529</v>
      </c>
      <c r="K16" s="1805" t="s">
        <v>652</v>
      </c>
      <c r="L16" s="3193"/>
      <c r="M16" s="2454"/>
    </row>
    <row r="17" spans="1:33" s="2048" customFormat="1" ht="18" customHeight="1">
      <c r="A17" s="1632" t="s">
        <v>1887</v>
      </c>
      <c r="B17" s="783" t="s">
        <v>653</v>
      </c>
      <c r="C17" s="53">
        <f ca="1">ROUND(F17*(F43+INDIRECT("'数据-取费表'!S"&amp;$G$1))/10000,0)</f>
        <v>816</v>
      </c>
      <c r="D17" s="783" t="s">
        <v>654</v>
      </c>
      <c r="E17" s="783" t="s">
        <v>655</v>
      </c>
      <c r="F17" s="56">
        <f>'数据-取费表'!B35</f>
        <v>200</v>
      </c>
      <c r="G17" s="1578"/>
      <c r="H17" s="1633" t="s">
        <v>1824</v>
      </c>
      <c r="I17" s="783" t="s">
        <v>656</v>
      </c>
      <c r="J17" s="53">
        <f ca="1">ROUND(IF(项目基本情况!B11="自然人",J6*M17/(1+'数据-取费表'!C42),J18+J19+J20),0)</f>
        <v>2387</v>
      </c>
      <c r="K17" s="3191" t="s">
        <v>657</v>
      </c>
      <c r="L17" s="3192" t="s">
        <v>658</v>
      </c>
      <c r="M17" s="809">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306</v>
      </c>
      <c r="D18" s="783" t="s">
        <v>648</v>
      </c>
      <c r="E18" s="783" t="s">
        <v>649</v>
      </c>
      <c r="F18" s="808">
        <f>'数据-取费表'!B36</f>
        <v>1.4999999999999999E-2</v>
      </c>
      <c r="G18" s="1578"/>
      <c r="H18" s="1632" t="s">
        <v>1831</v>
      </c>
      <c r="I18" s="783" t="s">
        <v>660</v>
      </c>
      <c r="J18" s="53">
        <f ca="1">ROUND(J6*M18/(1+'数据-取费表'!C42),1)</f>
        <v>0</v>
      </c>
      <c r="K18" s="3192" t="s">
        <v>661</v>
      </c>
      <c r="L18" s="783" t="s">
        <v>649</v>
      </c>
      <c r="M18" s="808">
        <f>'数据-取费表'!B41</f>
        <v>6.1600000000000002E-2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22538</v>
      </c>
      <c r="D19" s="260" t="s">
        <v>663</v>
      </c>
      <c r="E19" s="3194"/>
      <c r="F19" s="56"/>
      <c r="G19" s="1577"/>
      <c r="H19" s="1632" t="s">
        <v>1832</v>
      </c>
      <c r="I19" s="783" t="s">
        <v>664</v>
      </c>
      <c r="J19" s="53">
        <f ca="1">IF(K19="按租金收入计税",ROUND(J6*M19/(1+'数据-取费表'!C42),1),ROUND(C29*F33*0.7,1))</f>
        <v>2383.5</v>
      </c>
      <c r="K19" s="810" t="s">
        <v>665</v>
      </c>
      <c r="L19" s="783" t="s">
        <v>649</v>
      </c>
      <c r="M19" s="808">
        <f>IF(K19="按租金收入计税",'数据-取费表'!B51,'数据-取费表'!B50)</f>
        <v>1.2E-2</v>
      </c>
    </row>
    <row r="20" spans="1:33" s="2048" customFormat="1" ht="18" customHeight="1">
      <c r="A20" s="1633" t="s">
        <v>1889</v>
      </c>
      <c r="B20" s="783" t="s">
        <v>666</v>
      </c>
      <c r="C20" s="53">
        <f ca="1">ROUND(C19*F20,0)</f>
        <v>563</v>
      </c>
      <c r="D20" s="811" t="s">
        <v>667</v>
      </c>
      <c r="E20" s="783" t="s">
        <v>649</v>
      </c>
      <c r="F20" s="808">
        <f>'数据-取费表'!B37</f>
        <v>2.5000000000000001E-2</v>
      </c>
      <c r="G20" s="1578"/>
      <c r="H20" s="1635" t="s">
        <v>1833</v>
      </c>
      <c r="I20" s="340" t="s">
        <v>668</v>
      </c>
      <c r="J20" s="54">
        <f ca="1">ROUND(M20*M21/10000,0)</f>
        <v>3</v>
      </c>
      <c r="K20" s="813" t="s">
        <v>669</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v>
      </c>
      <c r="D21" s="811" t="s">
        <v>2296</v>
      </c>
      <c r="E21" s="783" t="s">
        <v>673</v>
      </c>
      <c r="F21" s="808">
        <f>'数据-取费表'!B38</f>
        <v>2.5000000000000001E-2</v>
      </c>
      <c r="G21" s="1578"/>
      <c r="H21" s="2469"/>
      <c r="I21" s="792"/>
      <c r="J21" s="69"/>
      <c r="K21" s="815"/>
      <c r="L21" s="783" t="s">
        <v>674</v>
      </c>
      <c r="M21" s="784">
        <f ca="1">INDIRECT("'数据-取费表'!r"&amp;$G$1)</f>
        <v>20990.030000000002</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94"/>
      <c r="F22" s="56"/>
      <c r="G22" s="1577"/>
      <c r="H22" s="1633" t="s">
        <v>1889</v>
      </c>
      <c r="I22" s="783" t="s">
        <v>676</v>
      </c>
      <c r="J22" s="53">
        <f ca="1">ROUND(J14*M22,0)</f>
        <v>142</v>
      </c>
      <c r="K22" s="3192" t="s">
        <v>677</v>
      </c>
      <c r="L22" s="783" t="s">
        <v>649</v>
      </c>
      <c r="M22" s="816">
        <f ca="1">INDIRECT("'数据-取费表'!Ak"&amp;$G$1)</f>
        <v>5.0000000000000001E-3</v>
      </c>
    </row>
    <row r="23" spans="1:33" s="2048" customFormat="1" ht="18" customHeight="1">
      <c r="A23" s="1632" t="s">
        <v>1831</v>
      </c>
      <c r="B23" s="783" t="s">
        <v>2435</v>
      </c>
      <c r="C23" s="53">
        <f ca="1">ROUND(IF('数据-取费表'!B22&lt;=1,(C19+C20)*F24*F23/2,(C19+C20)*(POWER((1+F24),F23/2)-1)),0)</f>
        <v>1665</v>
      </c>
      <c r="D23" s="2534" t="str">
        <f>IF(F23&lt;=1,"(建造成本+管理费用)×利率×(建设周期÷2)","(建造成本+管理费用)×((1+利率)^(建设周期÷2)-1)")</f>
        <v>(建造成本+管理费用)×((1+利率)^(建设周期÷2)-1)</v>
      </c>
      <c r="E23" s="783" t="s">
        <v>678</v>
      </c>
      <c r="F23" s="639">
        <f>'数据-取费表'!B20</f>
        <v>3</v>
      </c>
      <c r="G23" s="1578"/>
      <c r="H23" s="1633" t="s">
        <v>1890</v>
      </c>
      <c r="I23" s="783" t="s">
        <v>679</v>
      </c>
      <c r="J23" s="53">
        <f ca="1">ROUND(J13*M23,0)</f>
        <v>0</v>
      </c>
      <c r="K23" s="3192"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1.8E-3</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94"/>
      <c r="F25" s="56"/>
      <c r="G25" s="1577"/>
      <c r="H25" s="1813" t="s">
        <v>1776</v>
      </c>
      <c r="I25" s="2961" t="s">
        <v>2818</v>
      </c>
      <c r="J25" s="791">
        <f ca="1">J5-J16</f>
        <v>-2529</v>
      </c>
      <c r="K25" s="2511" t="s">
        <v>700</v>
      </c>
      <c r="L25" s="2512"/>
      <c r="M25" s="2513"/>
    </row>
    <row r="26" spans="1:33" ht="18" customHeight="1">
      <c r="A26" s="1632" t="s">
        <v>1831</v>
      </c>
      <c r="B26" s="783" t="s">
        <v>2436</v>
      </c>
      <c r="C26" s="53">
        <f ca="1">ROUND((C19+C20)*F26,0)</f>
        <v>1155</v>
      </c>
      <c r="D26" s="811" t="s">
        <v>701</v>
      </c>
      <c r="E26" s="794" t="s">
        <v>702</v>
      </c>
      <c r="F26" s="793">
        <f ca="1">INDIRECT("'数据-取费表'!q"&amp;$G$1)</f>
        <v>0.05</v>
      </c>
      <c r="G26" s="1577"/>
      <c r="H26" s="2465" t="s">
        <v>1780</v>
      </c>
      <c r="I26" s="2216" t="s">
        <v>2823</v>
      </c>
      <c r="J26" s="782">
        <f ca="1">IF(J5&lt;&gt;0,ROUND(J25*(1-((1+M28)/(1+M26))^M27)/(M26-M28),0),0)</f>
        <v>0</v>
      </c>
      <c r="K26" s="813" t="s">
        <v>704</v>
      </c>
      <c r="L26" s="783" t="s">
        <v>2417</v>
      </c>
      <c r="M26" s="793">
        <f ca="1">INDIRECT("'数据-取费表'!I"&amp;$G$1)</f>
        <v>0.05</v>
      </c>
    </row>
    <row r="27" spans="1:33" ht="18" customHeight="1">
      <c r="A27" s="1632" t="s">
        <v>1832</v>
      </c>
      <c r="B27" s="783" t="s">
        <v>686</v>
      </c>
      <c r="C27" s="53">
        <f ca="1">ROUND(F21*F26,4)</f>
        <v>1.2999999999999999E-3</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5.8400000000000001E-2</v>
      </c>
      <c r="D28" s="811" t="s">
        <v>2297</v>
      </c>
      <c r="E28" s="783" t="s">
        <v>649</v>
      </c>
      <c r="F28" s="808">
        <f>'数据-取费表'!B41</f>
        <v>6.1600000000000002E-2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28375</v>
      </c>
      <c r="D29" s="2508"/>
      <c r="E29" s="2509"/>
      <c r="F29" s="2510"/>
      <c r="G29" s="1578"/>
      <c r="H29" s="822" t="s">
        <v>1787</v>
      </c>
      <c r="I29" s="823" t="s">
        <v>1788</v>
      </c>
      <c r="J29" s="824">
        <f ca="1">ROUND(J26/(1+F40)^F41,0)</f>
        <v>0</v>
      </c>
      <c r="K29" s="825" t="s">
        <v>688</v>
      </c>
      <c r="L29" s="826"/>
      <c r="M29" s="827">
        <f ca="1">INDIRECT("'数据-取费表'!k"&amp;$G$1)</f>
        <v>39638.61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7</v>
      </c>
      <c r="B30" s="1811" t="s">
        <v>651</v>
      </c>
      <c r="C30" s="791">
        <f ca="1">ROUND(C31+C36+C37+C38,0)</f>
        <v>394</v>
      </c>
      <c r="D30" s="1805" t="s">
        <v>652</v>
      </c>
      <c r="E30" s="3193"/>
      <c r="F30" s="2454"/>
      <c r="G30" s="2046"/>
      <c r="H30" s="2049"/>
      <c r="I30" s="2050"/>
      <c r="J30" s="2051"/>
      <c r="K30" s="2052"/>
      <c r="L30" s="2053"/>
      <c r="M30" s="2054"/>
    </row>
    <row r="31" spans="1:33" ht="18" customHeight="1">
      <c r="A31" s="1633" t="s">
        <v>1824</v>
      </c>
      <c r="B31" s="783" t="s">
        <v>656</v>
      </c>
      <c r="C31" s="53">
        <f ca="1">ROUND(IF(项目基本情况!B11="自然人",C6*F31/(1+'数据-取费表'!C42),C32+C33+C34),1)</f>
        <v>133.9</v>
      </c>
      <c r="D31" s="3191" t="s">
        <v>657</v>
      </c>
      <c r="E31" s="3192" t="s">
        <v>690</v>
      </c>
      <c r="F31" s="809">
        <f ca="1">IF(项目基本情况!B11="企业","",IF(INDIRECT("'数据-取费表'!c"&amp;$G$1)="住宅",5%,IF(F6*F7*F8/12/(1+'数据-取费表'!C42)&gt;20000,12%,7%)))</f>
        <v>0.12</v>
      </c>
      <c r="G31" s="2046"/>
      <c r="H31" s="2049"/>
      <c r="I31" s="2050"/>
      <c r="J31" s="2051"/>
      <c r="K31" s="2052"/>
      <c r="L31" s="2053"/>
      <c r="M31" s="2054"/>
    </row>
    <row r="32" spans="1:33" ht="18" customHeight="1">
      <c r="A32" s="1632" t="s">
        <v>1831</v>
      </c>
      <c r="B32" s="783" t="s">
        <v>660</v>
      </c>
      <c r="C32" s="53">
        <f ca="1">ROUND(C6*F32/(1+'数据-取费表'!C42),1)</f>
        <v>44.4</v>
      </c>
      <c r="D32" s="3192" t="s">
        <v>661</v>
      </c>
      <c r="E32" s="783" t="s">
        <v>649</v>
      </c>
      <c r="F32" s="808">
        <f>'数据-取费表'!B41</f>
        <v>6.1600000000000002E-2</v>
      </c>
      <c r="G32" s="2046"/>
      <c r="H32" s="2055"/>
      <c r="I32" s="2056"/>
      <c r="J32" s="2057"/>
      <c r="K32" s="2058"/>
      <c r="L32" s="2059"/>
      <c r="M32" s="2060"/>
    </row>
    <row r="33" spans="1:18" ht="18" customHeight="1">
      <c r="A33" s="1632" t="s">
        <v>1832</v>
      </c>
      <c r="B33" s="783" t="s">
        <v>664</v>
      </c>
      <c r="C33" s="53">
        <f ca="1">IF(D33="按租金收入计税",ROUND(C6*F33/(1+'数据-取费表'!C42),1),IF(D33="按房产原值计税",ROUND(C29*F33*0.7,1),INDIRECT("'数据-取费表'!Aj"&amp;$G$1)))</f>
        <v>86.4</v>
      </c>
      <c r="D33" s="810" t="s">
        <v>3101</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3.1</v>
      </c>
      <c r="D34" s="813" t="s">
        <v>669</v>
      </c>
      <c r="E34" s="783" t="s">
        <v>670</v>
      </c>
      <c r="F34" s="639">
        <f>'数据-取费表'!B52</f>
        <v>1.5</v>
      </c>
      <c r="G34" s="2046"/>
      <c r="H34" s="2049"/>
      <c r="I34" s="834" t="s">
        <v>1813</v>
      </c>
      <c r="J34" s="835"/>
      <c r="K34" s="2064"/>
      <c r="L34" s="2063"/>
      <c r="M34" s="2063"/>
    </row>
    <row r="35" spans="1:18" ht="18" customHeight="1">
      <c r="A35" s="814"/>
      <c r="B35" s="792"/>
      <c r="C35" s="69"/>
      <c r="D35" s="815"/>
      <c r="E35" s="783" t="s">
        <v>674</v>
      </c>
      <c r="F35" s="784">
        <f ca="1">INDIRECT("'数据-取费表'!r"&amp;$G$1)</f>
        <v>20990.030000000002</v>
      </c>
      <c r="G35" s="2046"/>
      <c r="H35" s="2049"/>
      <c r="I35" s="836" t="s">
        <v>1814</v>
      </c>
      <c r="J35" s="837">
        <f ca="1">ROUND(C13*J36,0)</f>
        <v>2412</v>
      </c>
      <c r="K35" s="2062"/>
      <c r="L35" s="2061"/>
      <c r="M35" s="2061"/>
    </row>
    <row r="36" spans="1:18" ht="18" customHeight="1">
      <c r="A36" s="1633" t="s">
        <v>1889</v>
      </c>
      <c r="B36" s="783" t="s">
        <v>676</v>
      </c>
      <c r="C36" s="53">
        <f ca="1">ROUND(C29*F36,1)</f>
        <v>141.9</v>
      </c>
      <c r="D36" s="3192" t="s">
        <v>691</v>
      </c>
      <c r="E36" s="783" t="s">
        <v>649</v>
      </c>
      <c r="F36" s="816">
        <f ca="1">INDIRECT("'数据-取费表'!Ak"&amp;$G$1)</f>
        <v>5.0000000000000001E-3</v>
      </c>
      <c r="G36" s="2046"/>
      <c r="H36" s="2061">
        <f ca="1">(C36+C37+C38)*10000/12/F7</f>
        <v>219.27609427609428</v>
      </c>
      <c r="I36" s="838" t="s">
        <v>1815</v>
      </c>
      <c r="J36" s="839">
        <f ca="1">INDIRECT("'数据-取费表'!j"&amp;$G$1)</f>
        <v>8.5000000000000006E-2</v>
      </c>
      <c r="K36" s="2066"/>
      <c r="L36" s="2061"/>
      <c r="M36" s="2061"/>
    </row>
    <row r="37" spans="1:18" ht="18" customHeight="1">
      <c r="A37" s="1633" t="s">
        <v>1890</v>
      </c>
      <c r="B37" s="783" t="s">
        <v>679</v>
      </c>
      <c r="C37" s="53">
        <f ca="1">ROUND(C13*F37,1)</f>
        <v>42.6</v>
      </c>
      <c r="D37" s="3192"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76</v>
      </c>
      <c r="D38" s="2508" t="s">
        <v>683</v>
      </c>
      <c r="E38" s="2509" t="s">
        <v>649</v>
      </c>
      <c r="F38" s="2505">
        <f ca="1">INDIRECT("'数据-取费表'!Am"&amp;$G$1)</f>
        <v>0.1</v>
      </c>
      <c r="G38" s="2046"/>
      <c r="H38" s="2061"/>
      <c r="I38" s="842" t="s">
        <v>1817</v>
      </c>
      <c r="J38" s="843"/>
      <c r="K38" s="2067"/>
      <c r="L38" s="2061"/>
      <c r="M38" s="2061"/>
    </row>
    <row r="39" spans="1:18" ht="24.65" customHeight="1" thickTop="1">
      <c r="A39" s="1813" t="s">
        <v>1776</v>
      </c>
      <c r="B39" s="2961" t="s">
        <v>2818</v>
      </c>
      <c r="C39" s="791">
        <f ca="1">C5-C30</f>
        <v>366</v>
      </c>
      <c r="D39" s="2511" t="s">
        <v>700</v>
      </c>
      <c r="E39" s="2512"/>
      <c r="F39" s="2513"/>
      <c r="G39" s="2046"/>
      <c r="H39" s="2061"/>
      <c r="I39" s="836" t="s">
        <v>1818</v>
      </c>
      <c r="J39" s="844">
        <f ca="1">ROUND(J35/C39,3)</f>
        <v>6.59</v>
      </c>
      <c r="K39" s="2067"/>
      <c r="L39" s="2061"/>
      <c r="M39" s="2061"/>
    </row>
    <row r="40" spans="1:18" ht="18" customHeight="1">
      <c r="A40" s="780" t="s">
        <v>1780</v>
      </c>
      <c r="B40" s="2216" t="s">
        <v>2299</v>
      </c>
      <c r="C40" s="782">
        <f ca="1">ROUND(C39*(1-((1+F42)/(1+F40))^F41)/(F40-F42),0)</f>
        <v>8494</v>
      </c>
      <c r="D40" s="813" t="s">
        <v>704</v>
      </c>
      <c r="E40" s="783" t="s">
        <v>2417</v>
      </c>
      <c r="F40" s="793">
        <f ca="1">INDIRECT("'数据-取费表'!I"&amp;$G$1)</f>
        <v>0.05</v>
      </c>
      <c r="G40" s="2046"/>
      <c r="H40" s="2046"/>
      <c r="I40" s="836" t="s">
        <v>1819</v>
      </c>
      <c r="J40" s="844">
        <f ca="1">1-J39</f>
        <v>-5.59</v>
      </c>
      <c r="K40" s="2067"/>
      <c r="L40" s="2046"/>
      <c r="M40" s="2046"/>
    </row>
    <row r="41" spans="1:18" ht="18" customHeight="1">
      <c r="A41" s="785"/>
      <c r="B41" s="786"/>
      <c r="C41" s="787"/>
      <c r="D41" s="820" t="s">
        <v>1808</v>
      </c>
      <c r="E41" s="783" t="s">
        <v>708</v>
      </c>
      <c r="F41" s="821">
        <f ca="1">IF(INDIRECT("'数据-取费表'!af"&amp;$G$1)=0,INDIRECT("'数据-取费表'!ae"&amp;$G$1),INDIRECT("'数据-取费表'!af"&amp;$G$1))</f>
        <v>41.1</v>
      </c>
      <c r="G41" s="2046"/>
      <c r="H41" s="1972"/>
      <c r="I41" s="842" t="s">
        <v>1820</v>
      </c>
      <c r="J41" s="845"/>
      <c r="K41" s="2066"/>
      <c r="L41" s="1972"/>
      <c r="M41" s="1972"/>
    </row>
    <row r="42" spans="1:18" ht="18" customHeight="1">
      <c r="A42" s="789"/>
      <c r="B42" s="790"/>
      <c r="C42" s="791"/>
      <c r="D42" s="815"/>
      <c r="E42" s="783" t="s">
        <v>710</v>
      </c>
      <c r="F42" s="793">
        <f ca="1">INDIRECT("'数据-取费表'!v"&amp;$G$1)</f>
        <v>0.02</v>
      </c>
      <c r="G42" s="2046"/>
      <c r="H42" s="1972"/>
      <c r="I42" s="846" t="s">
        <v>1821</v>
      </c>
      <c r="J42" s="844">
        <f ca="1">ROUND(C13/C40,3)</f>
        <v>3.3410000000000002</v>
      </c>
      <c r="K42" s="2066"/>
      <c r="L42" s="1972"/>
      <c r="M42" s="1972"/>
    </row>
    <row r="43" spans="1:18" ht="18" customHeight="1" thickBot="1">
      <c r="A43" s="822" t="s">
        <v>1787</v>
      </c>
      <c r="B43" s="823" t="s">
        <v>1810</v>
      </c>
      <c r="C43" s="824">
        <f ca="1">ROUND(C40*10000/F43,0)</f>
        <v>2143</v>
      </c>
      <c r="D43" s="825" t="s">
        <v>1811</v>
      </c>
      <c r="E43" s="826" t="s">
        <v>1812</v>
      </c>
      <c r="F43" s="827">
        <f ca="1">INDIRECT("'数据-取费表'!k"&amp;$G$1)</f>
        <v>39638.61</v>
      </c>
      <c r="G43" s="2046"/>
      <c r="H43" s="1972"/>
      <c r="I43" s="846" t="s">
        <v>1822</v>
      </c>
      <c r="J43" s="847">
        <f ca="1">1-J42</f>
        <v>-2.3410000000000002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-11748</v>
      </c>
      <c r="D46" s="2069"/>
      <c r="E46" s="2069"/>
      <c r="F46" s="2069"/>
      <c r="I46" s="2341" t="s">
        <v>2341</v>
      </c>
      <c r="J46" s="2342"/>
      <c r="K46" s="2343"/>
      <c r="L46" s="3107" t="str">
        <f ca="1">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8" t="s">
        <v>2342</v>
      </c>
      <c r="J47" s="2344" t="s">
        <v>3102</v>
      </c>
      <c r="K47" s="3104" t="s">
        <v>2347</v>
      </c>
      <c r="L47" s="3108">
        <f ca="1">INDIRECT("'数据-取费表'!d"&amp;$G$1)</f>
        <v>50</v>
      </c>
      <c r="M47" s="1588" t="str">
        <f>IF(ISNUMBER(FIND("住宅",C1)),"住宅","非住宅")</f>
        <v>非住宅</v>
      </c>
      <c r="O47" s="2358" t="s">
        <v>2373</v>
      </c>
      <c r="P47" s="2359" t="s">
        <v>2374</v>
      </c>
      <c r="Q47" s="2360" t="s">
        <v>2375</v>
      </c>
      <c r="R47" s="2359" t="s">
        <v>2376</v>
      </c>
    </row>
    <row r="48" spans="1:18" s="2043" customFormat="1" ht="18" customHeight="1" thickBot="1">
      <c r="A48" s="2605" t="s">
        <v>1870</v>
      </c>
      <c r="B48" s="2606" t="s">
        <v>2536</v>
      </c>
      <c r="C48" s="2337">
        <f ca="1">ROUND(F48*F50*F49*(1-F51)/10000,0)</f>
        <v>0</v>
      </c>
      <c r="D48" s="2338" t="s">
        <v>636</v>
      </c>
      <c r="E48" s="2339" t="s">
        <v>2294</v>
      </c>
      <c r="F48" s="2340"/>
      <c r="G48" s="2074"/>
      <c r="I48" s="3077" t="s">
        <v>2343</v>
      </c>
      <c r="J48" s="2345" t="s">
        <v>2348</v>
      </c>
      <c r="K48" s="3105" t="s">
        <v>2349</v>
      </c>
      <c r="L48" s="1892">
        <f ca="1">INDIRECT("'数据-取费表'!f"&amp;$G$1)</f>
        <v>41.1</v>
      </c>
      <c r="O48" s="2361" t="s">
        <v>2377</v>
      </c>
      <c r="P48" s="2362" t="s">
        <v>2403</v>
      </c>
      <c r="Q48" s="2363">
        <f ca="1">C40+J29</f>
        <v>8494</v>
      </c>
      <c r="R48" s="2362" t="s">
        <v>2378</v>
      </c>
    </row>
    <row r="49" spans="1:18" s="2043" customFormat="1" ht="18" customHeight="1" thickBot="1">
      <c r="A49" s="785"/>
      <c r="B49" s="786"/>
      <c r="C49" s="787"/>
      <c r="D49" s="788"/>
      <c r="E49" s="783" t="s">
        <v>638</v>
      </c>
      <c r="F49" s="784">
        <f ca="1">F7</f>
        <v>990</v>
      </c>
      <c r="G49" s="2074"/>
      <c r="H49" s="2077"/>
      <c r="I49" s="3077" t="s">
        <v>2344</v>
      </c>
      <c r="J49" s="2346"/>
      <c r="K49" s="3106" t="s">
        <v>2350</v>
      </c>
      <c r="L49" s="2347"/>
      <c r="O49" s="2361" t="s">
        <v>2379</v>
      </c>
      <c r="P49" s="2362" t="s">
        <v>2404</v>
      </c>
      <c r="Q49" s="2363" t="str">
        <f ca="1">J60</f>
        <v>0</v>
      </c>
      <c r="R49" s="2362" t="s">
        <v>2380</v>
      </c>
    </row>
    <row r="50" spans="1:18" s="2043" customFormat="1" ht="18" customHeight="1" thickBot="1">
      <c r="A50" s="785"/>
      <c r="B50" s="786"/>
      <c r="C50" s="787"/>
      <c r="D50" s="788"/>
      <c r="E50" s="783" t="s">
        <v>639</v>
      </c>
      <c r="F50" s="784">
        <f ca="1">F8</f>
        <v>12</v>
      </c>
      <c r="G50" s="2079"/>
      <c r="H50" s="2077"/>
      <c r="I50" s="3077" t="s">
        <v>2345</v>
      </c>
      <c r="J50" s="3102">
        <f>SUMPRODUCT((I63:I65=J47)*(J62:L62=J48)*(J63:L65))</f>
        <v>60</v>
      </c>
      <c r="K50" s="3106" t="s">
        <v>2351</v>
      </c>
      <c r="L50" s="2347"/>
      <c r="O50" s="2364" t="s">
        <v>2381</v>
      </c>
      <c r="P50" s="2362" t="s">
        <v>2405</v>
      </c>
      <c r="Q50" s="2363">
        <f ca="1">C29</f>
        <v>28375</v>
      </c>
      <c r="R50" s="2362" t="s">
        <v>2378</v>
      </c>
    </row>
    <row r="51" spans="1:18" s="2043" customFormat="1" ht="18" customHeight="1" thickBot="1">
      <c r="A51" s="785"/>
      <c r="B51" s="786"/>
      <c r="C51" s="787"/>
      <c r="D51" s="788"/>
      <c r="E51" s="783" t="s">
        <v>640</v>
      </c>
      <c r="F51" s="2334"/>
      <c r="H51" s="2077"/>
      <c r="I51" s="3099" t="s">
        <v>2346</v>
      </c>
      <c r="J51" s="3103">
        <f>IF(J49="",J50,J49+J50-YEAR('数据-取费表'!B2))</f>
        <v>60</v>
      </c>
      <c r="K51" s="3077" t="s">
        <v>2352</v>
      </c>
      <c r="L51" s="3109">
        <f ca="1">ROUND(-PV(INDIRECT("'数据-取费表'!h"&amp;$G$1),L48,(C39-C13*J36),0),0)</f>
        <v>-38017</v>
      </c>
      <c r="O51" s="2364" t="s">
        <v>2382</v>
      </c>
      <c r="P51" s="2362" t="s">
        <v>2383</v>
      </c>
      <c r="Q51" s="2365" t="e">
        <f ca="1">J58</f>
        <v>#VALUE!</v>
      </c>
      <c r="R51" s="2366"/>
    </row>
    <row r="52" spans="1:18" s="2043" customFormat="1" ht="18" customHeight="1" thickBot="1">
      <c r="A52" s="780" t="s">
        <v>2534</v>
      </c>
      <c r="B52" s="2457" t="s">
        <v>2457</v>
      </c>
      <c r="C52" s="798">
        <f ca="1">ROUND(IF(F52="押一",C48/12*F11,IF(F52="押二",C48/12*2*F11,IF(F52="押三",C48/12*3*F11,C53*F11))),0)</f>
        <v>0</v>
      </c>
      <c r="D52" s="2464" t="s">
        <v>2971</v>
      </c>
      <c r="E52" s="2461" t="s">
        <v>2462</v>
      </c>
      <c r="F52" s="2584"/>
      <c r="I52" s="3100" t="s">
        <v>2419</v>
      </c>
      <c r="J52" s="2348">
        <v>0.09</v>
      </c>
      <c r="K52" s="3100" t="s">
        <v>2418</v>
      </c>
      <c r="L52" s="2348"/>
      <c r="O52" s="2364" t="s">
        <v>2384</v>
      </c>
      <c r="P52" s="2362" t="s">
        <v>2385</v>
      </c>
      <c r="Q52" s="2365">
        <f>J52</f>
        <v>0.09</v>
      </c>
      <c r="R52" s="2366"/>
    </row>
    <row r="53" spans="1:18" s="2043" customFormat="1" ht="39.75" customHeight="1" thickBot="1">
      <c r="A53" s="785"/>
      <c r="B53" s="2458" t="s">
        <v>2571</v>
      </c>
      <c r="C53" s="2462"/>
      <c r="D53" s="2464"/>
      <c r="E53" s="2461"/>
      <c r="F53" s="799"/>
      <c r="I53" s="3101" t="s">
        <v>2975</v>
      </c>
      <c r="J53" s="3180">
        <f ca="1">IF(M47="住宅",IF(D1="——",MAX(J51,L48),MAX(J51,L48-'数据-取费表'!B20)),IF(D1="——",MIN(J51,L48),MIN(J51,L48-'数据-取费表'!B20)))</f>
        <v>41.1</v>
      </c>
      <c r="K53" s="3467" t="s">
        <v>2963</v>
      </c>
      <c r="L53" s="3468"/>
      <c r="O53" s="2364" t="s">
        <v>2386</v>
      </c>
      <c r="P53" s="2362" t="s">
        <v>2387</v>
      </c>
      <c r="Q53" s="2363">
        <f ca="1">J53</f>
        <v>41.1</v>
      </c>
      <c r="R53" s="2362" t="s">
        <v>2388</v>
      </c>
    </row>
    <row r="54" spans="1:18" s="2043" customFormat="1" ht="18" customHeight="1" thickBot="1">
      <c r="A54" s="2500" t="s">
        <v>2465</v>
      </c>
      <c r="B54" s="2501" t="s">
        <v>2458</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8494</v>
      </c>
      <c r="R54" s="2366" t="s">
        <v>2390</v>
      </c>
    </row>
    <row r="55" spans="1:18" s="2043" customFormat="1" ht="18" customHeight="1" thickTop="1" thickBot="1">
      <c r="A55" s="796">
        <v>2</v>
      </c>
      <c r="B55" s="797" t="s">
        <v>644</v>
      </c>
      <c r="C55" s="798">
        <f ca="1">C13</f>
        <v>28375</v>
      </c>
      <c r="D55" s="794"/>
      <c r="E55" s="794"/>
      <c r="F55" s="799"/>
      <c r="I55" s="3112" t="s">
        <v>2353</v>
      </c>
      <c r="J55" s="3052" t="e">
        <f ca="1">ROUND(IF(J47="钢混",J57/J50,1-(1-2%)*(J50-J57)/J50),3)</f>
        <v>#VALUE!</v>
      </c>
      <c r="K55" s="3113" t="s">
        <v>2354</v>
      </c>
      <c r="L55" s="2349"/>
      <c r="O55" s="2367" t="s">
        <v>2409</v>
      </c>
      <c r="P55" s="1577"/>
      <c r="Q55" s="1588"/>
      <c r="R55" s="1577"/>
    </row>
    <row r="56" spans="1:18" s="2043" customFormat="1" ht="42.75" customHeight="1" thickBot="1">
      <c r="A56" s="1634"/>
      <c r="B56" s="2215" t="s">
        <v>2298</v>
      </c>
      <c r="C56" s="53">
        <f ca="1">C29</f>
        <v>28375</v>
      </c>
      <c r="D56" s="3192"/>
      <c r="E56" s="783"/>
      <c r="F56" s="808"/>
      <c r="I56" s="3114" t="s">
        <v>2355</v>
      </c>
      <c r="J56" s="3124" t="s">
        <v>1678</v>
      </c>
      <c r="K56" s="3077" t="s">
        <v>2360</v>
      </c>
      <c r="L56" s="1892" t="str">
        <f ca="1">IF(L48&lt;J51,"——",L48-J51)</f>
        <v>——</v>
      </c>
      <c r="O56" s="2358" t="s">
        <v>2373</v>
      </c>
      <c r="P56" s="2359" t="s">
        <v>2374</v>
      </c>
      <c r="Q56" s="2360" t="s">
        <v>2375</v>
      </c>
      <c r="R56" s="2359" t="s">
        <v>2376</v>
      </c>
    </row>
    <row r="57" spans="1:18" s="2043" customFormat="1" ht="28.5" customHeight="1" thickBot="1">
      <c r="A57" s="796" t="s">
        <v>7</v>
      </c>
      <c r="B57" s="797" t="s">
        <v>651</v>
      </c>
      <c r="C57" s="798">
        <f ca="1">ROUND(C58+C63+C64+C65,0)</f>
        <v>188</v>
      </c>
      <c r="D57" s="26" t="s">
        <v>652</v>
      </c>
      <c r="E57" s="3194"/>
      <c r="F57" s="56"/>
      <c r="I57" s="3115" t="s">
        <v>2356</v>
      </c>
      <c r="J57" s="3116" t="str">
        <f ca="1">IF(OR(M47="住宅",J51&lt;L48,J56="是"),"——",J51-L48)</f>
        <v>——</v>
      </c>
      <c r="K57" s="3077" t="s">
        <v>2361</v>
      </c>
      <c r="L57" s="1892" t="str">
        <f ca="1">IF(L48&lt;J51,"——",IF(L55="比较法",L49,IF(L55="基准地价",L50,L51)))</f>
        <v>——</v>
      </c>
      <c r="O57" s="2361" t="s">
        <v>2377</v>
      </c>
      <c r="P57" s="2362" t="s">
        <v>2403</v>
      </c>
      <c r="Q57" s="2363">
        <f ca="1">C40+J29</f>
        <v>8494</v>
      </c>
      <c r="R57" s="2362" t="s">
        <v>2378</v>
      </c>
    </row>
    <row r="58" spans="1:18" s="2043" customFormat="1" ht="28.5" customHeight="1" thickBot="1">
      <c r="A58" s="1633" t="s">
        <v>1824</v>
      </c>
      <c r="B58" s="783" t="s">
        <v>656</v>
      </c>
      <c r="C58" s="53">
        <f ca="1">ROUND(IF(项目基本情况!B11="自然人",C47*F58,C59+C60+C61),1)</f>
        <v>3.1</v>
      </c>
      <c r="D58" s="3191" t="s">
        <v>657</v>
      </c>
      <c r="E58" s="3192" t="s">
        <v>690</v>
      </c>
      <c r="F58" s="809">
        <f ca="1">IF(项目基本情况!B11="企业","",IF(INDIRECT("'数据-取费表'!c"&amp;$G$1)="住宅",5%,IF(F48*F49*F50/12/(1+'数据-取费表'!C42)&gt;20000,12%,7%)))</f>
        <v>7.0000000000000007E-2</v>
      </c>
      <c r="I58" s="3115" t="s">
        <v>2357</v>
      </c>
      <c r="J58" s="3053" t="e">
        <f ca="1">IF(J55&lt;0.4,0.4,J55)</f>
        <v>#VALUE!</v>
      </c>
      <c r="K58" s="3077"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3" t="s">
        <v>660</v>
      </c>
      <c r="C59" s="53">
        <f ca="1">ROUND(C47*F59/1.05,1)</f>
        <v>0</v>
      </c>
      <c r="D59" s="3192" t="s">
        <v>661</v>
      </c>
      <c r="E59" s="783" t="s">
        <v>649</v>
      </c>
      <c r="F59" s="808">
        <f t="shared" ref="F59:F65" si="0">F32</f>
        <v>6.1600000000000002E-2</v>
      </c>
      <c r="I59" s="3115" t="s">
        <v>2358</v>
      </c>
      <c r="J59" s="3116" t="str">
        <f ca="1">IF(OR(M47="住宅",J51&lt;L48,J56="是"),"——",ROUND(C29*J58,0))</f>
        <v>——</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3" t="s">
        <v>664</v>
      </c>
      <c r="C60" s="53">
        <f ca="1">IF(D60="按租金收入计税",ROUND(C47*F60,1),IF(D60="按房产原值计税",ROUND(C56*F60*0.7,1),INDIRECT("'数据-取费表'!Aj"&amp;$G$1)))</f>
        <v>0</v>
      </c>
      <c r="D60" s="3192" t="str">
        <f>D33</f>
        <v>按租金收入计税</v>
      </c>
      <c r="E60" s="783" t="s">
        <v>649</v>
      </c>
      <c r="F60" s="808">
        <f t="shared" si="0"/>
        <v>0.12</v>
      </c>
      <c r="I60" s="3117" t="s">
        <v>2359</v>
      </c>
      <c r="J60" s="3118" t="str">
        <f ca="1">IF(OR(M47="住宅",J51&lt;L48,J56="是"),"0",ROUND(J59/(1+J52)^J53,0))</f>
        <v>0</v>
      </c>
      <c r="K60" s="3119" t="s">
        <v>2364</v>
      </c>
      <c r="L60" s="3118">
        <f ca="1">IF(OR(M47="住宅",L48&lt;J51),0,ROUND(L57*(L58/L59-1),0))</f>
        <v>0</v>
      </c>
      <c r="O60" s="2364" t="s">
        <v>2382</v>
      </c>
      <c r="P60" s="2362" t="s">
        <v>2391</v>
      </c>
      <c r="Q60" s="2365">
        <f>L52</f>
        <v>0</v>
      </c>
      <c r="R60" s="2366"/>
    </row>
    <row r="61" spans="1:18" s="2043" customFormat="1" ht="18" customHeight="1" thickBot="1">
      <c r="A61" s="1635" t="s">
        <v>1833</v>
      </c>
      <c r="B61" s="340" t="s">
        <v>668</v>
      </c>
      <c r="C61" s="54">
        <f ca="1">ROUND(F61*F62/10000,1)</f>
        <v>3.1</v>
      </c>
      <c r="D61" s="813" t="s">
        <v>669</v>
      </c>
      <c r="E61" s="783" t="s">
        <v>670</v>
      </c>
      <c r="F61" s="639">
        <f t="shared" si="0"/>
        <v>1.5</v>
      </c>
      <c r="K61" s="2070"/>
      <c r="O61" s="2364" t="s">
        <v>2384</v>
      </c>
      <c r="P61" s="2362" t="s">
        <v>2392</v>
      </c>
      <c r="Q61" s="2363" t="e">
        <f ca="1">L58</f>
        <v>#DIV/0!</v>
      </c>
      <c r="R61" s="2366" t="s">
        <v>2393</v>
      </c>
    </row>
    <row r="62" spans="1:18" s="2043" customFormat="1" ht="16" thickBot="1">
      <c r="A62" s="814"/>
      <c r="B62" s="792"/>
      <c r="C62" s="69"/>
      <c r="D62" s="815"/>
      <c r="E62" s="783" t="s">
        <v>674</v>
      </c>
      <c r="F62" s="784">
        <f t="shared" ca="1" si="0"/>
        <v>20990.030000000002</v>
      </c>
      <c r="I62" s="3120" t="s">
        <v>2365</v>
      </c>
      <c r="J62" s="3121" t="s">
        <v>2366</v>
      </c>
      <c r="K62" s="3121" t="s">
        <v>2367</v>
      </c>
      <c r="L62" s="3121" t="s">
        <v>2348</v>
      </c>
      <c r="M62" s="3122" t="s">
        <v>2940</v>
      </c>
      <c r="O62" s="2364" t="s">
        <v>2386</v>
      </c>
      <c r="P62" s="2362" t="str">
        <f>K59</f>
        <v>建筑物剩余耐用年限下的土地年期修正系数Kn</v>
      </c>
      <c r="Q62" s="2363" t="e">
        <f ca="1">L59</f>
        <v>#DIV/0!</v>
      </c>
      <c r="R62" s="2366" t="s">
        <v>2395</v>
      </c>
    </row>
    <row r="63" spans="1:18" s="2043" customFormat="1" ht="16" thickBot="1">
      <c r="A63" s="1633" t="s">
        <v>1889</v>
      </c>
      <c r="B63" s="783" t="s">
        <v>676</v>
      </c>
      <c r="C63" s="53">
        <f ca="1">ROUND(C56*F63,1)</f>
        <v>141.9</v>
      </c>
      <c r="D63" s="3192" t="s">
        <v>691</v>
      </c>
      <c r="E63" s="783" t="s">
        <v>649</v>
      </c>
      <c r="F63" s="816">
        <f t="shared" ca="1" si="0"/>
        <v>5.0000000000000001E-3</v>
      </c>
      <c r="I63" s="3120" t="s">
        <v>2368</v>
      </c>
      <c r="J63" s="3121">
        <v>70</v>
      </c>
      <c r="K63" s="3121">
        <v>50</v>
      </c>
      <c r="L63" s="3121">
        <v>80</v>
      </c>
      <c r="M63" s="3123">
        <v>0.02</v>
      </c>
      <c r="O63" s="2361" t="s">
        <v>2389</v>
      </c>
      <c r="P63" s="2362" t="s">
        <v>2406</v>
      </c>
      <c r="Q63" s="2363">
        <f ca="1">Q57+Q58</f>
        <v>8494</v>
      </c>
      <c r="R63" s="2366" t="s">
        <v>2390</v>
      </c>
    </row>
    <row r="64" spans="1:18" s="2043" customFormat="1" ht="16" thickBot="1">
      <c r="A64" s="1633" t="s">
        <v>1890</v>
      </c>
      <c r="B64" s="783" t="s">
        <v>679</v>
      </c>
      <c r="C64" s="53">
        <f ca="1">ROUND(C55*F64,1)</f>
        <v>42.6</v>
      </c>
      <c r="D64" s="3192" t="s">
        <v>680</v>
      </c>
      <c r="E64" s="783" t="s">
        <v>649</v>
      </c>
      <c r="F64" s="817">
        <f t="shared" ca="1" si="0"/>
        <v>1.5E-3</v>
      </c>
      <c r="I64" s="3120" t="s">
        <v>2369</v>
      </c>
      <c r="J64" s="3121">
        <v>50</v>
      </c>
      <c r="K64" s="3121">
        <v>35</v>
      </c>
      <c r="L64" s="3121">
        <v>60</v>
      </c>
      <c r="M64" s="845">
        <v>0</v>
      </c>
      <c r="O64" s="2367" t="s">
        <v>2413</v>
      </c>
      <c r="P64" s="1577"/>
      <c r="Q64" s="1588"/>
      <c r="R64" s="1577"/>
    </row>
    <row r="65" spans="1:18" s="2043" customFormat="1" ht="16" thickBot="1">
      <c r="A65" s="1633" t="s">
        <v>1891</v>
      </c>
      <c r="B65" s="783" t="s">
        <v>666</v>
      </c>
      <c r="C65" s="53">
        <f ca="1">ROUND(C47*F65,1)</f>
        <v>0</v>
      </c>
      <c r="D65" s="3192" t="s">
        <v>683</v>
      </c>
      <c r="E65" s="783" t="s">
        <v>649</v>
      </c>
      <c r="F65" s="793">
        <f t="shared" ca="1" si="0"/>
        <v>0.1</v>
      </c>
      <c r="I65" s="3120" t="s">
        <v>2370</v>
      </c>
      <c r="J65" s="3121">
        <v>40</v>
      </c>
      <c r="K65" s="3121">
        <v>30</v>
      </c>
      <c r="L65" s="3121">
        <v>50</v>
      </c>
      <c r="M65" s="3123">
        <v>0.02</v>
      </c>
      <c r="O65" s="2358" t="s">
        <v>2373</v>
      </c>
      <c r="P65" s="2359" t="s">
        <v>2374</v>
      </c>
      <c r="Q65" s="2360" t="s">
        <v>2375</v>
      </c>
      <c r="R65" s="2359" t="s">
        <v>2376</v>
      </c>
    </row>
    <row r="66" spans="1:18" s="2043" customFormat="1" ht="26.5" thickBot="1">
      <c r="A66" s="796" t="s">
        <v>1776</v>
      </c>
      <c r="B66" s="2962" t="s">
        <v>2818</v>
      </c>
      <c r="C66" s="798">
        <f ca="1">C47-C57</f>
        <v>-188</v>
      </c>
      <c r="D66" s="3191" t="s">
        <v>700</v>
      </c>
      <c r="E66" s="3189"/>
      <c r="F66" s="819"/>
      <c r="K66" s="2070"/>
      <c r="O66" s="2361" t="s">
        <v>2377</v>
      </c>
      <c r="P66" s="2362" t="s">
        <v>2403</v>
      </c>
      <c r="Q66" s="2363">
        <f ca="1">C40+J29</f>
        <v>8494</v>
      </c>
      <c r="R66" s="2362" t="s">
        <v>2378</v>
      </c>
    </row>
    <row r="67" spans="1:18" s="2043" customFormat="1" ht="17" thickBot="1">
      <c r="A67" s="780" t="s">
        <v>1780</v>
      </c>
      <c r="B67" s="2216" t="s">
        <v>2299</v>
      </c>
      <c r="C67" s="782">
        <f ca="1">ROUND(C66*(1-((1+F69)/(1+F67))^F68)/(F67-F69),0)</f>
        <v>-3254</v>
      </c>
      <c r="D67" s="813" t="s">
        <v>704</v>
      </c>
      <c r="E67" s="783" t="s">
        <v>705</v>
      </c>
      <c r="F67" s="793">
        <f ca="1">F40</f>
        <v>0.05</v>
      </c>
      <c r="K67" s="2070"/>
      <c r="O67" s="2361" t="s">
        <v>2379</v>
      </c>
      <c r="P67" s="2362" t="s">
        <v>2410</v>
      </c>
      <c r="Q67" s="2363">
        <f ca="1">L60</f>
        <v>0</v>
      </c>
      <c r="R67" s="2366" t="s">
        <v>2412</v>
      </c>
    </row>
    <row r="68" spans="1:18" ht="21" thickBot="1">
      <c r="A68" s="785"/>
      <c r="B68" s="786"/>
      <c r="C68" s="787"/>
      <c r="D68" s="820" t="s">
        <v>1808</v>
      </c>
      <c r="E68" s="783" t="s">
        <v>708</v>
      </c>
      <c r="F68" s="821">
        <f ca="1">F41</f>
        <v>41.1</v>
      </c>
      <c r="O68" s="2364" t="s">
        <v>2381</v>
      </c>
      <c r="P68" s="2362" t="s">
        <v>2411</v>
      </c>
      <c r="Q68" s="2368">
        <f ca="1">L51</f>
        <v>-38017</v>
      </c>
      <c r="R68" s="2369" t="s">
        <v>2414</v>
      </c>
    </row>
    <row r="69" spans="1:18" ht="17" thickBot="1">
      <c r="A69" s="789"/>
      <c r="B69" s="790"/>
      <c r="C69" s="791"/>
      <c r="D69" s="815"/>
      <c r="E69" s="783" t="s">
        <v>710</v>
      </c>
      <c r="F69" s="2334"/>
      <c r="O69" s="2364" t="s">
        <v>2382</v>
      </c>
      <c r="P69" s="2370" t="s">
        <v>2396</v>
      </c>
      <c r="Q69" s="2363">
        <f ca="1">ROUND(Q70-Q71*Q72,0)</f>
        <v>-2046</v>
      </c>
      <c r="R69" s="2366"/>
    </row>
    <row r="70" spans="1:18" ht="16" thickBot="1">
      <c r="A70" s="822" t="s">
        <v>1787</v>
      </c>
      <c r="B70" s="823" t="s">
        <v>1810</v>
      </c>
      <c r="C70" s="824">
        <f ca="1">ROUND(C67*10000/F70,0)</f>
        <v>-821</v>
      </c>
      <c r="D70" s="825" t="s">
        <v>1811</v>
      </c>
      <c r="E70" s="826" t="s">
        <v>1812</v>
      </c>
      <c r="F70" s="827">
        <f ca="1">F43</f>
        <v>39638.61</v>
      </c>
      <c r="O70" s="2364" t="s">
        <v>2397</v>
      </c>
      <c r="P70" s="2370" t="s">
        <v>2398</v>
      </c>
      <c r="Q70" s="2363">
        <f ca="1">C39</f>
        <v>366</v>
      </c>
      <c r="R70" s="2362" t="s">
        <v>2378</v>
      </c>
    </row>
    <row r="71" spans="1:18" ht="16" thickBot="1">
      <c r="O71" s="2364" t="s">
        <v>2399</v>
      </c>
      <c r="P71" s="2370" t="s">
        <v>2400</v>
      </c>
      <c r="Q71" s="2363">
        <f ca="1">C13</f>
        <v>28375</v>
      </c>
      <c r="R71" s="2362" t="s">
        <v>2378</v>
      </c>
    </row>
    <row r="72" spans="1:18" ht="16" thickBot="1">
      <c r="O72" s="2364" t="s">
        <v>2401</v>
      </c>
      <c r="P72" s="2370" t="s">
        <v>2402</v>
      </c>
      <c r="Q72" s="2365">
        <f ca="1">J36</f>
        <v>8.5000000000000006E-2</v>
      </c>
      <c r="R72" s="2366"/>
    </row>
    <row r="73" spans="1:18" ht="16" thickBot="1">
      <c r="O73" s="2364" t="s">
        <v>2384</v>
      </c>
      <c r="P73" s="2362" t="s">
        <v>2391</v>
      </c>
      <c r="Q73" s="2365">
        <f>L52</f>
        <v>0</v>
      </c>
      <c r="R73" s="2366"/>
    </row>
    <row r="74" spans="1:18" ht="17" thickBot="1">
      <c r="O74" s="2364" t="s">
        <v>2386</v>
      </c>
      <c r="P74" s="2362" t="s">
        <v>2392</v>
      </c>
      <c r="Q74" s="2363" t="e">
        <f ca="1">L58</f>
        <v>#DIV/0!</v>
      </c>
      <c r="R74" s="2366" t="s">
        <v>2393</v>
      </c>
    </row>
    <row r="75" spans="1:18" ht="16" thickBot="1">
      <c r="O75" s="2364" t="s">
        <v>2415</v>
      </c>
      <c r="P75" s="2362" t="str">
        <f>K59</f>
        <v>建筑物剩余耐用年限下的土地年期修正系数Kn</v>
      </c>
      <c r="Q75" s="2363" t="e">
        <f ca="1">L59</f>
        <v>#DIV/0!</v>
      </c>
      <c r="R75" s="2366" t="s">
        <v>2395</v>
      </c>
    </row>
    <row r="76" spans="1:18" ht="16" thickBot="1">
      <c r="O76" s="2361" t="s">
        <v>2389</v>
      </c>
      <c r="P76" s="2362" t="s">
        <v>2406</v>
      </c>
      <c r="Q76" s="2363">
        <f ca="1">Q66+Q67</f>
        <v>8494</v>
      </c>
      <c r="R76" s="2366"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xr:uid="{00000000-0002-0000-2500-000000000000}">
      <formula1>"土地（套用方法）,——"</formula1>
    </dataValidation>
    <dataValidation type="list" allowBlank="1" showInputMessage="1" showErrorMessage="1" sqref="F10 M10 F52" xr:uid="{00000000-0002-0000-2500-000001000000}">
      <formula1>"押一,押二,押三,自定义"</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J56" xr:uid="{00000000-0002-0000-2500-000004000000}">
      <formula1>判定</formula1>
    </dataValidation>
    <dataValidation type="list" allowBlank="1" showInputMessage="1" showErrorMessage="1" sqref="D33"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C1:C3" xr:uid="{00000000-0002-0000-2500-000007000000}">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4"/>
  <cols>
    <col min="1" max="1" width="10.453125" style="1332" customWidth="1"/>
    <col min="2" max="2" width="15.81640625" style="1332" customWidth="1"/>
    <col min="3" max="3" width="14.36328125" style="1332" customWidth="1"/>
    <col min="4" max="4" width="12.1796875" style="1332" customWidth="1"/>
    <col min="5" max="5" width="14.36328125" style="1332" customWidth="1"/>
    <col min="6" max="6" width="12.1796875" style="1332" customWidth="1"/>
    <col min="7" max="7" width="14.453125" style="1332" customWidth="1"/>
    <col min="8" max="8" width="12.1796875" style="1332" customWidth="1"/>
    <col min="9" max="9" width="14.453125" style="1332" customWidth="1"/>
    <col min="10" max="10" width="12.1796875" style="1332" customWidth="1"/>
    <col min="11" max="11" width="12.1796875" style="1338" customWidth="1"/>
    <col min="12" max="12" width="12.1796875" style="1339" customWidth="1"/>
    <col min="13" max="15" width="12.1796875" style="1332" customWidth="1"/>
    <col min="16" max="16" width="4.81640625" style="1332" customWidth="1"/>
    <col min="17" max="17" width="19.453125" style="1332" customWidth="1"/>
    <col min="18" max="22" width="6.08984375" style="1332" customWidth="1"/>
    <col min="23" max="23" width="5.81640625" style="1332" customWidth="1"/>
    <col min="24" max="24" width="4.1796875" style="1332" customWidth="1"/>
    <col min="25" max="25" width="3.453125" style="1332" customWidth="1"/>
    <col min="26" max="26" width="19.81640625" style="1332" customWidth="1"/>
    <col min="27" max="28" width="9.3632812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c r="A4" s="511" t="s">
        <v>521</v>
      </c>
      <c r="B4" s="512"/>
      <c r="C4" s="3380" t="s">
        <v>522</v>
      </c>
      <c r="D4" s="3381"/>
      <c r="E4" s="3414" t="s">
        <v>523</v>
      </c>
      <c r="F4" s="3415"/>
      <c r="G4" s="3380" t="s">
        <v>524</v>
      </c>
      <c r="H4" s="3381"/>
      <c r="I4" s="3380" t="s">
        <v>525</v>
      </c>
      <c r="J4" s="3381"/>
      <c r="K4" s="513" t="s">
        <v>526</v>
      </c>
      <c r="L4" s="2117"/>
      <c r="M4" s="2118"/>
      <c r="N4" s="2118"/>
      <c r="O4" s="2118"/>
      <c r="P4" s="3382" t="s">
        <v>527</v>
      </c>
      <c r="Q4" s="3383"/>
      <c r="R4" s="3388" t="s">
        <v>523</v>
      </c>
      <c r="S4" s="3389"/>
      <c r="T4" s="3388" t="s">
        <v>524</v>
      </c>
      <c r="U4" s="3389"/>
      <c r="V4" s="3375" t="s">
        <v>525</v>
      </c>
      <c r="W4" s="3375"/>
      <c r="X4" s="1552"/>
      <c r="Y4" s="3388" t="s">
        <v>527</v>
      </c>
      <c r="Z4" s="3389"/>
      <c r="AA4" s="3377" t="s">
        <v>523</v>
      </c>
      <c r="AB4" s="3378" t="s">
        <v>524</v>
      </c>
      <c r="AC4" s="3377" t="s">
        <v>525</v>
      </c>
    </row>
    <row r="5" spans="1:29">
      <c r="A5" s="514"/>
      <c r="B5" s="515"/>
      <c r="C5" s="3396" t="s">
        <v>2927</v>
      </c>
      <c r="D5" s="3397"/>
      <c r="E5" s="3416" t="s">
        <v>2928</v>
      </c>
      <c r="F5" s="3417"/>
      <c r="G5" s="3396" t="s">
        <v>2929</v>
      </c>
      <c r="H5" s="3397"/>
      <c r="I5" s="3396" t="s">
        <v>2930</v>
      </c>
      <c r="J5" s="3397"/>
      <c r="K5" s="513"/>
      <c r="L5" s="2117"/>
      <c r="M5" s="2118"/>
      <c r="N5" s="2118"/>
      <c r="O5" s="2118"/>
      <c r="P5" s="3384"/>
      <c r="Q5" s="3385"/>
      <c r="R5" s="3390"/>
      <c r="S5" s="3391"/>
      <c r="T5" s="3390"/>
      <c r="U5" s="3391"/>
      <c r="V5" s="3375"/>
      <c r="W5" s="3375"/>
      <c r="X5" s="1552"/>
      <c r="Y5" s="3390"/>
      <c r="Z5" s="3391"/>
      <c r="AA5" s="3378"/>
      <c r="AB5" s="3378"/>
      <c r="AC5" s="3378"/>
    </row>
    <row r="6" spans="1:29" ht="15" thickBot="1">
      <c r="A6" s="516"/>
      <c r="B6" s="517"/>
      <c r="C6" s="3394" t="s">
        <v>2931</v>
      </c>
      <c r="D6" s="3395"/>
      <c r="E6" s="3412" t="s">
        <v>2931</v>
      </c>
      <c r="F6" s="3413"/>
      <c r="G6" s="3394" t="s">
        <v>2931</v>
      </c>
      <c r="H6" s="3395"/>
      <c r="I6" s="3394" t="s">
        <v>2931</v>
      </c>
      <c r="J6" s="3395"/>
      <c r="K6" s="513" t="s">
        <v>528</v>
      </c>
      <c r="L6" s="2117"/>
      <c r="M6" s="2118"/>
      <c r="N6" s="2118"/>
      <c r="O6" s="2118"/>
      <c r="P6" s="3386"/>
      <c r="Q6" s="3387"/>
      <c r="R6" s="3390"/>
      <c r="S6" s="3391"/>
      <c r="T6" s="3392"/>
      <c r="U6" s="3393"/>
      <c r="V6" s="3375"/>
      <c r="W6" s="3375"/>
      <c r="X6" s="1552"/>
      <c r="Y6" s="3392"/>
      <c r="Z6" s="3393"/>
      <c r="AA6" s="3379"/>
      <c r="AB6" s="3379"/>
      <c r="AC6" s="3379"/>
    </row>
    <row r="7" spans="1:29" s="1215" customFormat="1" ht="14.5" thickBot="1">
      <c r="A7" s="2866"/>
      <c r="B7" s="2873" t="s">
        <v>529</v>
      </c>
      <c r="C7" s="518">
        <f>'数据-取费表'!B2</f>
        <v>43873</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05" t="s">
        <v>530</v>
      </c>
      <c r="Q7" s="3407"/>
      <c r="R7" s="1553" t="s">
        <v>8</v>
      </c>
      <c r="S7" s="1554">
        <f t="shared" ref="S7:S15" si="0">F7</f>
        <v>0</v>
      </c>
      <c r="T7" s="1553" t="s">
        <v>8</v>
      </c>
      <c r="U7" s="1554">
        <f t="shared" ref="U7:U15" si="1">H7</f>
        <v>0</v>
      </c>
      <c r="V7" s="1553" t="s">
        <v>8</v>
      </c>
      <c r="W7" s="1554">
        <f t="shared" ref="W7:W15" si="2">J7</f>
        <v>0</v>
      </c>
      <c r="X7" s="1555"/>
      <c r="Y7" s="3405" t="s">
        <v>530</v>
      </c>
      <c r="Z7" s="3406"/>
      <c r="AA7" s="1556" t="e">
        <f>D7/F7</f>
        <v>#DIV/0!</v>
      </c>
      <c r="AB7" s="1556" t="e">
        <f>D7/H7</f>
        <v>#DIV/0!</v>
      </c>
      <c r="AC7" s="1556" t="e">
        <f>D7/J7</f>
        <v>#DIV/0!</v>
      </c>
    </row>
    <row r="8" spans="1:29" s="1215" customFormat="1" ht="14.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40" si="3">D8/F8</f>
        <v>#DIV/0!</v>
      </c>
      <c r="AB8" s="1556" t="e">
        <f t="shared" ref="AB8:AB40" si="4">D8/H8</f>
        <v>#DIV/0!</v>
      </c>
      <c r="AC8" s="1556" t="e">
        <f t="shared" ref="AC8:AC40" si="5">D8/J8</f>
        <v>#DIV/0!</v>
      </c>
    </row>
    <row r="9" spans="1:29" s="1215" customFormat="1">
      <c r="A9" s="2868"/>
      <c r="B9" s="2875" t="s">
        <v>2753</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74" t="s">
        <v>535</v>
      </c>
      <c r="Q9" s="1146" t="str">
        <f t="shared" ref="Q9:Q15" si="6">B9</f>
        <v>用途</v>
      </c>
      <c r="R9" s="1553" t="s">
        <v>8</v>
      </c>
      <c r="S9" s="1554">
        <f t="shared" si="0"/>
        <v>100</v>
      </c>
      <c r="T9" s="1553" t="s">
        <v>8</v>
      </c>
      <c r="U9" s="1554">
        <f t="shared" si="1"/>
        <v>100</v>
      </c>
      <c r="V9" s="1553" t="s">
        <v>8</v>
      </c>
      <c r="W9" s="1554">
        <f t="shared" si="2"/>
        <v>100</v>
      </c>
      <c r="X9" s="1555"/>
      <c r="Y9" s="3320" t="s">
        <v>536</v>
      </c>
      <c r="Z9" s="1145" t="str">
        <f t="shared" ref="Z9:Z15" si="7">Q9</f>
        <v>用途</v>
      </c>
      <c r="AA9" s="1556">
        <f t="shared" si="3"/>
        <v>1</v>
      </c>
      <c r="AB9" s="1556">
        <f t="shared" si="4"/>
        <v>1</v>
      </c>
      <c r="AC9" s="1556">
        <f t="shared" si="5"/>
        <v>1</v>
      </c>
    </row>
    <row r="10" spans="1:29" s="1333" customFormat="1" ht="28">
      <c r="A10" s="2869"/>
      <c r="B10" s="2874" t="s">
        <v>2754</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74"/>
      <c r="Q10" s="1146" t="str">
        <f t="shared" si="6"/>
        <v>土地使用年限（年）</v>
      </c>
      <c r="R10" s="1553" t="s">
        <v>8</v>
      </c>
      <c r="S10" s="1554">
        <f t="shared" si="0"/>
        <v>100</v>
      </c>
      <c r="T10" s="1553" t="s">
        <v>8</v>
      </c>
      <c r="U10" s="1554">
        <f t="shared" si="1"/>
        <v>100</v>
      </c>
      <c r="V10" s="1553" t="s">
        <v>8</v>
      </c>
      <c r="W10" s="1554">
        <f t="shared" si="2"/>
        <v>100</v>
      </c>
      <c r="X10" s="1555"/>
      <c r="Y10" s="3320"/>
      <c r="Z10" s="1145" t="str">
        <f t="shared" si="7"/>
        <v>土地使用年限（年）</v>
      </c>
      <c r="AA10" s="1556">
        <f t="shared" si="3"/>
        <v>1</v>
      </c>
      <c r="AB10" s="1556">
        <f t="shared" si="4"/>
        <v>1</v>
      </c>
      <c r="AC10" s="1556">
        <f t="shared" si="5"/>
        <v>1</v>
      </c>
    </row>
    <row r="11" spans="1:29" ht="15.5">
      <c r="A11" s="2870"/>
      <c r="B11" s="2874"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74"/>
      <c r="Q11" s="1146" t="str">
        <f t="shared" si="6"/>
        <v>容积率</v>
      </c>
      <c r="R11" s="1553" t="s">
        <v>8</v>
      </c>
      <c r="S11" s="1554" t="e">
        <f t="shared" si="0"/>
        <v>#N/A</v>
      </c>
      <c r="T11" s="1553" t="s">
        <v>8</v>
      </c>
      <c r="U11" s="1554" t="e">
        <f t="shared" si="1"/>
        <v>#N/A</v>
      </c>
      <c r="V11" s="1553" t="s">
        <v>8</v>
      </c>
      <c r="W11" s="1554" t="e">
        <f t="shared" si="2"/>
        <v>#N/A</v>
      </c>
      <c r="X11" s="1555"/>
      <c r="Y11" s="3320"/>
      <c r="Z11" s="1145" t="str">
        <f t="shared" si="7"/>
        <v>容积率</v>
      </c>
      <c r="AA11" s="1556" t="e">
        <f t="shared" si="3"/>
        <v>#N/A</v>
      </c>
      <c r="AB11" s="1556" t="e">
        <f t="shared" si="4"/>
        <v>#N/A</v>
      </c>
      <c r="AC11" s="1556" t="e">
        <f t="shared" si="5"/>
        <v>#N/A</v>
      </c>
    </row>
    <row r="12" spans="1:29" s="1215" customFormat="1" ht="15.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74"/>
      <c r="Q12" s="1146">
        <f t="shared" si="6"/>
        <v>111</v>
      </c>
      <c r="R12" s="1553" t="s">
        <v>8</v>
      </c>
      <c r="S12" s="1554">
        <f t="shared" si="0"/>
        <v>100</v>
      </c>
      <c r="T12" s="1553" t="s">
        <v>8</v>
      </c>
      <c r="U12" s="1554">
        <f t="shared" si="1"/>
        <v>100</v>
      </c>
      <c r="V12" s="1553" t="s">
        <v>8</v>
      </c>
      <c r="W12" s="1554">
        <f t="shared" si="2"/>
        <v>100</v>
      </c>
      <c r="X12" s="1555"/>
      <c r="Y12" s="3320"/>
      <c r="Z12" s="1145">
        <f t="shared" si="7"/>
        <v>111</v>
      </c>
      <c r="AA12" s="1556">
        <f>D12/F12</f>
        <v>1</v>
      </c>
      <c r="AB12" s="1556">
        <f>D12/H12</f>
        <v>1</v>
      </c>
      <c r="AC12" s="1556">
        <f>D12/J12</f>
        <v>1</v>
      </c>
    </row>
    <row r="13" spans="1:29" ht="15.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74"/>
      <c r="Q13" s="1146">
        <f t="shared" si="6"/>
        <v>111</v>
      </c>
      <c r="R13" s="1553" t="s">
        <v>8</v>
      </c>
      <c r="S13" s="1554">
        <f t="shared" si="0"/>
        <v>100</v>
      </c>
      <c r="T13" s="1553" t="s">
        <v>8</v>
      </c>
      <c r="U13" s="1554">
        <f t="shared" si="1"/>
        <v>100</v>
      </c>
      <c r="V13" s="1553" t="s">
        <v>8</v>
      </c>
      <c r="W13" s="1554">
        <f t="shared" si="2"/>
        <v>100</v>
      </c>
      <c r="X13" s="1555"/>
      <c r="Y13" s="3320"/>
      <c r="Z13" s="1145">
        <f t="shared" si="7"/>
        <v>111</v>
      </c>
      <c r="AA13" s="1556">
        <f t="shared" si="3"/>
        <v>1</v>
      </c>
      <c r="AB13" s="1556">
        <f t="shared" si="4"/>
        <v>1</v>
      </c>
      <c r="AC13" s="1556">
        <f t="shared" si="5"/>
        <v>1</v>
      </c>
    </row>
    <row r="14" spans="1:29" ht="16"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74"/>
      <c r="Q14" s="1146">
        <f t="shared" si="6"/>
        <v>111</v>
      </c>
      <c r="R14" s="1553" t="s">
        <v>8</v>
      </c>
      <c r="S14" s="1554">
        <f t="shared" si="0"/>
        <v>100</v>
      </c>
      <c r="T14" s="1553" t="s">
        <v>8</v>
      </c>
      <c r="U14" s="1554">
        <f t="shared" si="1"/>
        <v>100</v>
      </c>
      <c r="V14" s="1553" t="s">
        <v>8</v>
      </c>
      <c r="W14" s="1554">
        <f t="shared" si="2"/>
        <v>100</v>
      </c>
      <c r="X14" s="1555"/>
      <c r="Y14" s="3320"/>
      <c r="Z14" s="1145">
        <f t="shared" si="7"/>
        <v>111</v>
      </c>
      <c r="AA14" s="1556">
        <f t="shared" si="3"/>
        <v>1</v>
      </c>
      <c r="AB14" s="1556">
        <f t="shared" si="4"/>
        <v>1</v>
      </c>
      <c r="AC14" s="1556">
        <f t="shared" si="5"/>
        <v>1</v>
      </c>
    </row>
    <row r="15" spans="1:29" ht="70">
      <c r="A15" s="2864" t="s">
        <v>2751</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08" t="s">
        <v>540</v>
      </c>
      <c r="Q15" s="1557" t="str">
        <f t="shared" si="6"/>
        <v>产业集聚程度</v>
      </c>
      <c r="R15" s="1558" t="s">
        <v>8</v>
      </c>
      <c r="S15" s="1559">
        <f t="shared" si="0"/>
        <v>100</v>
      </c>
      <c r="T15" s="1558" t="s">
        <v>8</v>
      </c>
      <c r="U15" s="1559">
        <f t="shared" si="1"/>
        <v>100</v>
      </c>
      <c r="V15" s="1558" t="s">
        <v>8</v>
      </c>
      <c r="W15" s="1559">
        <f t="shared" si="2"/>
        <v>100</v>
      </c>
      <c r="X15" s="1552"/>
      <c r="Y15" s="3408" t="s">
        <v>540</v>
      </c>
      <c r="Z15" s="1560" t="str">
        <f t="shared" si="7"/>
        <v>产业集聚程度</v>
      </c>
      <c r="AA15" s="1561">
        <f t="shared" si="3"/>
        <v>1</v>
      </c>
      <c r="AB15" s="1561">
        <f t="shared" si="4"/>
        <v>1</v>
      </c>
      <c r="AC15" s="1561">
        <f t="shared" si="5"/>
        <v>1</v>
      </c>
    </row>
    <row r="16" spans="1:29" ht="15.5">
      <c r="A16" s="531"/>
      <c r="B16" s="868"/>
      <c r="C16" s="575"/>
      <c r="D16" s="554"/>
      <c r="E16" s="575"/>
      <c r="F16" s="556"/>
      <c r="G16" s="575"/>
      <c r="H16" s="558"/>
      <c r="I16" s="575"/>
      <c r="J16" s="554"/>
      <c r="K16" s="898"/>
      <c r="L16" s="2126"/>
      <c r="M16" s="2118"/>
      <c r="N16" s="2118"/>
      <c r="O16" s="2125"/>
      <c r="P16" s="3409"/>
      <c r="Q16" s="1557"/>
      <c r="R16" s="1558"/>
      <c r="S16" s="1559"/>
      <c r="T16" s="1558"/>
      <c r="U16" s="1559"/>
      <c r="V16" s="1558"/>
      <c r="W16" s="1559"/>
      <c r="X16" s="1552"/>
      <c r="Y16" s="3409"/>
      <c r="Z16" s="1560"/>
      <c r="AA16" s="1561">
        <v>1</v>
      </c>
      <c r="AB16" s="1561">
        <v>1</v>
      </c>
      <c r="AC16" s="1561">
        <v>1</v>
      </c>
    </row>
    <row r="17" spans="1:29" ht="98">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5.5">
      <c r="A18" s="531"/>
      <c r="B18" s="594"/>
      <c r="C18" s="872"/>
      <c r="D18" s="558"/>
      <c r="E18" s="567"/>
      <c r="F18" s="562"/>
      <c r="G18" s="568"/>
      <c r="H18" s="554"/>
      <c r="I18" s="567"/>
      <c r="J18" s="554"/>
      <c r="K18" s="898"/>
      <c r="L18" s="2126"/>
      <c r="M18" s="2118"/>
      <c r="N18" s="2118"/>
      <c r="O18" s="2125"/>
      <c r="P18" s="3409"/>
      <c r="Q18" s="1557"/>
      <c r="R18" s="1558"/>
      <c r="S18" s="1559"/>
      <c r="T18" s="1558"/>
      <c r="U18" s="1559"/>
      <c r="V18" s="1558"/>
      <c r="W18" s="1559"/>
      <c r="X18" s="1552"/>
      <c r="Y18" s="3409"/>
      <c r="Z18" s="1560"/>
      <c r="AA18" s="1561">
        <v>1</v>
      </c>
      <c r="AB18" s="1561">
        <v>1</v>
      </c>
      <c r="AC18" s="1561">
        <v>1</v>
      </c>
    </row>
    <row r="19" spans="1:29" ht="42">
      <c r="A19" s="531"/>
      <c r="B19" s="2566"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5.5">
      <c r="A20" s="531"/>
      <c r="B20" s="565"/>
      <c r="C20" s="575"/>
      <c r="D20" s="554"/>
      <c r="E20" s="555"/>
      <c r="F20" s="556"/>
      <c r="G20" s="557"/>
      <c r="H20" s="554"/>
      <c r="I20" s="555"/>
      <c r="J20" s="554"/>
      <c r="K20" s="898"/>
      <c r="L20" s="2126"/>
      <c r="M20" s="2118"/>
      <c r="N20" s="2118"/>
      <c r="O20" s="2125"/>
      <c r="P20" s="3409"/>
      <c r="Q20" s="1557"/>
      <c r="R20" s="1558"/>
      <c r="S20" s="1559"/>
      <c r="T20" s="1558"/>
      <c r="U20" s="1559"/>
      <c r="V20" s="1558"/>
      <c r="W20" s="1559"/>
      <c r="X20" s="1552"/>
      <c r="Y20" s="3409"/>
      <c r="Z20" s="1560"/>
      <c r="AA20" s="1561">
        <v>1</v>
      </c>
      <c r="AB20" s="1561">
        <v>1</v>
      </c>
      <c r="AC20" s="1561">
        <v>1</v>
      </c>
    </row>
    <row r="21" spans="1:29" ht="42">
      <c r="A21" s="531"/>
      <c r="B21" s="2554"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5.5">
      <c r="A22" s="531"/>
      <c r="B22" s="577"/>
      <c r="C22" s="872"/>
      <c r="D22" s="554"/>
      <c r="E22" s="575"/>
      <c r="F22" s="556"/>
      <c r="G22" s="575"/>
      <c r="H22" s="554"/>
      <c r="I22" s="575"/>
      <c r="J22" s="554"/>
      <c r="K22" s="2565"/>
      <c r="L22" s="2126"/>
      <c r="M22" s="2118"/>
      <c r="N22" s="2118"/>
      <c r="O22" s="2125"/>
      <c r="P22" s="3409"/>
      <c r="Q22" s="2542"/>
      <c r="R22" s="1558"/>
      <c r="S22" s="1559"/>
      <c r="T22" s="1558"/>
      <c r="U22" s="1559"/>
      <c r="V22" s="1558"/>
      <c r="W22" s="1559"/>
      <c r="X22" s="2544"/>
      <c r="Y22" s="3409"/>
      <c r="Z22" s="2543"/>
      <c r="AA22" s="1561">
        <v>1</v>
      </c>
      <c r="AB22" s="1561">
        <v>1</v>
      </c>
      <c r="AC22" s="1561">
        <v>1</v>
      </c>
    </row>
    <row r="23" spans="1:29" ht="84">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09"/>
      <c r="Q23" s="1557" t="str">
        <f>B23</f>
        <v>环境质量</v>
      </c>
      <c r="R23" s="1558" t="s">
        <v>8</v>
      </c>
      <c r="S23" s="1559">
        <f>F23</f>
        <v>100</v>
      </c>
      <c r="T23" s="1558" t="s">
        <v>8</v>
      </c>
      <c r="U23" s="1559">
        <f>H23</f>
        <v>100</v>
      </c>
      <c r="V23" s="1558" t="s">
        <v>8</v>
      </c>
      <c r="W23" s="1559">
        <f>J23</f>
        <v>100</v>
      </c>
      <c r="X23" s="1552"/>
      <c r="Y23" s="3409"/>
      <c r="Z23" s="1560" t="str">
        <f>Q23</f>
        <v>环境质量</v>
      </c>
      <c r="AA23" s="1561">
        <f t="shared" si="3"/>
        <v>1</v>
      </c>
      <c r="AB23" s="1561">
        <f t="shared" si="4"/>
        <v>1</v>
      </c>
      <c r="AC23" s="1561">
        <f t="shared" si="5"/>
        <v>1</v>
      </c>
    </row>
    <row r="24" spans="1:29" ht="15.5">
      <c r="A24" s="531"/>
      <c r="B24" s="921"/>
      <c r="C24" s="575"/>
      <c r="D24" s="554"/>
      <c r="E24" s="555"/>
      <c r="F24" s="556"/>
      <c r="G24" s="557"/>
      <c r="H24" s="554"/>
      <c r="I24" s="555"/>
      <c r="J24" s="554"/>
      <c r="K24" s="898"/>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5.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09"/>
      <c r="Q25" s="1557">
        <f>B25</f>
        <v>111</v>
      </c>
      <c r="R25" s="1558" t="s">
        <v>8</v>
      </c>
      <c r="S25" s="1559">
        <f>F25</f>
        <v>100</v>
      </c>
      <c r="T25" s="1558" t="s">
        <v>8</v>
      </c>
      <c r="U25" s="1559">
        <f>H25</f>
        <v>100</v>
      </c>
      <c r="V25" s="1558" t="s">
        <v>8</v>
      </c>
      <c r="W25" s="1559">
        <f>J25</f>
        <v>100</v>
      </c>
      <c r="X25" s="1552"/>
      <c r="Y25" s="3409"/>
      <c r="Z25" s="1560">
        <f>Q25</f>
        <v>111</v>
      </c>
      <c r="AA25" s="1561">
        <f t="shared" si="3"/>
        <v>1</v>
      </c>
      <c r="AB25" s="1561">
        <f t="shared" si="4"/>
        <v>1</v>
      </c>
      <c r="AC25" s="1561">
        <f t="shared" si="5"/>
        <v>1</v>
      </c>
    </row>
    <row r="26" spans="1:29" ht="15.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09"/>
      <c r="Q26" s="1557">
        <f t="shared" ref="Q26:Q40" si="11">B26</f>
        <v>111</v>
      </c>
      <c r="R26" s="1558" t="s">
        <v>8</v>
      </c>
      <c r="S26" s="1559">
        <f>F26</f>
        <v>100</v>
      </c>
      <c r="T26" s="1558" t="s">
        <v>8</v>
      </c>
      <c r="U26" s="1559">
        <f>H26</f>
        <v>100</v>
      </c>
      <c r="V26" s="1558" t="s">
        <v>8</v>
      </c>
      <c r="W26" s="1559">
        <f>J26</f>
        <v>100</v>
      </c>
      <c r="X26" s="1552"/>
      <c r="Y26" s="3409"/>
      <c r="Z26" s="1560">
        <f>Q26</f>
        <v>111</v>
      </c>
      <c r="AA26" s="1561">
        <f t="shared" si="3"/>
        <v>1</v>
      </c>
      <c r="AB26" s="1561">
        <f t="shared" si="4"/>
        <v>1</v>
      </c>
      <c r="AC26" s="1561">
        <f t="shared" si="5"/>
        <v>1</v>
      </c>
    </row>
    <row r="27" spans="1:29" s="1215" customFormat="1" ht="15.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09"/>
      <c r="Q27" s="1146">
        <f t="shared" si="11"/>
        <v>111</v>
      </c>
      <c r="R27" s="1553" t="s">
        <v>8</v>
      </c>
      <c r="S27" s="1554">
        <f>F27</f>
        <v>100</v>
      </c>
      <c r="T27" s="1553" t="s">
        <v>8</v>
      </c>
      <c r="U27" s="1554">
        <f>H27</f>
        <v>100</v>
      </c>
      <c r="V27" s="1553" t="s">
        <v>8</v>
      </c>
      <c r="W27" s="1554">
        <f>J27</f>
        <v>100</v>
      </c>
      <c r="X27" s="1555"/>
      <c r="Y27" s="3409"/>
      <c r="Z27" s="1145">
        <f>Q27</f>
        <v>111</v>
      </c>
      <c r="AA27" s="1561">
        <f>D27/F27</f>
        <v>1</v>
      </c>
      <c r="AB27" s="1561">
        <f>D27/H27</f>
        <v>1</v>
      </c>
      <c r="AC27" s="1561">
        <f>D27/J27</f>
        <v>1</v>
      </c>
    </row>
    <row r="28" spans="1:29" ht="1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09"/>
      <c r="Q28" s="1557">
        <f t="shared" si="11"/>
        <v>111</v>
      </c>
      <c r="R28" s="1558" t="s">
        <v>8</v>
      </c>
      <c r="S28" s="1559">
        <f t="shared" ref="S28:S40" si="12">F28</f>
        <v>100</v>
      </c>
      <c r="T28" s="1558" t="s">
        <v>8</v>
      </c>
      <c r="U28" s="1559">
        <f t="shared" ref="U28:U40" si="13">H28</f>
        <v>100</v>
      </c>
      <c r="V28" s="1558" t="s">
        <v>8</v>
      </c>
      <c r="W28" s="1559">
        <f t="shared" ref="W28:W40" si="14">J28</f>
        <v>100</v>
      </c>
      <c r="X28" s="1552"/>
      <c r="Y28" s="3409"/>
      <c r="Z28" s="1560">
        <f t="shared" ref="Z28:Z40" si="15">Q28</f>
        <v>111</v>
      </c>
      <c r="AA28" s="1561">
        <f t="shared" si="3"/>
        <v>1</v>
      </c>
      <c r="AB28" s="1561">
        <f t="shared" si="4"/>
        <v>1</v>
      </c>
      <c r="AC28" s="1561">
        <f t="shared" si="5"/>
        <v>1</v>
      </c>
    </row>
    <row r="29" spans="1:29" ht="15.5">
      <c r="A29" s="2861" t="s">
        <v>2752</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10" t="s">
        <v>550</v>
      </c>
      <c r="Q29" s="1557" t="str">
        <f t="shared" si="11"/>
        <v>建筑类型</v>
      </c>
      <c r="R29" s="1558" t="s">
        <v>8</v>
      </c>
      <c r="S29" s="1559">
        <f t="shared" si="12"/>
        <v>100</v>
      </c>
      <c r="T29" s="1558" t="s">
        <v>8</v>
      </c>
      <c r="U29" s="1559">
        <f t="shared" si="13"/>
        <v>100</v>
      </c>
      <c r="V29" s="1558" t="s">
        <v>8</v>
      </c>
      <c r="W29" s="1559">
        <f t="shared" si="14"/>
        <v>100</v>
      </c>
      <c r="X29" s="1552"/>
      <c r="Y29" s="3411" t="s">
        <v>550</v>
      </c>
      <c r="Z29" s="1560" t="str">
        <f t="shared" si="15"/>
        <v>建筑类型</v>
      </c>
      <c r="AA29" s="1561">
        <f t="shared" si="3"/>
        <v>1</v>
      </c>
      <c r="AB29" s="1561">
        <f t="shared" si="4"/>
        <v>1</v>
      </c>
      <c r="AC29" s="1561">
        <f t="shared" si="5"/>
        <v>1</v>
      </c>
    </row>
    <row r="30" spans="1:29" s="1334" customFormat="1" ht="15.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11"/>
      <c r="Q30" s="1589" t="str">
        <f t="shared" si="11"/>
        <v>项目建筑规模</v>
      </c>
      <c r="R30" s="1562" t="s">
        <v>8</v>
      </c>
      <c r="S30" s="1563" t="e">
        <f t="shared" si="12"/>
        <v>#N/A</v>
      </c>
      <c r="T30" s="1562" t="s">
        <v>8</v>
      </c>
      <c r="U30" s="1563" t="e">
        <f t="shared" si="13"/>
        <v>#N/A</v>
      </c>
      <c r="V30" s="1562" t="s">
        <v>8</v>
      </c>
      <c r="W30" s="1563" t="e">
        <f t="shared" si="14"/>
        <v>#N/A</v>
      </c>
      <c r="X30" s="1564"/>
      <c r="Y30" s="3411"/>
      <c r="Z30" s="1565" t="str">
        <f t="shared" si="15"/>
        <v>项目建筑规模</v>
      </c>
      <c r="AA30" s="1561" t="e">
        <f t="shared" si="3"/>
        <v>#N/A</v>
      </c>
      <c r="AB30" s="1561" t="e">
        <f t="shared" si="4"/>
        <v>#N/A</v>
      </c>
      <c r="AC30" s="1561" t="e">
        <f t="shared" si="5"/>
        <v>#N/A</v>
      </c>
    </row>
    <row r="31" spans="1:29" ht="15.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11"/>
      <c r="Q31" s="1557" t="str">
        <f t="shared" si="11"/>
        <v>建筑结构</v>
      </c>
      <c r="R31" s="1558" t="s">
        <v>8</v>
      </c>
      <c r="S31" s="1559">
        <f t="shared" si="12"/>
        <v>100</v>
      </c>
      <c r="T31" s="1558" t="s">
        <v>8</v>
      </c>
      <c r="U31" s="1559">
        <f t="shared" si="13"/>
        <v>100</v>
      </c>
      <c r="V31" s="1558" t="s">
        <v>8</v>
      </c>
      <c r="W31" s="1559">
        <f t="shared" si="14"/>
        <v>100</v>
      </c>
      <c r="X31" s="1552"/>
      <c r="Y31" s="3411"/>
      <c r="Z31" s="1560" t="str">
        <f t="shared" si="15"/>
        <v>建筑结构</v>
      </c>
      <c r="AA31" s="1561">
        <f t="shared" si="3"/>
        <v>1</v>
      </c>
      <c r="AB31" s="1561">
        <f t="shared" si="4"/>
        <v>1</v>
      </c>
      <c r="AC31" s="1561">
        <f t="shared" si="5"/>
        <v>1</v>
      </c>
    </row>
    <row r="32" spans="1:29" ht="15.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11"/>
      <c r="Q32" s="1557" t="str">
        <f t="shared" si="11"/>
        <v>公共部分装修</v>
      </c>
      <c r="R32" s="1558" t="s">
        <v>8</v>
      </c>
      <c r="S32" s="1559">
        <f t="shared" si="12"/>
        <v>100</v>
      </c>
      <c r="T32" s="1558" t="s">
        <v>8</v>
      </c>
      <c r="U32" s="1559">
        <f t="shared" si="13"/>
        <v>100</v>
      </c>
      <c r="V32" s="1558" t="s">
        <v>8</v>
      </c>
      <c r="W32" s="1559">
        <f t="shared" si="14"/>
        <v>100</v>
      </c>
      <c r="X32" s="1552"/>
      <c r="Y32" s="3411"/>
      <c r="Z32" s="1560" t="str">
        <f t="shared" si="15"/>
        <v>公共部分装修</v>
      </c>
      <c r="AA32" s="1561">
        <f t="shared" si="3"/>
        <v>1</v>
      </c>
      <c r="AB32" s="1561">
        <f t="shared" si="4"/>
        <v>1</v>
      </c>
      <c r="AC32" s="1561">
        <f t="shared" si="5"/>
        <v>1</v>
      </c>
    </row>
    <row r="33" spans="1:29" ht="15.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11"/>
      <c r="Q33" s="1557" t="str">
        <f t="shared" si="11"/>
        <v>成新度</v>
      </c>
      <c r="R33" s="1558" t="s">
        <v>8</v>
      </c>
      <c r="S33" s="1559" t="e">
        <f t="shared" si="12"/>
        <v>#N/A</v>
      </c>
      <c r="T33" s="1558" t="s">
        <v>8</v>
      </c>
      <c r="U33" s="1559" t="e">
        <f t="shared" si="13"/>
        <v>#N/A</v>
      </c>
      <c r="V33" s="1558" t="s">
        <v>8</v>
      </c>
      <c r="W33" s="1559" t="e">
        <f t="shared" si="14"/>
        <v>#N/A</v>
      </c>
      <c r="X33" s="1552"/>
      <c r="Y33" s="3411"/>
      <c r="Z33" s="1560" t="str">
        <f t="shared" si="15"/>
        <v>成新度</v>
      </c>
      <c r="AA33" s="1561" t="e">
        <f t="shared" si="3"/>
        <v>#N/A</v>
      </c>
      <c r="AB33" s="1561" t="e">
        <f t="shared" si="4"/>
        <v>#N/A</v>
      </c>
      <c r="AC33" s="1561" t="e">
        <f t="shared" si="5"/>
        <v>#N/A</v>
      </c>
    </row>
    <row r="34" spans="1:29" s="1215" customFormat="1" ht="15.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11"/>
      <c r="Q34" s="1146" t="str">
        <f t="shared" si="11"/>
        <v>物业管理</v>
      </c>
      <c r="R34" s="1553" t="s">
        <v>8</v>
      </c>
      <c r="S34" s="1554">
        <f t="shared" si="12"/>
        <v>100</v>
      </c>
      <c r="T34" s="1553" t="s">
        <v>8</v>
      </c>
      <c r="U34" s="1554">
        <f t="shared" si="13"/>
        <v>100</v>
      </c>
      <c r="V34" s="1553" t="s">
        <v>8</v>
      </c>
      <c r="W34" s="1554">
        <f t="shared" si="14"/>
        <v>100</v>
      </c>
      <c r="X34" s="1555"/>
      <c r="Y34" s="3411"/>
      <c r="Z34" s="1145" t="str">
        <f t="shared" si="15"/>
        <v>物业管理</v>
      </c>
      <c r="AA34" s="1556">
        <f t="shared" si="3"/>
        <v>1</v>
      </c>
      <c r="AB34" s="1556">
        <f t="shared" si="4"/>
        <v>1</v>
      </c>
      <c r="AC34" s="1556">
        <f t="shared" si="5"/>
        <v>1</v>
      </c>
    </row>
    <row r="35" spans="1:29" ht="15.5">
      <c r="A35" s="593"/>
      <c r="B35" s="1879"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11" t="s">
        <v>550</v>
      </c>
      <c r="Q35" s="1557" t="str">
        <f t="shared" si="11"/>
        <v>市政基础设施</v>
      </c>
      <c r="R35" s="1558" t="s">
        <v>8</v>
      </c>
      <c r="S35" s="1559">
        <f t="shared" si="12"/>
        <v>100</v>
      </c>
      <c r="T35" s="1558" t="s">
        <v>8</v>
      </c>
      <c r="U35" s="1559">
        <f t="shared" si="13"/>
        <v>100</v>
      </c>
      <c r="V35" s="1558" t="s">
        <v>8</v>
      </c>
      <c r="W35" s="1559">
        <f t="shared" si="14"/>
        <v>100</v>
      </c>
      <c r="X35" s="1552"/>
      <c r="Y35" s="3411" t="s">
        <v>550</v>
      </c>
      <c r="Z35" s="1560" t="str">
        <f t="shared" si="15"/>
        <v>市政基础设施</v>
      </c>
      <c r="AA35" s="1561">
        <f t="shared" si="3"/>
        <v>1</v>
      </c>
      <c r="AB35" s="1561">
        <f t="shared" si="4"/>
        <v>1</v>
      </c>
      <c r="AC35" s="1561">
        <f t="shared" si="5"/>
        <v>1</v>
      </c>
    </row>
    <row r="36" spans="1:29" ht="15.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11"/>
      <c r="Q36" s="1557" t="str">
        <f t="shared" si="11"/>
        <v>内部装修</v>
      </c>
      <c r="R36" s="1558" t="s">
        <v>8</v>
      </c>
      <c r="S36" s="1559">
        <f t="shared" si="12"/>
        <v>100</v>
      </c>
      <c r="T36" s="1558" t="s">
        <v>8</v>
      </c>
      <c r="U36" s="1559">
        <f t="shared" si="13"/>
        <v>100</v>
      </c>
      <c r="V36" s="1558" t="s">
        <v>8</v>
      </c>
      <c r="W36" s="1559">
        <f t="shared" si="14"/>
        <v>100</v>
      </c>
      <c r="X36" s="1552"/>
      <c r="Y36" s="3411"/>
      <c r="Z36" s="1560" t="str">
        <f t="shared" si="15"/>
        <v>内部装修</v>
      </c>
      <c r="AA36" s="1561">
        <f t="shared" si="3"/>
        <v>1</v>
      </c>
      <c r="AB36" s="1561">
        <f t="shared" si="4"/>
        <v>1</v>
      </c>
      <c r="AC36" s="1561">
        <f t="shared" si="5"/>
        <v>1</v>
      </c>
    </row>
    <row r="37" spans="1:29" ht="15.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11"/>
      <c r="Q37" s="1557" t="str">
        <f t="shared" si="11"/>
        <v>内部装修状况</v>
      </c>
      <c r="R37" s="1558" t="s">
        <v>8</v>
      </c>
      <c r="S37" s="1559">
        <f t="shared" si="12"/>
        <v>100</v>
      </c>
      <c r="T37" s="1558" t="s">
        <v>8</v>
      </c>
      <c r="U37" s="1559">
        <f t="shared" si="13"/>
        <v>100</v>
      </c>
      <c r="V37" s="1558" t="s">
        <v>8</v>
      </c>
      <c r="W37" s="1559">
        <f t="shared" si="14"/>
        <v>100</v>
      </c>
      <c r="X37" s="1552"/>
      <c r="Y37" s="3411"/>
      <c r="Z37" s="1560" t="str">
        <f t="shared" si="15"/>
        <v>内部装修状况</v>
      </c>
      <c r="AA37" s="1561">
        <f t="shared" si="3"/>
        <v>1</v>
      </c>
      <c r="AB37" s="1561">
        <f t="shared" si="4"/>
        <v>1</v>
      </c>
      <c r="AC37" s="1561">
        <f t="shared" si="5"/>
        <v>1</v>
      </c>
    </row>
    <row r="38" spans="1:29" s="1334" customFormat="1" ht="15.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11"/>
      <c r="Q38" s="1589">
        <f t="shared" si="11"/>
        <v>111</v>
      </c>
      <c r="R38" s="1562" t="s">
        <v>8</v>
      </c>
      <c r="S38" s="1563">
        <f t="shared" si="12"/>
        <v>100</v>
      </c>
      <c r="T38" s="1562" t="s">
        <v>8</v>
      </c>
      <c r="U38" s="1563">
        <f t="shared" si="13"/>
        <v>100</v>
      </c>
      <c r="V38" s="1562" t="s">
        <v>8</v>
      </c>
      <c r="W38" s="1563">
        <f t="shared" si="14"/>
        <v>100</v>
      </c>
      <c r="X38" s="1564"/>
      <c r="Y38" s="3411"/>
      <c r="Z38" s="1565">
        <f t="shared" si="15"/>
        <v>111</v>
      </c>
      <c r="AA38" s="1561">
        <f t="shared" si="3"/>
        <v>1</v>
      </c>
      <c r="AB38" s="1561">
        <f t="shared" si="4"/>
        <v>1</v>
      </c>
      <c r="AC38" s="1561">
        <f t="shared" si="5"/>
        <v>1</v>
      </c>
    </row>
    <row r="39" spans="1:29" ht="15.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11"/>
      <c r="Q39" s="1557">
        <f t="shared" si="11"/>
        <v>111</v>
      </c>
      <c r="R39" s="1558" t="s">
        <v>8</v>
      </c>
      <c r="S39" s="1559">
        <f t="shared" si="12"/>
        <v>100</v>
      </c>
      <c r="T39" s="1558" t="s">
        <v>8</v>
      </c>
      <c r="U39" s="1559">
        <f t="shared" si="13"/>
        <v>100</v>
      </c>
      <c r="V39" s="1558" t="s">
        <v>8</v>
      </c>
      <c r="W39" s="1559">
        <f t="shared" si="14"/>
        <v>100</v>
      </c>
      <c r="X39" s="1552"/>
      <c r="Y39" s="3411"/>
      <c r="Z39" s="1560">
        <f t="shared" si="15"/>
        <v>111</v>
      </c>
      <c r="AA39" s="1561">
        <f t="shared" si="3"/>
        <v>1</v>
      </c>
      <c r="AB39" s="1561">
        <f t="shared" si="4"/>
        <v>1</v>
      </c>
      <c r="AC39" s="1561">
        <f t="shared" si="5"/>
        <v>1</v>
      </c>
    </row>
    <row r="40" spans="1:29" ht="1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92"/>
      <c r="Q40" s="1557">
        <f t="shared" si="11"/>
        <v>111</v>
      </c>
      <c r="R40" s="1558" t="s">
        <v>8</v>
      </c>
      <c r="S40" s="1559">
        <f t="shared" si="12"/>
        <v>100</v>
      </c>
      <c r="T40" s="1558" t="s">
        <v>8</v>
      </c>
      <c r="U40" s="1559">
        <f t="shared" si="13"/>
        <v>100</v>
      </c>
      <c r="V40" s="1558" t="s">
        <v>8</v>
      </c>
      <c r="W40" s="1559">
        <f t="shared" si="14"/>
        <v>100</v>
      </c>
      <c r="X40" s="1552"/>
      <c r="Y40" s="3492"/>
      <c r="Z40" s="1560">
        <f t="shared" si="15"/>
        <v>111</v>
      </c>
      <c r="AA40" s="1561">
        <f t="shared" si="3"/>
        <v>1</v>
      </c>
      <c r="AB40" s="1561">
        <f t="shared" si="4"/>
        <v>1</v>
      </c>
      <c r="AC40" s="1561">
        <f t="shared" si="5"/>
        <v>1</v>
      </c>
    </row>
    <row r="41" spans="1:29">
      <c r="A41" s="606" t="s">
        <v>736</v>
      </c>
      <c r="B41" s="886"/>
      <c r="C41" s="2590" t="s">
        <v>1</v>
      </c>
      <c r="D41" s="2591"/>
      <c r="E41" s="2592"/>
      <c r="F41" s="2593"/>
      <c r="G41" s="2594"/>
      <c r="H41" s="2595"/>
      <c r="I41" s="2592"/>
      <c r="J41" s="2595"/>
      <c r="K41" s="1595"/>
      <c r="L41" s="2128"/>
      <c r="M41" s="2129"/>
      <c r="N41" s="2118"/>
      <c r="O41" s="2129"/>
      <c r="P41" s="3374" t="str">
        <f>A41</f>
        <v>成交单价（元/平方米）</v>
      </c>
      <c r="Q41" s="3374"/>
      <c r="R41" s="3491">
        <f>E41</f>
        <v>0</v>
      </c>
      <c r="S41" s="3491"/>
      <c r="T41" s="3491">
        <f>G41</f>
        <v>0</v>
      </c>
      <c r="U41" s="3491"/>
      <c r="V41" s="3491">
        <f>I41</f>
        <v>0</v>
      </c>
      <c r="W41" s="3491"/>
      <c r="X41" s="1544"/>
      <c r="Y41" s="1566"/>
      <c r="Z41" s="1544"/>
      <c r="AA41" s="1544"/>
      <c r="AB41" s="1544"/>
      <c r="AC41" s="1544"/>
    </row>
    <row r="42" spans="1:29" ht="14.5" thickBot="1">
      <c r="A42" s="614" t="s">
        <v>2757</v>
      </c>
      <c r="B42" s="887"/>
      <c r="C42" s="2596" t="e">
        <f>R43</f>
        <v>#DIV/0!</v>
      </c>
      <c r="D42" s="2597"/>
      <c r="E42" s="2598" t="e">
        <f>R42</f>
        <v>#DIV/0!</v>
      </c>
      <c r="F42" s="2598"/>
      <c r="G42" s="2596" t="e">
        <f>T42</f>
        <v>#DIV/0!</v>
      </c>
      <c r="H42" s="2597"/>
      <c r="I42" s="2598" t="e">
        <f>V42</f>
        <v>#DIV/0!</v>
      </c>
      <c r="J42" s="2597"/>
      <c r="K42" s="1596"/>
      <c r="L42" s="2128"/>
      <c r="M42" s="2129"/>
      <c r="N42" s="2118"/>
      <c r="O42" s="2129"/>
      <c r="P42" s="3374" t="str">
        <f>A42</f>
        <v>比较价格（元/平方米）</v>
      </c>
      <c r="Q42" s="3374"/>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4"/>
      <c r="Y42" s="1544"/>
      <c r="Z42" s="1544"/>
      <c r="AA42" s="1544"/>
      <c r="AB42" s="1544"/>
      <c r="AC42" s="1544"/>
    </row>
    <row r="43" spans="1:29" ht="14.5" thickBot="1">
      <c r="A43" s="620" t="s">
        <v>2933</v>
      </c>
      <c r="B43" s="621"/>
      <c r="C43" s="2599" t="e">
        <f>R43</f>
        <v>#DIV/0!</v>
      </c>
      <c r="D43" s="2599"/>
      <c r="E43" s="2599"/>
      <c r="F43" s="2599"/>
      <c r="G43" s="2599"/>
      <c r="H43" s="2599"/>
      <c r="I43" s="2599"/>
      <c r="J43" s="2599"/>
      <c r="K43" s="1597"/>
      <c r="L43" s="2128"/>
      <c r="M43" s="2129"/>
      <c r="N43" s="2129"/>
      <c r="O43" s="2129"/>
      <c r="P43" s="3371" t="str">
        <f>A43</f>
        <v>估价对象XX用房的比较价格（楼面单价，元/平方米）</v>
      </c>
      <c r="Q43" s="3372"/>
      <c r="R43" s="3490" t="e">
        <f>IF(F1="售价",ROUND(AVERAGE(R42:V42),0),ROUND(AVERAGE(R42:V42),1))</f>
        <v>#DIV/0!</v>
      </c>
      <c r="S43" s="3490"/>
      <c r="T43" s="3490"/>
      <c r="U43" s="3490"/>
      <c r="V43" s="3490"/>
      <c r="W43" s="3490"/>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c r="A52" s="644" t="s">
        <v>529</v>
      </c>
      <c r="B52" s="645"/>
      <c r="C52" s="2756" t="str">
        <f>YEAR(C7)&amp;"-"&amp;MONTH(C7)</f>
        <v>2020-2</v>
      </c>
      <c r="D52" s="2758">
        <f>EDATE(C52,-1)</f>
        <v>43831</v>
      </c>
      <c r="E52" s="2758">
        <f t="shared" ref="E52:O52" si="16">EDATE(D52,-1)</f>
        <v>43800</v>
      </c>
      <c r="F52" s="2758">
        <f t="shared" si="16"/>
        <v>43770</v>
      </c>
      <c r="G52" s="2758">
        <f t="shared" si="16"/>
        <v>43739</v>
      </c>
      <c r="H52" s="2758">
        <f t="shared" si="16"/>
        <v>43709</v>
      </c>
      <c r="I52" s="2758">
        <f t="shared" si="16"/>
        <v>43678</v>
      </c>
      <c r="J52" s="2758">
        <f t="shared" si="16"/>
        <v>43647</v>
      </c>
      <c r="K52" s="2758">
        <f t="shared" si="16"/>
        <v>43617</v>
      </c>
      <c r="L52" s="2758">
        <f t="shared" si="16"/>
        <v>43586</v>
      </c>
      <c r="M52" s="2758">
        <f t="shared" si="16"/>
        <v>43556</v>
      </c>
      <c r="N52" s="2758">
        <f t="shared" si="16"/>
        <v>43525</v>
      </c>
      <c r="O52" s="2758">
        <f t="shared" si="16"/>
        <v>43497</v>
      </c>
      <c r="P52" s="2144"/>
      <c r="Q52" s="2145"/>
      <c r="R52" s="2145"/>
      <c r="S52" s="2145"/>
      <c r="T52" s="2145"/>
      <c r="U52" s="2145"/>
      <c r="V52" s="2145"/>
      <c r="W52" s="2145"/>
      <c r="X52" s="2145"/>
      <c r="Y52" s="2145"/>
      <c r="Z52" s="2145"/>
      <c r="AA52" s="2145"/>
      <c r="AB52" s="2145"/>
      <c r="AC52" s="2145"/>
    </row>
    <row r="53" spans="1:29" s="1215" customFormat="1">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4.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4.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4.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8.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4.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4.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4.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4.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4.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4.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4.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4.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4.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4.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4.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4.5" thickTop="1">
      <c r="A74" s="668"/>
      <c r="B74" s="1880" t="s">
        <v>2555</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4.5" thickTop="1">
      <c r="A76" s="668"/>
      <c r="B76" s="2560" t="s">
        <v>2556</v>
      </c>
      <c r="C76" s="2561" t="s">
        <v>2557</v>
      </c>
      <c r="D76" s="2561" t="s">
        <v>2558</v>
      </c>
      <c r="E76" s="2561" t="s">
        <v>2559</v>
      </c>
      <c r="F76" s="2561" t="s">
        <v>2560</v>
      </c>
      <c r="G76" s="2561" t="s">
        <v>2561</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4.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4.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4.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4.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4.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4.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4.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4.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4.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4.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4.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4.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4.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4.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4.5" thickTop="1">
      <c r="A102" s="734"/>
      <c r="B102" s="1880" t="s">
        <v>2554</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4.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4.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4.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8.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4.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4.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4.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4.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4.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4.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762" customWidth="1"/>
    <col min="2" max="2" width="9" style="1762"/>
    <col min="3" max="4" width="9.6328125" style="1762" customWidth="1"/>
    <col min="5" max="16384" width="9" style="1762"/>
  </cols>
  <sheetData>
    <row r="1" spans="1:4" ht="23">
      <c r="A1" s="1761" t="s">
        <v>1904</v>
      </c>
    </row>
    <row r="2" spans="1:4">
      <c r="A2" s="1763"/>
    </row>
    <row r="3" spans="1:4" ht="17.5">
      <c r="A3" s="1781" t="str">
        <f>项目基本情况!B5&amp;"："</f>
        <v>：</v>
      </c>
    </row>
    <row r="4" spans="1:4" ht="35">
      <c r="A4" s="1775" t="str">
        <f>"受贵公司委托，我公司对"&amp;项目基本情况!K2&amp;项目基本情况!B9&amp;"进行了预评估。"</f>
        <v>受贵公司委托，我公司对出让国有建设用地使用权抵押价格进行了预评估。</v>
      </c>
    </row>
    <row r="5" spans="1:4" ht="17.5">
      <c r="A5" s="1778" t="s">
        <v>1905</v>
      </c>
    </row>
    <row r="6" spans="1:4" ht="70">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97560.5平方米。根据《建设工程规划许可证》[]、《出让合同》[]，估价对象规划建筑面积为189603.42平方米。</v>
      </c>
    </row>
    <row r="7" spans="1:4" ht="87.5">
      <c r="A7" s="2827" t="s">
        <v>2745</v>
      </c>
    </row>
    <row r="8" spans="1:4" ht="17.5">
      <c r="A8" s="1778" t="s">
        <v>1906</v>
      </c>
    </row>
    <row r="9" spans="1:4" ht="70">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1781" t="s">
        <v>2024</v>
      </c>
    </row>
    <row r="11" spans="1:4" ht="17.5">
      <c r="A11" s="1764" t="str">
        <f>TEXT(项目基本情况!D3,"yyyy年m月d日;;")&amp;IF(项目基本情况!B3=项目基本情况!D3,"（评估专业人员勘察现场之日）","")</f>
        <v>2020年2月12日</v>
      </c>
    </row>
    <row r="12" spans="1:4" ht="17.5">
      <c r="A12" s="1781" t="s">
        <v>2023</v>
      </c>
    </row>
    <row r="13" spans="1:4" ht="17.5">
      <c r="A13" s="1775" t="s">
        <v>2069</v>
      </c>
    </row>
    <row r="14" spans="1:4" ht="17.5">
      <c r="A14" s="1775" t="str">
        <f>"根据"&amp;项目基本情况!F12&amp;"，本次评估估价对象证载（地类）用途为"&amp;项目基本情况!B12&amp;"。"</f>
        <v>根据《国有土地使用证》[]，本次评估估价对象证载（地类）用途为。</v>
      </c>
      <c r="C14" s="1765"/>
      <c r="D14" s="1766"/>
    </row>
    <row r="15" spans="1:4" ht="1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5">
      <c r="A16" s="1775" t="s">
        <v>2070</v>
      </c>
    </row>
    <row r="17" spans="1:1" ht="5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775" t="s">
        <v>2071</v>
      </c>
    </row>
    <row r="20" spans="1:1" ht="5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根据《国有土地使用证》[]，估价对象（分摊）出让国有建设用地使用权面积为97560.5平方米。根据《建设工程规划许可证》[]、《出让合同》[]，估价对象规划建筑面积为189603.42平方米。</v>
      </c>
    </row>
    <row r="21" spans="1:1" ht="8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75" t="s">
        <v>2072</v>
      </c>
    </row>
    <row r="23" spans="1:1" ht="17.5">
      <c r="A23" s="2829" t="s">
        <v>2746</v>
      </c>
    </row>
    <row r="24" spans="1:1" ht="17.5">
      <c r="A24" s="1775" t="s">
        <v>2073</v>
      </c>
    </row>
    <row r="25" spans="1:1" ht="87.5">
      <c r="A25" s="1775" t="str">
        <f>定义!C53</f>
        <v>本次估价的“出让国有建设用地使用权价格”是指在估价对象土地所有权为国家所有，使用权性质为出让，在公开市场条件下、于估价期日2020年2月12日，在规划利用条件下、设定土地开发程度为红线外“七通”、宗地内场地平整，设定用途为，剩余土地使用年限为的出让国有建设用地使用权价格。</v>
      </c>
    </row>
    <row r="26" spans="1:1" ht="3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5" t="str">
        <f>IF(项目基本情况!E9="——","",定义!C57)</f>
        <v/>
      </c>
    </row>
    <row r="29" spans="1:1" ht="17.5">
      <c r="A29" s="1781" t="s">
        <v>2025</v>
      </c>
    </row>
    <row r="30" spans="1:1" ht="70">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C108" sqref="C108:G113"/>
    </sheetView>
  </sheetViews>
  <sheetFormatPr defaultColWidth="9" defaultRowHeight="14"/>
  <cols>
    <col min="1" max="1" width="10.453125" style="1332" customWidth="1"/>
    <col min="2" max="2" width="15.81640625" style="1332" customWidth="1"/>
    <col min="3" max="3" width="14.36328125" style="1332" customWidth="1"/>
    <col min="4" max="4" width="12.1796875" style="1332" customWidth="1"/>
    <col min="5" max="5" width="14.36328125" style="1332" customWidth="1"/>
    <col min="6" max="6" width="12.1796875" style="1332" customWidth="1"/>
    <col min="7" max="7" width="14.453125" style="1332" customWidth="1"/>
    <col min="8" max="8" width="12.1796875" style="1332" customWidth="1"/>
    <col min="9" max="9" width="14.453125" style="1332" customWidth="1"/>
    <col min="10" max="10" width="12.1796875" style="1332" customWidth="1"/>
    <col min="11" max="11" width="12.1796875" style="1338" customWidth="1"/>
    <col min="12" max="12" width="12.1796875" style="1339" customWidth="1"/>
    <col min="13" max="15" width="12.1796875" style="1332" customWidth="1"/>
    <col min="16" max="16" width="4.81640625" style="1332" customWidth="1"/>
    <col min="17" max="17" width="19.453125" style="1332" customWidth="1"/>
    <col min="18" max="22" width="6.08984375" style="1332" customWidth="1"/>
    <col min="23" max="23" width="5.81640625" style="1332" customWidth="1"/>
    <col min="24" max="24" width="4.1796875" style="1332" customWidth="1"/>
    <col min="25" max="25" width="3.453125" style="1332" customWidth="1"/>
    <col min="26" max="26" width="19.81640625" style="1332" customWidth="1"/>
    <col min="27" max="28" width="9.3632812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2074</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c r="A4" s="511" t="s">
        <v>797</v>
      </c>
      <c r="B4" s="512"/>
      <c r="C4" s="3380" t="s">
        <v>798</v>
      </c>
      <c r="D4" s="3381"/>
      <c r="E4" s="3380" t="s">
        <v>799</v>
      </c>
      <c r="F4" s="3381"/>
      <c r="G4" s="3380" t="s">
        <v>800</v>
      </c>
      <c r="H4" s="3381"/>
      <c r="I4" s="3380" t="s">
        <v>801</v>
      </c>
      <c r="J4" s="3381"/>
      <c r="K4" s="513" t="s">
        <v>802</v>
      </c>
      <c r="L4" s="2117"/>
      <c r="M4" s="2118"/>
      <c r="N4" s="2118"/>
      <c r="O4" s="2118"/>
      <c r="P4" s="3382" t="s">
        <v>803</v>
      </c>
      <c r="Q4" s="3383"/>
      <c r="R4" s="3388" t="s">
        <v>799</v>
      </c>
      <c r="S4" s="3389"/>
      <c r="T4" s="3388" t="s">
        <v>800</v>
      </c>
      <c r="U4" s="3389"/>
      <c r="V4" s="3375" t="s">
        <v>801</v>
      </c>
      <c r="W4" s="3375"/>
      <c r="X4" s="1552"/>
      <c r="Y4" s="3388" t="s">
        <v>803</v>
      </c>
      <c r="Z4" s="3389"/>
      <c r="AA4" s="3377" t="s">
        <v>799</v>
      </c>
      <c r="AB4" s="3378" t="s">
        <v>800</v>
      </c>
      <c r="AC4" s="3377" t="s">
        <v>801</v>
      </c>
    </row>
    <row r="5" spans="1:29">
      <c r="A5" s="514"/>
      <c r="B5" s="515"/>
      <c r="C5" s="3396" t="s">
        <v>2927</v>
      </c>
      <c r="D5" s="3397"/>
      <c r="E5" s="3396" t="s">
        <v>2928</v>
      </c>
      <c r="F5" s="3397"/>
      <c r="G5" s="3396" t="s">
        <v>2929</v>
      </c>
      <c r="H5" s="3397"/>
      <c r="I5" s="3396" t="s">
        <v>2930</v>
      </c>
      <c r="J5" s="3397"/>
      <c r="K5" s="513"/>
      <c r="L5" s="2117"/>
      <c r="M5" s="2118"/>
      <c r="N5" s="2118"/>
      <c r="O5" s="2118"/>
      <c r="P5" s="3384"/>
      <c r="Q5" s="3385"/>
      <c r="R5" s="3390"/>
      <c r="S5" s="3391"/>
      <c r="T5" s="3390"/>
      <c r="U5" s="3391"/>
      <c r="V5" s="3375"/>
      <c r="W5" s="3375"/>
      <c r="X5" s="1552"/>
      <c r="Y5" s="3390"/>
      <c r="Z5" s="3391"/>
      <c r="AA5" s="3378"/>
      <c r="AB5" s="3378"/>
      <c r="AC5" s="3378"/>
    </row>
    <row r="6" spans="1:29" ht="15" thickBot="1">
      <c r="A6" s="516"/>
      <c r="B6" s="517"/>
      <c r="C6" s="3394" t="s">
        <v>2931</v>
      </c>
      <c r="D6" s="3395"/>
      <c r="E6" s="3398" t="s">
        <v>2931</v>
      </c>
      <c r="F6" s="3399"/>
      <c r="G6" s="3394" t="s">
        <v>2931</v>
      </c>
      <c r="H6" s="3395"/>
      <c r="I6" s="3394" t="s">
        <v>2931</v>
      </c>
      <c r="J6" s="3395"/>
      <c r="K6" s="513" t="s">
        <v>528</v>
      </c>
      <c r="L6" s="2117"/>
      <c r="M6" s="2118"/>
      <c r="N6" s="2118"/>
      <c r="O6" s="2118"/>
      <c r="P6" s="3386"/>
      <c r="Q6" s="3387"/>
      <c r="R6" s="3390"/>
      <c r="S6" s="3391"/>
      <c r="T6" s="3392"/>
      <c r="U6" s="3393"/>
      <c r="V6" s="3375"/>
      <c r="W6" s="3375"/>
      <c r="X6" s="1552"/>
      <c r="Y6" s="3392"/>
      <c r="Z6" s="3393"/>
      <c r="AA6" s="3379"/>
      <c r="AB6" s="3379"/>
      <c r="AC6" s="3379"/>
    </row>
    <row r="7" spans="1:29" s="1215" customFormat="1" ht="14.5" thickBot="1">
      <c r="A7" s="2866"/>
      <c r="B7" s="2873" t="s">
        <v>529</v>
      </c>
      <c r="C7" s="518">
        <f>'数据-取费表'!B2</f>
        <v>43873</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05" t="s">
        <v>530</v>
      </c>
      <c r="Q7" s="3407"/>
      <c r="R7" s="1553" t="s">
        <v>8</v>
      </c>
      <c r="S7" s="1554">
        <f t="shared" ref="S7:S14" si="0">F7</f>
        <v>0</v>
      </c>
      <c r="T7" s="1553" t="s">
        <v>8</v>
      </c>
      <c r="U7" s="1554">
        <f t="shared" ref="U7:U14" si="1">H7</f>
        <v>0</v>
      </c>
      <c r="V7" s="1553" t="s">
        <v>8</v>
      </c>
      <c r="W7" s="1554">
        <f t="shared" ref="W7:W14" si="2">J7</f>
        <v>0</v>
      </c>
      <c r="X7" s="1555"/>
      <c r="Y7" s="3405" t="s">
        <v>530</v>
      </c>
      <c r="Z7" s="3406"/>
      <c r="AA7" s="1556" t="e">
        <f>D7/F7</f>
        <v>#DIV/0!</v>
      </c>
      <c r="AB7" s="1556" t="e">
        <f>D7/H7</f>
        <v>#DIV/0!</v>
      </c>
      <c r="AC7" s="1556" t="e">
        <f>D7/J7</f>
        <v>#DIV/0!</v>
      </c>
    </row>
    <row r="8" spans="1:29" s="1215" customFormat="1" ht="14.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36" si="3">D8/F8</f>
        <v>#DIV/0!</v>
      </c>
      <c r="AB8" s="1556" t="e">
        <f t="shared" ref="AB8:AB36" si="4">D8/H8</f>
        <v>#DIV/0!</v>
      </c>
      <c r="AC8" s="1556" t="e">
        <f t="shared" ref="AC8:AC36" si="5">D8/J8</f>
        <v>#DIV/0!</v>
      </c>
    </row>
    <row r="9" spans="1:29" s="1215" customFormat="1">
      <c r="A9" s="2868"/>
      <c r="B9" s="2875" t="s">
        <v>2753</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74" t="s">
        <v>535</v>
      </c>
      <c r="Q9" s="1146" t="str">
        <f t="shared" ref="Q9:Q14" si="6">B9</f>
        <v>用途</v>
      </c>
      <c r="R9" s="1553" t="s">
        <v>8</v>
      </c>
      <c r="S9" s="1554">
        <f t="shared" si="0"/>
        <v>100</v>
      </c>
      <c r="T9" s="1553" t="s">
        <v>8</v>
      </c>
      <c r="U9" s="1554">
        <f t="shared" si="1"/>
        <v>100</v>
      </c>
      <c r="V9" s="1553" t="s">
        <v>8</v>
      </c>
      <c r="W9" s="1554">
        <f t="shared" si="2"/>
        <v>100</v>
      </c>
      <c r="X9" s="1555"/>
      <c r="Y9" s="3320" t="s">
        <v>536</v>
      </c>
      <c r="Z9" s="1145" t="str">
        <f t="shared" ref="Z9:Z14" si="7">Q9</f>
        <v>用途</v>
      </c>
      <c r="AA9" s="1556">
        <f t="shared" si="3"/>
        <v>1</v>
      </c>
      <c r="AB9" s="1556">
        <f t="shared" si="4"/>
        <v>1</v>
      </c>
      <c r="AC9" s="1556">
        <f t="shared" si="5"/>
        <v>1</v>
      </c>
    </row>
    <row r="10" spans="1:29" s="1333" customFormat="1" ht="28">
      <c r="A10" s="2869"/>
      <c r="B10" s="2874" t="s">
        <v>2754</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74"/>
      <c r="Q10" s="1146" t="str">
        <f t="shared" si="6"/>
        <v>土地使用年限（年）</v>
      </c>
      <c r="R10" s="1553" t="s">
        <v>8</v>
      </c>
      <c r="S10" s="1554">
        <f t="shared" si="0"/>
        <v>100</v>
      </c>
      <c r="T10" s="1553" t="s">
        <v>8</v>
      </c>
      <c r="U10" s="1554">
        <f t="shared" si="1"/>
        <v>100</v>
      </c>
      <c r="V10" s="1553" t="s">
        <v>8</v>
      </c>
      <c r="W10" s="1554">
        <f t="shared" si="2"/>
        <v>100</v>
      </c>
      <c r="X10" s="1555"/>
      <c r="Y10" s="3320"/>
      <c r="Z10" s="1145" t="str">
        <f t="shared" si="7"/>
        <v>土地使用年限（年）</v>
      </c>
      <c r="AA10" s="1556">
        <f t="shared" si="3"/>
        <v>1</v>
      </c>
      <c r="AB10" s="1556">
        <f t="shared" si="4"/>
        <v>1</v>
      </c>
      <c r="AC10" s="1556">
        <f t="shared" si="5"/>
        <v>1</v>
      </c>
    </row>
    <row r="11" spans="1:29" ht="15.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74"/>
      <c r="Q11" s="1146">
        <f t="shared" si="6"/>
        <v>111</v>
      </c>
      <c r="R11" s="1553" t="s">
        <v>8</v>
      </c>
      <c r="S11" s="1554">
        <f t="shared" si="0"/>
        <v>100</v>
      </c>
      <c r="T11" s="1553" t="s">
        <v>8</v>
      </c>
      <c r="U11" s="1554">
        <f t="shared" si="1"/>
        <v>100</v>
      </c>
      <c r="V11" s="1553" t="s">
        <v>8</v>
      </c>
      <c r="W11" s="1554">
        <f t="shared" si="2"/>
        <v>100</v>
      </c>
      <c r="X11" s="1555"/>
      <c r="Y11" s="3320"/>
      <c r="Z11" s="1145">
        <f t="shared" si="7"/>
        <v>111</v>
      </c>
      <c r="AA11" s="1556">
        <f t="shared" si="3"/>
        <v>1</v>
      </c>
      <c r="AB11" s="1556">
        <f t="shared" si="4"/>
        <v>1</v>
      </c>
      <c r="AC11" s="1556">
        <f t="shared" si="5"/>
        <v>1</v>
      </c>
    </row>
    <row r="12" spans="1:29" s="1215" customFormat="1" ht="15.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74"/>
      <c r="Q12" s="1146">
        <f t="shared" si="6"/>
        <v>111</v>
      </c>
      <c r="R12" s="1553" t="s">
        <v>8</v>
      </c>
      <c r="S12" s="1554">
        <f t="shared" si="0"/>
        <v>100</v>
      </c>
      <c r="T12" s="1553" t="s">
        <v>8</v>
      </c>
      <c r="U12" s="1554">
        <f t="shared" si="1"/>
        <v>100</v>
      </c>
      <c r="V12" s="1553" t="s">
        <v>8</v>
      </c>
      <c r="W12" s="1554">
        <f t="shared" si="2"/>
        <v>100</v>
      </c>
      <c r="X12" s="1555"/>
      <c r="Y12" s="3320"/>
      <c r="Z12" s="1145">
        <f t="shared" si="7"/>
        <v>111</v>
      </c>
      <c r="AA12" s="1556">
        <f>D12/F12</f>
        <v>1</v>
      </c>
      <c r="AB12" s="1556">
        <f>D12/H12</f>
        <v>1</v>
      </c>
      <c r="AC12" s="1556">
        <f>D12/J12</f>
        <v>1</v>
      </c>
    </row>
    <row r="13" spans="1:29" ht="16"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74"/>
      <c r="Q13" s="1146">
        <f t="shared" si="6"/>
        <v>111</v>
      </c>
      <c r="R13" s="1553" t="s">
        <v>8</v>
      </c>
      <c r="S13" s="1554">
        <f t="shared" si="0"/>
        <v>100</v>
      </c>
      <c r="T13" s="1553" t="s">
        <v>8</v>
      </c>
      <c r="U13" s="1554">
        <f t="shared" si="1"/>
        <v>100</v>
      </c>
      <c r="V13" s="1553" t="s">
        <v>8</v>
      </c>
      <c r="W13" s="1554">
        <f t="shared" si="2"/>
        <v>100</v>
      </c>
      <c r="X13" s="1555"/>
      <c r="Y13" s="3320"/>
      <c r="Z13" s="1145">
        <f t="shared" si="7"/>
        <v>111</v>
      </c>
      <c r="AA13" s="1556">
        <f t="shared" si="3"/>
        <v>1</v>
      </c>
      <c r="AB13" s="1556">
        <f t="shared" si="4"/>
        <v>1</v>
      </c>
      <c r="AC13" s="1556">
        <f t="shared" si="5"/>
        <v>1</v>
      </c>
    </row>
    <row r="14" spans="1:29" ht="98">
      <c r="A14" s="2864"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08" t="s">
        <v>540</v>
      </c>
      <c r="Q14" s="1557" t="str">
        <f t="shared" si="6"/>
        <v>交通便捷度</v>
      </c>
      <c r="R14" s="1558" t="s">
        <v>8</v>
      </c>
      <c r="S14" s="1559">
        <f t="shared" si="0"/>
        <v>100</v>
      </c>
      <c r="T14" s="1558" t="s">
        <v>8</v>
      </c>
      <c r="U14" s="1559">
        <f t="shared" si="1"/>
        <v>100</v>
      </c>
      <c r="V14" s="1558" t="s">
        <v>8</v>
      </c>
      <c r="W14" s="1559">
        <f t="shared" si="2"/>
        <v>100</v>
      </c>
      <c r="X14" s="1552"/>
      <c r="Y14" s="3408" t="s">
        <v>540</v>
      </c>
      <c r="Z14" s="1560" t="str">
        <f t="shared" si="7"/>
        <v>交通便捷度</v>
      </c>
      <c r="AA14" s="1561">
        <f t="shared" si="3"/>
        <v>1</v>
      </c>
      <c r="AB14" s="1561">
        <f t="shared" si="4"/>
        <v>1</v>
      </c>
      <c r="AC14" s="1561">
        <f t="shared" si="5"/>
        <v>1</v>
      </c>
    </row>
    <row r="15" spans="1:29" ht="15.5">
      <c r="A15" s="514"/>
      <c r="B15" s="923"/>
      <c r="C15" s="575"/>
      <c r="D15" s="554"/>
      <c r="E15" s="575"/>
      <c r="F15" s="556"/>
      <c r="G15" s="575"/>
      <c r="H15" s="558"/>
      <c r="I15" s="575"/>
      <c r="J15" s="554"/>
      <c r="K15" s="898"/>
      <c r="L15" s="2126"/>
      <c r="M15" s="2118"/>
      <c r="N15" s="2118"/>
      <c r="O15" s="2125"/>
      <c r="P15" s="3409"/>
      <c r="Q15" s="1557"/>
      <c r="R15" s="1558"/>
      <c r="S15" s="1559"/>
      <c r="T15" s="1558"/>
      <c r="U15" s="1559"/>
      <c r="V15" s="1558"/>
      <c r="W15" s="1559"/>
      <c r="X15" s="1552"/>
      <c r="Y15" s="3409"/>
      <c r="Z15" s="1560"/>
      <c r="AA15" s="1561">
        <v>1</v>
      </c>
      <c r="AB15" s="1561">
        <v>1</v>
      </c>
      <c r="AC15" s="1561">
        <v>1</v>
      </c>
    </row>
    <row r="16" spans="1:29" ht="42">
      <c r="A16" s="514"/>
      <c r="B16" s="2566"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09"/>
      <c r="Q16" s="1557" t="str">
        <f>B16</f>
        <v>公共配套设施</v>
      </c>
      <c r="R16" s="1558" t="s">
        <v>8</v>
      </c>
      <c r="S16" s="1559">
        <f>F16</f>
        <v>100</v>
      </c>
      <c r="T16" s="1558" t="s">
        <v>8</v>
      </c>
      <c r="U16" s="1559">
        <f>H16</f>
        <v>100</v>
      </c>
      <c r="V16" s="1558" t="s">
        <v>8</v>
      </c>
      <c r="W16" s="1559">
        <f>J16</f>
        <v>100</v>
      </c>
      <c r="X16" s="1552"/>
      <c r="Y16" s="3409"/>
      <c r="Z16" s="1560" t="str">
        <f>Q16</f>
        <v>公共配套设施</v>
      </c>
      <c r="AA16" s="1561">
        <f t="shared" si="3"/>
        <v>1</v>
      </c>
      <c r="AB16" s="1561">
        <f t="shared" si="4"/>
        <v>1</v>
      </c>
      <c r="AC16" s="1561">
        <f t="shared" si="5"/>
        <v>1</v>
      </c>
    </row>
    <row r="17" spans="1:29" ht="15.5">
      <c r="A17" s="514"/>
      <c r="B17" s="565"/>
      <c r="C17" s="872"/>
      <c r="D17" s="554"/>
      <c r="E17" s="575"/>
      <c r="F17" s="556"/>
      <c r="G17" s="575"/>
      <c r="H17" s="554"/>
      <c r="I17" s="575"/>
      <c r="J17" s="554"/>
      <c r="K17" s="898"/>
      <c r="L17" s="2126"/>
      <c r="M17" s="2118"/>
      <c r="N17" s="2118"/>
      <c r="O17" s="2125"/>
      <c r="P17" s="3409"/>
      <c r="Q17" s="1557"/>
      <c r="R17" s="1558"/>
      <c r="S17" s="1559"/>
      <c r="T17" s="1558"/>
      <c r="U17" s="1559"/>
      <c r="V17" s="1558"/>
      <c r="W17" s="1559"/>
      <c r="X17" s="1552"/>
      <c r="Y17" s="3409"/>
      <c r="Z17" s="1560"/>
      <c r="AA17" s="1561">
        <v>1</v>
      </c>
      <c r="AB17" s="1561">
        <v>1</v>
      </c>
      <c r="AC17" s="1561">
        <v>1</v>
      </c>
    </row>
    <row r="18" spans="1:29" ht="42">
      <c r="A18" s="514"/>
      <c r="B18" s="2554"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09"/>
      <c r="Q18" s="2542" t="str">
        <f>B18</f>
        <v>基础设施水平</v>
      </c>
      <c r="R18" s="1558" t="s">
        <v>8</v>
      </c>
      <c r="S18" s="1559">
        <f>F18</f>
        <v>100</v>
      </c>
      <c r="T18" s="1558" t="s">
        <v>8</v>
      </c>
      <c r="U18" s="1559">
        <f>H18</f>
        <v>100</v>
      </c>
      <c r="V18" s="1558" t="s">
        <v>8</v>
      </c>
      <c r="W18" s="1559">
        <f>J18</f>
        <v>100</v>
      </c>
      <c r="X18" s="2544"/>
      <c r="Y18" s="3409"/>
      <c r="Z18" s="2543" t="str">
        <f>Q18</f>
        <v>基础设施水平</v>
      </c>
      <c r="AA18" s="1561">
        <f t="shared" ref="AA18" si="8">D18/F18</f>
        <v>1</v>
      </c>
      <c r="AB18" s="1561">
        <f t="shared" ref="AB18" si="9">D18/H18</f>
        <v>1</v>
      </c>
      <c r="AC18" s="1561">
        <f t="shared" ref="AC18" si="10">D18/J18</f>
        <v>1</v>
      </c>
    </row>
    <row r="19" spans="1:29" ht="15.5">
      <c r="A19" s="514"/>
      <c r="B19" s="577"/>
      <c r="C19" s="872"/>
      <c r="D19" s="558"/>
      <c r="E19" s="575"/>
      <c r="F19" s="556"/>
      <c r="G19" s="575"/>
      <c r="H19" s="554"/>
      <c r="I19" s="575"/>
      <c r="J19" s="554"/>
      <c r="K19" s="2565"/>
      <c r="L19" s="2126"/>
      <c r="M19" s="2118"/>
      <c r="N19" s="2118"/>
      <c r="O19" s="2125"/>
      <c r="P19" s="3409"/>
      <c r="Q19" s="2542"/>
      <c r="R19" s="1558"/>
      <c r="S19" s="1559"/>
      <c r="T19" s="1558"/>
      <c r="U19" s="1559"/>
      <c r="V19" s="1558"/>
      <c r="W19" s="1559"/>
      <c r="X19" s="2544"/>
      <c r="Y19" s="3409"/>
      <c r="Z19" s="2543"/>
      <c r="AA19" s="1561">
        <v>1</v>
      </c>
      <c r="AB19" s="1561">
        <v>1</v>
      </c>
      <c r="AC19" s="1561">
        <v>1</v>
      </c>
    </row>
    <row r="20" spans="1:29" ht="56">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09"/>
      <c r="Q20" s="1557" t="str">
        <f>B20</f>
        <v>自然及人文环境</v>
      </c>
      <c r="R20" s="1558" t="s">
        <v>8</v>
      </c>
      <c r="S20" s="1559">
        <f>F20</f>
        <v>100</v>
      </c>
      <c r="T20" s="1558" t="s">
        <v>8</v>
      </c>
      <c r="U20" s="1559">
        <f>H20</f>
        <v>100</v>
      </c>
      <c r="V20" s="1558" t="s">
        <v>8</v>
      </c>
      <c r="W20" s="1559">
        <f>J20</f>
        <v>100</v>
      </c>
      <c r="X20" s="1552"/>
      <c r="Y20" s="3409"/>
      <c r="Z20" s="1560" t="str">
        <f>Q20</f>
        <v>自然及人文环境</v>
      </c>
      <c r="AA20" s="1561">
        <f t="shared" si="3"/>
        <v>1</v>
      </c>
      <c r="AB20" s="1561">
        <f t="shared" si="4"/>
        <v>1</v>
      </c>
      <c r="AC20" s="1561">
        <f t="shared" si="5"/>
        <v>1</v>
      </c>
    </row>
    <row r="21" spans="1:29" ht="15.5">
      <c r="A21" s="514"/>
      <c r="B21" s="565"/>
      <c r="C21" s="575"/>
      <c r="D21" s="554"/>
      <c r="E21" s="575"/>
      <c r="F21" s="556"/>
      <c r="G21" s="575"/>
      <c r="H21" s="554"/>
      <c r="I21" s="575"/>
      <c r="J21" s="554"/>
      <c r="K21" s="898"/>
      <c r="L21" s="2126"/>
      <c r="M21" s="2118"/>
      <c r="N21" s="2118"/>
      <c r="O21" s="2125"/>
      <c r="P21" s="3409"/>
      <c r="Q21" s="1557"/>
      <c r="R21" s="1558"/>
      <c r="S21" s="1559"/>
      <c r="T21" s="1558"/>
      <c r="U21" s="1559"/>
      <c r="V21" s="1558"/>
      <c r="W21" s="1559"/>
      <c r="X21" s="1552"/>
      <c r="Y21" s="3409"/>
      <c r="Z21" s="1560"/>
      <c r="AA21" s="1561">
        <v>1</v>
      </c>
      <c r="AB21" s="1561">
        <v>1</v>
      </c>
      <c r="AC21" s="1561">
        <v>1</v>
      </c>
    </row>
    <row r="22" spans="1:29" ht="15.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09"/>
      <c r="Q22" s="1557" t="str">
        <f>B22</f>
        <v>楼层</v>
      </c>
      <c r="R22" s="1558" t="s">
        <v>8</v>
      </c>
      <c r="S22" s="1559">
        <f>F22</f>
        <v>100</v>
      </c>
      <c r="T22" s="1558" t="s">
        <v>8</v>
      </c>
      <c r="U22" s="1559">
        <f>H22</f>
        <v>100</v>
      </c>
      <c r="V22" s="1558" t="s">
        <v>8</v>
      </c>
      <c r="W22" s="1559">
        <f>J22</f>
        <v>100</v>
      </c>
      <c r="X22" s="1552"/>
      <c r="Y22" s="3409"/>
      <c r="Z22" s="1560" t="str">
        <f>Q22</f>
        <v>楼层</v>
      </c>
      <c r="AA22" s="1561">
        <f t="shared" si="3"/>
        <v>1</v>
      </c>
      <c r="AB22" s="1561">
        <f t="shared" si="4"/>
        <v>1</v>
      </c>
      <c r="AC22" s="1561">
        <f t="shared" si="5"/>
        <v>1</v>
      </c>
    </row>
    <row r="23" spans="1:29" ht="15.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09"/>
      <c r="Q23" s="1557">
        <f>B23</f>
        <v>111</v>
      </c>
      <c r="R23" s="1558" t="s">
        <v>8</v>
      </c>
      <c r="S23" s="1559">
        <f>F23</f>
        <v>100</v>
      </c>
      <c r="T23" s="1558" t="s">
        <v>8</v>
      </c>
      <c r="U23" s="1559">
        <f>H23</f>
        <v>100</v>
      </c>
      <c r="V23" s="1558" t="s">
        <v>8</v>
      </c>
      <c r="W23" s="1559">
        <f>J23</f>
        <v>100</v>
      </c>
      <c r="X23" s="1552"/>
      <c r="Y23" s="3409"/>
      <c r="Z23" s="1560">
        <f>Q23</f>
        <v>111</v>
      </c>
      <c r="AA23" s="1561">
        <f t="shared" si="3"/>
        <v>1</v>
      </c>
      <c r="AB23" s="1561">
        <f t="shared" si="4"/>
        <v>1</v>
      </c>
      <c r="AC23" s="1561">
        <f t="shared" si="5"/>
        <v>1</v>
      </c>
    </row>
    <row r="24" spans="1:29" ht="15.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09"/>
      <c r="Q24" s="1557">
        <f t="shared" ref="Q24:Q36" si="11">B24</f>
        <v>111</v>
      </c>
      <c r="R24" s="1558" t="s">
        <v>8</v>
      </c>
      <c r="S24" s="1559">
        <f>F24</f>
        <v>100</v>
      </c>
      <c r="T24" s="1558" t="s">
        <v>8</v>
      </c>
      <c r="U24" s="1559">
        <f>H24</f>
        <v>100</v>
      </c>
      <c r="V24" s="1558" t="s">
        <v>8</v>
      </c>
      <c r="W24" s="1559">
        <f>J24</f>
        <v>100</v>
      </c>
      <c r="X24" s="1552"/>
      <c r="Y24" s="3409"/>
      <c r="Z24" s="1560">
        <f>Q24</f>
        <v>111</v>
      </c>
      <c r="AA24" s="1561">
        <f t="shared" si="3"/>
        <v>1</v>
      </c>
      <c r="AB24" s="1561">
        <f t="shared" si="4"/>
        <v>1</v>
      </c>
      <c r="AC24" s="1561">
        <f t="shared" si="5"/>
        <v>1</v>
      </c>
    </row>
    <row r="25" spans="1:29" s="1215" customFormat="1" ht="1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09"/>
      <c r="Q25" s="1146">
        <f t="shared" si="11"/>
        <v>111</v>
      </c>
      <c r="R25" s="1553" t="s">
        <v>8</v>
      </c>
      <c r="S25" s="1554">
        <f>F25</f>
        <v>100</v>
      </c>
      <c r="T25" s="1553" t="s">
        <v>8</v>
      </c>
      <c r="U25" s="1554">
        <f>H25</f>
        <v>100</v>
      </c>
      <c r="V25" s="1553" t="s">
        <v>8</v>
      </c>
      <c r="W25" s="1554">
        <f>J25</f>
        <v>100</v>
      </c>
      <c r="X25" s="1555"/>
      <c r="Y25" s="3409"/>
      <c r="Z25" s="1145">
        <f>Q25</f>
        <v>111</v>
      </c>
      <c r="AA25" s="1561">
        <f>D25/F25</f>
        <v>1</v>
      </c>
      <c r="AB25" s="1561">
        <f>D25/H25</f>
        <v>1</v>
      </c>
      <c r="AC25" s="1561">
        <f>D25/J25</f>
        <v>1</v>
      </c>
    </row>
    <row r="26" spans="1:29" ht="15.5">
      <c r="A26" s="2861" t="s">
        <v>2752</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1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1" t="s">
        <v>550</v>
      </c>
      <c r="Z26" s="1560" t="str">
        <f t="shared" ref="Z26:Z36" si="15">Q26</f>
        <v>配套类型</v>
      </c>
      <c r="AA26" s="1561">
        <f t="shared" si="3"/>
        <v>1</v>
      </c>
      <c r="AB26" s="1561">
        <f t="shared" si="4"/>
        <v>1</v>
      </c>
      <c r="AC26" s="1561">
        <f t="shared" si="5"/>
        <v>1</v>
      </c>
    </row>
    <row r="27" spans="1:29" s="1334" customFormat="1" ht="15.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11"/>
      <c r="Q27" s="1589" t="str">
        <f t="shared" si="11"/>
        <v>项目停车位配比</v>
      </c>
      <c r="R27" s="1562" t="s">
        <v>8</v>
      </c>
      <c r="S27" s="1563">
        <f t="shared" si="12"/>
        <v>100</v>
      </c>
      <c r="T27" s="1562" t="s">
        <v>8</v>
      </c>
      <c r="U27" s="1563">
        <f t="shared" si="13"/>
        <v>100</v>
      </c>
      <c r="V27" s="1562" t="s">
        <v>8</v>
      </c>
      <c r="W27" s="1563">
        <f t="shared" si="14"/>
        <v>100</v>
      </c>
      <c r="X27" s="1564"/>
      <c r="Y27" s="3411"/>
      <c r="Z27" s="1565" t="str">
        <f t="shared" si="15"/>
        <v>项目停车位配比</v>
      </c>
      <c r="AA27" s="1561">
        <f t="shared" si="3"/>
        <v>1</v>
      </c>
      <c r="AB27" s="1561">
        <f t="shared" si="4"/>
        <v>1</v>
      </c>
      <c r="AC27" s="1561">
        <f t="shared" si="5"/>
        <v>1</v>
      </c>
    </row>
    <row r="28" spans="1:29" ht="15.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11"/>
      <c r="Q28" s="1557" t="str">
        <f t="shared" si="11"/>
        <v>公共部分装修</v>
      </c>
      <c r="R28" s="1558" t="s">
        <v>8</v>
      </c>
      <c r="S28" s="1559">
        <f t="shared" si="12"/>
        <v>100</v>
      </c>
      <c r="T28" s="1558" t="s">
        <v>8</v>
      </c>
      <c r="U28" s="1559">
        <f t="shared" si="13"/>
        <v>100</v>
      </c>
      <c r="V28" s="1558" t="s">
        <v>8</v>
      </c>
      <c r="W28" s="1559">
        <f t="shared" si="14"/>
        <v>100</v>
      </c>
      <c r="X28" s="1552"/>
      <c r="Y28" s="3411"/>
      <c r="Z28" s="1560" t="str">
        <f t="shared" si="15"/>
        <v>公共部分装修</v>
      </c>
      <c r="AA28" s="1561">
        <f t="shared" si="3"/>
        <v>1</v>
      </c>
      <c r="AB28" s="1561">
        <f t="shared" si="4"/>
        <v>1</v>
      </c>
      <c r="AC28" s="1561">
        <f t="shared" si="5"/>
        <v>1</v>
      </c>
    </row>
    <row r="29" spans="1:29" ht="15.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11"/>
      <c r="Q29" s="1557" t="str">
        <f t="shared" si="11"/>
        <v>成新率</v>
      </c>
      <c r="R29" s="1558" t="s">
        <v>8</v>
      </c>
      <c r="S29" s="1559" t="e">
        <f t="shared" si="12"/>
        <v>#N/A</v>
      </c>
      <c r="T29" s="1558" t="s">
        <v>8</v>
      </c>
      <c r="U29" s="1559" t="e">
        <f t="shared" si="13"/>
        <v>#N/A</v>
      </c>
      <c r="V29" s="1558" t="s">
        <v>8</v>
      </c>
      <c r="W29" s="1559" t="e">
        <f t="shared" si="14"/>
        <v>#N/A</v>
      </c>
      <c r="X29" s="1552"/>
      <c r="Y29" s="3411"/>
      <c r="Z29" s="1560" t="str">
        <f t="shared" si="15"/>
        <v>成新率</v>
      </c>
      <c r="AA29" s="1561" t="e">
        <f t="shared" si="3"/>
        <v>#N/A</v>
      </c>
      <c r="AB29" s="1561" t="e">
        <f t="shared" si="4"/>
        <v>#N/A</v>
      </c>
      <c r="AC29" s="1561" t="e">
        <f t="shared" si="5"/>
        <v>#N/A</v>
      </c>
    </row>
    <row r="30" spans="1:29" ht="15.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11"/>
      <c r="Q30" s="1557" t="str">
        <f t="shared" si="11"/>
        <v>物业等级</v>
      </c>
      <c r="R30" s="1558" t="s">
        <v>8</v>
      </c>
      <c r="S30" s="1559">
        <f t="shared" si="12"/>
        <v>100</v>
      </c>
      <c r="T30" s="1558" t="s">
        <v>8</v>
      </c>
      <c r="U30" s="1559">
        <f t="shared" si="13"/>
        <v>100</v>
      </c>
      <c r="V30" s="1558" t="s">
        <v>8</v>
      </c>
      <c r="W30" s="1559">
        <f t="shared" si="14"/>
        <v>100</v>
      </c>
      <c r="X30" s="1552"/>
      <c r="Y30" s="3411"/>
      <c r="Z30" s="1560" t="str">
        <f t="shared" si="15"/>
        <v>物业等级</v>
      </c>
      <c r="AA30" s="1561">
        <f t="shared" si="3"/>
        <v>1</v>
      </c>
      <c r="AB30" s="1561">
        <f t="shared" si="4"/>
        <v>1</v>
      </c>
      <c r="AC30" s="1561">
        <f t="shared" si="5"/>
        <v>1</v>
      </c>
    </row>
    <row r="31" spans="1:29" s="1215" customFormat="1" ht="15.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11"/>
      <c r="Q31" s="1146" t="str">
        <f t="shared" si="11"/>
        <v>停车位面积</v>
      </c>
      <c r="R31" s="1553" t="s">
        <v>8</v>
      </c>
      <c r="S31" s="1554" t="e">
        <f t="shared" si="12"/>
        <v>#N/A</v>
      </c>
      <c r="T31" s="1553" t="s">
        <v>8</v>
      </c>
      <c r="U31" s="1554" t="e">
        <f t="shared" si="13"/>
        <v>#N/A</v>
      </c>
      <c r="V31" s="1553" t="s">
        <v>8</v>
      </c>
      <c r="W31" s="1554" t="e">
        <f t="shared" si="14"/>
        <v>#N/A</v>
      </c>
      <c r="X31" s="1555"/>
      <c r="Y31" s="3411"/>
      <c r="Z31" s="1145" t="str">
        <f t="shared" si="15"/>
        <v>停车位面积</v>
      </c>
      <c r="AA31" s="1556" t="e">
        <f t="shared" si="3"/>
        <v>#N/A</v>
      </c>
      <c r="AB31" s="1556" t="e">
        <f t="shared" si="4"/>
        <v>#N/A</v>
      </c>
      <c r="AC31" s="1556" t="e">
        <f t="shared" si="5"/>
        <v>#N/A</v>
      </c>
    </row>
    <row r="32" spans="1:29" ht="15.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11" t="s">
        <v>550</v>
      </c>
      <c r="Q32" s="1557" t="str">
        <f t="shared" si="11"/>
        <v>车位类型</v>
      </c>
      <c r="R32" s="1558" t="s">
        <v>8</v>
      </c>
      <c r="S32" s="1559">
        <f t="shared" si="12"/>
        <v>100</v>
      </c>
      <c r="T32" s="1558" t="s">
        <v>8</v>
      </c>
      <c r="U32" s="1559">
        <f t="shared" si="13"/>
        <v>100</v>
      </c>
      <c r="V32" s="1558" t="s">
        <v>8</v>
      </c>
      <c r="W32" s="1559">
        <f t="shared" si="14"/>
        <v>100</v>
      </c>
      <c r="X32" s="1552"/>
      <c r="Y32" s="3411" t="s">
        <v>550</v>
      </c>
      <c r="Z32" s="1560" t="str">
        <f t="shared" si="15"/>
        <v>车位类型</v>
      </c>
      <c r="AA32" s="1561">
        <f t="shared" si="3"/>
        <v>1</v>
      </c>
      <c r="AB32" s="1561">
        <f t="shared" si="4"/>
        <v>1</v>
      </c>
      <c r="AC32" s="1561">
        <f t="shared" si="5"/>
        <v>1</v>
      </c>
    </row>
    <row r="33" spans="1:29" ht="15.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11"/>
      <c r="Q33" s="1557" t="str">
        <f t="shared" si="11"/>
        <v>是否直接入户</v>
      </c>
      <c r="R33" s="1558" t="s">
        <v>8</v>
      </c>
      <c r="S33" s="1559">
        <f t="shared" si="12"/>
        <v>100</v>
      </c>
      <c r="T33" s="1558" t="s">
        <v>8</v>
      </c>
      <c r="U33" s="1559">
        <f t="shared" si="13"/>
        <v>100</v>
      </c>
      <c r="V33" s="1558" t="s">
        <v>8</v>
      </c>
      <c r="W33" s="1559">
        <f t="shared" si="14"/>
        <v>100</v>
      </c>
      <c r="X33" s="1552"/>
      <c r="Y33" s="3411"/>
      <c r="Z33" s="1560" t="str">
        <f t="shared" si="15"/>
        <v>是否直接入户</v>
      </c>
      <c r="AA33" s="1561">
        <f t="shared" si="3"/>
        <v>1</v>
      </c>
      <c r="AB33" s="1561">
        <f t="shared" si="4"/>
        <v>1</v>
      </c>
      <c r="AC33" s="1561">
        <f t="shared" si="5"/>
        <v>1</v>
      </c>
    </row>
    <row r="34" spans="1:29" ht="15.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11"/>
      <c r="Q34" s="1557">
        <f t="shared" si="11"/>
        <v>111</v>
      </c>
      <c r="R34" s="1558" t="s">
        <v>8</v>
      </c>
      <c r="S34" s="1559">
        <f t="shared" si="12"/>
        <v>100</v>
      </c>
      <c r="T34" s="1558" t="s">
        <v>8</v>
      </c>
      <c r="U34" s="1559">
        <f t="shared" si="13"/>
        <v>100</v>
      </c>
      <c r="V34" s="1558" t="s">
        <v>8</v>
      </c>
      <c r="W34" s="1559">
        <f t="shared" si="14"/>
        <v>100</v>
      </c>
      <c r="X34" s="1552"/>
      <c r="Y34" s="3411"/>
      <c r="Z34" s="1560">
        <f t="shared" si="15"/>
        <v>111</v>
      </c>
      <c r="AA34" s="1561">
        <f t="shared" si="3"/>
        <v>1</v>
      </c>
      <c r="AB34" s="1561">
        <f t="shared" si="4"/>
        <v>1</v>
      </c>
      <c r="AC34" s="1561">
        <f t="shared" si="5"/>
        <v>1</v>
      </c>
    </row>
    <row r="35" spans="1:29" s="1334" customFormat="1" ht="15.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11"/>
      <c r="Q35" s="1589">
        <f t="shared" si="11"/>
        <v>111</v>
      </c>
      <c r="R35" s="1562" t="s">
        <v>8</v>
      </c>
      <c r="S35" s="1563">
        <f t="shared" si="12"/>
        <v>100</v>
      </c>
      <c r="T35" s="1562" t="s">
        <v>8</v>
      </c>
      <c r="U35" s="1563">
        <f t="shared" si="13"/>
        <v>100</v>
      </c>
      <c r="V35" s="1562" t="s">
        <v>8</v>
      </c>
      <c r="W35" s="1563">
        <f t="shared" si="14"/>
        <v>100</v>
      </c>
      <c r="X35" s="1564"/>
      <c r="Y35" s="3411"/>
      <c r="Z35" s="1565">
        <f t="shared" si="15"/>
        <v>111</v>
      </c>
      <c r="AA35" s="1561">
        <f t="shared" si="3"/>
        <v>1</v>
      </c>
      <c r="AB35" s="1561">
        <f t="shared" si="4"/>
        <v>1</v>
      </c>
      <c r="AC35" s="1561">
        <f t="shared" si="5"/>
        <v>1</v>
      </c>
    </row>
    <row r="36" spans="1:29" ht="1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11"/>
      <c r="Q36" s="1557">
        <f t="shared" si="11"/>
        <v>111</v>
      </c>
      <c r="R36" s="1558" t="s">
        <v>8</v>
      </c>
      <c r="S36" s="1559">
        <f t="shared" si="12"/>
        <v>100</v>
      </c>
      <c r="T36" s="1558" t="s">
        <v>8</v>
      </c>
      <c r="U36" s="1559">
        <f t="shared" si="13"/>
        <v>100</v>
      </c>
      <c r="V36" s="1558" t="s">
        <v>8</v>
      </c>
      <c r="W36" s="1559">
        <f t="shared" si="14"/>
        <v>100</v>
      </c>
      <c r="X36" s="1552"/>
      <c r="Y36" s="3411"/>
      <c r="Z36" s="1560">
        <f t="shared" si="15"/>
        <v>111</v>
      </c>
      <c r="AA36" s="1561">
        <f t="shared" si="3"/>
        <v>1</v>
      </c>
      <c r="AB36" s="1561">
        <f t="shared" si="4"/>
        <v>1</v>
      </c>
      <c r="AC36" s="1561">
        <f t="shared" si="5"/>
        <v>1</v>
      </c>
    </row>
    <row r="37" spans="1:29">
      <c r="A37" s="1830" t="s">
        <v>2075</v>
      </c>
      <c r="B37" s="1831" t="s">
        <v>2076</v>
      </c>
      <c r="C37" s="2590" t="s">
        <v>1</v>
      </c>
      <c r="D37" s="2591"/>
      <c r="E37" s="2592"/>
      <c r="F37" s="2593"/>
      <c r="G37" s="2594"/>
      <c r="H37" s="2595"/>
      <c r="I37" s="2592"/>
      <c r="J37" s="2595"/>
      <c r="K37" s="1595"/>
      <c r="L37" s="2128"/>
      <c r="M37" s="2129"/>
      <c r="N37" s="2118"/>
      <c r="O37" s="2129"/>
      <c r="P37" s="3374" t="str">
        <f>A37</f>
        <v>成交单价</v>
      </c>
      <c r="Q37" s="3374"/>
      <c r="R37" s="3491">
        <f>E37</f>
        <v>0</v>
      </c>
      <c r="S37" s="3491"/>
      <c r="T37" s="3491">
        <f>G37</f>
        <v>0</v>
      </c>
      <c r="U37" s="3491"/>
      <c r="V37" s="3491">
        <f>I37</f>
        <v>0</v>
      </c>
      <c r="W37" s="3491"/>
      <c r="X37" s="1544"/>
      <c r="Y37" s="1566"/>
      <c r="Z37" s="1544"/>
      <c r="AA37" s="1544"/>
      <c r="AB37" s="1544"/>
      <c r="AC37" s="1544"/>
    </row>
    <row r="38" spans="1:29" ht="14.5" thickBot="1">
      <c r="A38" s="614" t="s">
        <v>2757</v>
      </c>
      <c r="B38" s="887"/>
      <c r="C38" s="2596" t="e">
        <f>R39</f>
        <v>#DIV/0!</v>
      </c>
      <c r="D38" s="2597"/>
      <c r="E38" s="2598" t="e">
        <f>R38</f>
        <v>#DIV/0!</v>
      </c>
      <c r="F38" s="2598"/>
      <c r="G38" s="2596" t="e">
        <f>T38</f>
        <v>#DIV/0!</v>
      </c>
      <c r="H38" s="2597"/>
      <c r="I38" s="2598" t="e">
        <f>V38</f>
        <v>#DIV/0!</v>
      </c>
      <c r="J38" s="2597"/>
      <c r="K38" s="1596"/>
      <c r="L38" s="2128"/>
      <c r="M38" s="2129"/>
      <c r="N38" s="2129"/>
      <c r="O38" s="2129"/>
      <c r="P38" s="3374" t="str">
        <f>A38</f>
        <v>比较价格（元/平方米）</v>
      </c>
      <c r="Q38" s="3374"/>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4"/>
      <c r="Y38" s="1544"/>
      <c r="Z38" s="1544"/>
      <c r="AA38" s="1544"/>
      <c r="AB38" s="1544"/>
      <c r="AC38" s="1544"/>
    </row>
    <row r="39" spans="1:29" ht="14.5" thickBot="1">
      <c r="A39" s="620" t="s">
        <v>2933</v>
      </c>
      <c r="B39" s="621"/>
      <c r="C39" s="2599" t="e">
        <f>R39</f>
        <v>#DIV/0!</v>
      </c>
      <c r="D39" s="2599"/>
      <c r="E39" s="2599"/>
      <c r="F39" s="2599"/>
      <c r="G39" s="2599"/>
      <c r="H39" s="2599"/>
      <c r="I39" s="2599"/>
      <c r="J39" s="2599"/>
      <c r="K39" s="1597"/>
      <c r="L39" s="2128"/>
      <c r="M39" s="2129"/>
      <c r="N39" s="2129"/>
      <c r="O39" s="2129"/>
      <c r="P39" s="3371" t="str">
        <f>A39</f>
        <v>估价对象XX用房的比较价格（楼面单价，元/平方米）</v>
      </c>
      <c r="Q39" s="3372"/>
      <c r="R39" s="3490" t="e">
        <f>IF(F1="售价",ROUND(AVERAGE(R38:V38),0),ROUND(AVERAGE(R38:V38),1))</f>
        <v>#DIV/0!</v>
      </c>
      <c r="S39" s="3490"/>
      <c r="T39" s="3490"/>
      <c r="U39" s="3490"/>
      <c r="V39" s="3490"/>
      <c r="W39" s="3490"/>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c r="A48" s="644" t="s">
        <v>529</v>
      </c>
      <c r="B48" s="645"/>
      <c r="C48" s="2756" t="str">
        <f>YEAR(C7)&amp;"-"&amp;MONTH(C7)</f>
        <v>2020-2</v>
      </c>
      <c r="D48" s="2758">
        <f>EDATE(C48,-1)</f>
        <v>43831</v>
      </c>
      <c r="E48" s="2758">
        <f t="shared" ref="E48:O48" si="16">EDATE(D48,-1)</f>
        <v>43800</v>
      </c>
      <c r="F48" s="2758">
        <f t="shared" si="16"/>
        <v>43770</v>
      </c>
      <c r="G48" s="2758">
        <f t="shared" si="16"/>
        <v>43739</v>
      </c>
      <c r="H48" s="2758">
        <f t="shared" si="16"/>
        <v>43709</v>
      </c>
      <c r="I48" s="2758">
        <f t="shared" si="16"/>
        <v>43678</v>
      </c>
      <c r="J48" s="2758">
        <f t="shared" si="16"/>
        <v>43647</v>
      </c>
      <c r="K48" s="2758">
        <f t="shared" si="16"/>
        <v>43617</v>
      </c>
      <c r="L48" s="2758">
        <f t="shared" si="16"/>
        <v>43586</v>
      </c>
      <c r="M48" s="2758">
        <f t="shared" si="16"/>
        <v>43556</v>
      </c>
      <c r="N48" s="2758">
        <f t="shared" si="16"/>
        <v>43525</v>
      </c>
      <c r="O48" s="2758">
        <f t="shared" si="16"/>
        <v>43497</v>
      </c>
      <c r="P48" s="2144"/>
      <c r="Q48" s="2145"/>
      <c r="R48" s="2145"/>
      <c r="S48" s="2145"/>
      <c r="T48" s="2145"/>
      <c r="U48" s="2145"/>
      <c r="V48" s="2145"/>
      <c r="W48" s="2145"/>
      <c r="X48" s="2145"/>
      <c r="Y48" s="2145"/>
      <c r="Z48" s="2145"/>
      <c r="AA48" s="2145"/>
      <c r="AB48" s="2145"/>
      <c r="AC48" s="2145"/>
    </row>
    <row r="49" spans="1:29" s="1215" customFormat="1">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4.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4.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4.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8.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4.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4.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4.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4.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4.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4.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4.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4.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4.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4.5" thickTop="1">
      <c r="A65" s="668"/>
      <c r="B65" s="1880" t="s">
        <v>2555</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4.5" thickTop="1">
      <c r="A67" s="668"/>
      <c r="B67" s="2560" t="s">
        <v>2556</v>
      </c>
      <c r="C67" s="2561" t="s">
        <v>2557</v>
      </c>
      <c r="D67" s="2561" t="s">
        <v>2558</v>
      </c>
      <c r="E67" s="2561" t="s">
        <v>2559</v>
      </c>
      <c r="F67" s="2561" t="s">
        <v>2560</v>
      </c>
      <c r="G67" s="2561" t="s">
        <v>2561</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4.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4.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4.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4.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4.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4.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4.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4.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4.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4.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8.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4.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4.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4.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4.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4.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4.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4.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4.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4.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4.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4.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4.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4.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4.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4.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4.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4.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C108" sqref="C108:G113"/>
    </sheetView>
  </sheetViews>
  <sheetFormatPr defaultColWidth="9" defaultRowHeight="14"/>
  <cols>
    <col min="1" max="1" width="10.453125" style="1332" customWidth="1"/>
    <col min="2" max="2" width="15.81640625" style="1332" customWidth="1"/>
    <col min="3" max="3" width="14.36328125" style="1332" customWidth="1"/>
    <col min="4" max="4" width="12.1796875" style="1332" customWidth="1"/>
    <col min="5" max="5" width="14.36328125" style="1332" customWidth="1"/>
    <col min="6" max="6" width="12.1796875" style="1332" customWidth="1"/>
    <col min="7" max="7" width="14.453125" style="1332" customWidth="1"/>
    <col min="8" max="8" width="12.1796875" style="1332" customWidth="1"/>
    <col min="9" max="9" width="14.453125" style="1332" customWidth="1"/>
    <col min="10" max="10" width="12.1796875" style="1332" customWidth="1"/>
    <col min="11" max="11" width="12.1796875" style="1338" customWidth="1"/>
    <col min="12" max="12" width="12.1796875" style="1339" customWidth="1"/>
    <col min="13" max="15" width="12.1796875" style="1332" customWidth="1"/>
    <col min="16" max="16" width="4.81640625" style="1332" customWidth="1"/>
    <col min="17" max="17" width="19.453125" style="1332" customWidth="1"/>
    <col min="18" max="22" width="6.08984375" style="1332" customWidth="1"/>
    <col min="23" max="23" width="5.81640625" style="1332" customWidth="1"/>
    <col min="24" max="24" width="4.1796875" style="1332" customWidth="1"/>
    <col min="25" max="25" width="3.453125" style="1332" customWidth="1"/>
    <col min="26" max="26" width="19.81640625" style="1332" customWidth="1"/>
    <col min="27" max="28" width="9.3632812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c r="A4" s="511" t="s">
        <v>797</v>
      </c>
      <c r="B4" s="512"/>
      <c r="C4" s="3380" t="s">
        <v>798</v>
      </c>
      <c r="D4" s="3381"/>
      <c r="E4" s="3414" t="s">
        <v>799</v>
      </c>
      <c r="F4" s="3415"/>
      <c r="G4" s="3380" t="s">
        <v>800</v>
      </c>
      <c r="H4" s="3381"/>
      <c r="I4" s="3380" t="s">
        <v>801</v>
      </c>
      <c r="J4" s="3381"/>
      <c r="K4" s="513" t="s">
        <v>802</v>
      </c>
      <c r="L4" s="2117"/>
      <c r="M4" s="2118"/>
      <c r="N4" s="2118"/>
      <c r="O4" s="2118"/>
      <c r="P4" s="3382" t="s">
        <v>803</v>
      </c>
      <c r="Q4" s="3383"/>
      <c r="R4" s="3388" t="s">
        <v>799</v>
      </c>
      <c r="S4" s="3389"/>
      <c r="T4" s="3388" t="s">
        <v>800</v>
      </c>
      <c r="U4" s="3389"/>
      <c r="V4" s="3375" t="s">
        <v>801</v>
      </c>
      <c r="W4" s="3375"/>
      <c r="X4" s="1552"/>
      <c r="Y4" s="3388" t="s">
        <v>803</v>
      </c>
      <c r="Z4" s="3389"/>
      <c r="AA4" s="3377" t="s">
        <v>799</v>
      </c>
      <c r="AB4" s="3378" t="s">
        <v>800</v>
      </c>
      <c r="AC4" s="3377" t="s">
        <v>801</v>
      </c>
    </row>
    <row r="5" spans="1:29">
      <c r="A5" s="514"/>
      <c r="B5" s="515"/>
      <c r="C5" s="3396" t="s">
        <v>2927</v>
      </c>
      <c r="D5" s="3397"/>
      <c r="E5" s="3416" t="s">
        <v>2928</v>
      </c>
      <c r="F5" s="3417"/>
      <c r="G5" s="3396" t="s">
        <v>2929</v>
      </c>
      <c r="H5" s="3397"/>
      <c r="I5" s="3396" t="s">
        <v>2930</v>
      </c>
      <c r="J5" s="3397"/>
      <c r="K5" s="513"/>
      <c r="L5" s="2117"/>
      <c r="M5" s="2118"/>
      <c r="N5" s="2118"/>
      <c r="O5" s="2118"/>
      <c r="P5" s="3384"/>
      <c r="Q5" s="3385"/>
      <c r="R5" s="3390"/>
      <c r="S5" s="3391"/>
      <c r="T5" s="3390"/>
      <c r="U5" s="3391"/>
      <c r="V5" s="3375"/>
      <c r="W5" s="3375"/>
      <c r="X5" s="1552"/>
      <c r="Y5" s="3390"/>
      <c r="Z5" s="3391"/>
      <c r="AA5" s="3378"/>
      <c r="AB5" s="3378"/>
      <c r="AC5" s="3378"/>
    </row>
    <row r="6" spans="1:29" ht="15" thickBot="1">
      <c r="A6" s="516"/>
      <c r="B6" s="517"/>
      <c r="C6" s="3394" t="s">
        <v>2931</v>
      </c>
      <c r="D6" s="3395"/>
      <c r="E6" s="3412" t="s">
        <v>2931</v>
      </c>
      <c r="F6" s="3413"/>
      <c r="G6" s="3394" t="s">
        <v>2931</v>
      </c>
      <c r="H6" s="3395"/>
      <c r="I6" s="3394" t="s">
        <v>2931</v>
      </c>
      <c r="J6" s="3395"/>
      <c r="K6" s="513" t="s">
        <v>528</v>
      </c>
      <c r="L6" s="2117"/>
      <c r="M6" s="2118"/>
      <c r="N6" s="2118"/>
      <c r="O6" s="2118"/>
      <c r="P6" s="3386"/>
      <c r="Q6" s="3387"/>
      <c r="R6" s="3390"/>
      <c r="S6" s="3391"/>
      <c r="T6" s="3392"/>
      <c r="U6" s="3393"/>
      <c r="V6" s="3375"/>
      <c r="W6" s="3375"/>
      <c r="X6" s="1552"/>
      <c r="Y6" s="3392"/>
      <c r="Z6" s="3393"/>
      <c r="AA6" s="3379"/>
      <c r="AB6" s="3379"/>
      <c r="AC6" s="3379"/>
    </row>
    <row r="7" spans="1:29" s="1215" customFormat="1" ht="14.5" thickBot="1">
      <c r="A7" s="2866"/>
      <c r="B7" s="2873" t="s">
        <v>529</v>
      </c>
      <c r="C7" s="518">
        <f>'数据-取费表'!B2</f>
        <v>43873</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05" t="s">
        <v>530</v>
      </c>
      <c r="Q7" s="3407"/>
      <c r="R7" s="1553" t="s">
        <v>8</v>
      </c>
      <c r="S7" s="1554">
        <f t="shared" ref="S7:S14" si="0">F7</f>
        <v>0</v>
      </c>
      <c r="T7" s="1553" t="s">
        <v>8</v>
      </c>
      <c r="U7" s="1554">
        <f t="shared" ref="U7:U14" si="1">H7</f>
        <v>0</v>
      </c>
      <c r="V7" s="1553" t="s">
        <v>8</v>
      </c>
      <c r="W7" s="1554">
        <f t="shared" ref="W7:W14" si="2">J7</f>
        <v>0</v>
      </c>
      <c r="X7" s="1555"/>
      <c r="Y7" s="3405" t="s">
        <v>530</v>
      </c>
      <c r="Z7" s="3406"/>
      <c r="AA7" s="1556" t="e">
        <f>D7/F7</f>
        <v>#DIV/0!</v>
      </c>
      <c r="AB7" s="1556" t="e">
        <f>D7/H7</f>
        <v>#DIV/0!</v>
      </c>
      <c r="AC7" s="1556" t="e">
        <f>D7/J7</f>
        <v>#DIV/0!</v>
      </c>
    </row>
    <row r="8" spans="1:29" s="1215" customFormat="1" ht="14.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34" si="3">D8/F8</f>
        <v>#DIV/0!</v>
      </c>
      <c r="AB8" s="1556" t="e">
        <f t="shared" ref="AB8:AB34" si="4">D8/H8</f>
        <v>#DIV/0!</v>
      </c>
      <c r="AC8" s="1556" t="e">
        <f t="shared" ref="AC8:AC34" si="5">D8/J8</f>
        <v>#DIV/0!</v>
      </c>
    </row>
    <row r="9" spans="1:29" s="1215" customFormat="1">
      <c r="A9" s="2868"/>
      <c r="B9" s="2875" t="s">
        <v>2753</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74" t="s">
        <v>535</v>
      </c>
      <c r="Q9" s="1146" t="str">
        <f t="shared" ref="Q9:Q14" si="6">B9</f>
        <v>用途</v>
      </c>
      <c r="R9" s="1553" t="s">
        <v>8</v>
      </c>
      <c r="S9" s="1554">
        <f t="shared" si="0"/>
        <v>100</v>
      </c>
      <c r="T9" s="1553" t="s">
        <v>8</v>
      </c>
      <c r="U9" s="1554">
        <f t="shared" si="1"/>
        <v>100</v>
      </c>
      <c r="V9" s="1553" t="s">
        <v>8</v>
      </c>
      <c r="W9" s="1554">
        <f t="shared" si="2"/>
        <v>100</v>
      </c>
      <c r="X9" s="1555"/>
      <c r="Y9" s="3320" t="s">
        <v>536</v>
      </c>
      <c r="Z9" s="1145" t="str">
        <f t="shared" ref="Z9:Z14" si="7">Q9</f>
        <v>用途</v>
      </c>
      <c r="AA9" s="1556">
        <f t="shared" si="3"/>
        <v>1</v>
      </c>
      <c r="AB9" s="1556">
        <f t="shared" si="4"/>
        <v>1</v>
      </c>
      <c r="AC9" s="1556">
        <f t="shared" si="5"/>
        <v>1</v>
      </c>
    </row>
    <row r="10" spans="1:29" s="1333" customFormat="1" ht="28">
      <c r="A10" s="2869"/>
      <c r="B10" s="2874" t="s">
        <v>2754</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74"/>
      <c r="Q10" s="1146" t="str">
        <f t="shared" si="6"/>
        <v>土地使用年限（年）</v>
      </c>
      <c r="R10" s="1553" t="s">
        <v>8</v>
      </c>
      <c r="S10" s="1554">
        <f t="shared" si="0"/>
        <v>100</v>
      </c>
      <c r="T10" s="1553" t="s">
        <v>8</v>
      </c>
      <c r="U10" s="1554">
        <f t="shared" si="1"/>
        <v>100</v>
      </c>
      <c r="V10" s="1553" t="s">
        <v>8</v>
      </c>
      <c r="W10" s="1554">
        <f t="shared" si="2"/>
        <v>100</v>
      </c>
      <c r="X10" s="1555"/>
      <c r="Y10" s="3320"/>
      <c r="Z10" s="1145" t="str">
        <f t="shared" si="7"/>
        <v>土地使用年限（年）</v>
      </c>
      <c r="AA10" s="1556">
        <f t="shared" si="3"/>
        <v>1</v>
      </c>
      <c r="AB10" s="1556">
        <f t="shared" si="4"/>
        <v>1</v>
      </c>
      <c r="AC10" s="1556">
        <f t="shared" si="5"/>
        <v>1</v>
      </c>
    </row>
    <row r="11" spans="1:29" ht="15.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74"/>
      <c r="Q11" s="1146">
        <f t="shared" si="6"/>
        <v>111</v>
      </c>
      <c r="R11" s="1553" t="s">
        <v>8</v>
      </c>
      <c r="S11" s="1554">
        <f t="shared" si="0"/>
        <v>100</v>
      </c>
      <c r="T11" s="1553" t="s">
        <v>8</v>
      </c>
      <c r="U11" s="1554">
        <f t="shared" si="1"/>
        <v>100</v>
      </c>
      <c r="V11" s="1553" t="s">
        <v>8</v>
      </c>
      <c r="W11" s="1554">
        <f t="shared" si="2"/>
        <v>100</v>
      </c>
      <c r="X11" s="1555"/>
      <c r="Y11" s="3320"/>
      <c r="Z11" s="1145">
        <f t="shared" si="7"/>
        <v>111</v>
      </c>
      <c r="AA11" s="1556">
        <f t="shared" si="3"/>
        <v>1</v>
      </c>
      <c r="AB11" s="1556">
        <f t="shared" si="4"/>
        <v>1</v>
      </c>
      <c r="AC11" s="1556">
        <f t="shared" si="5"/>
        <v>1</v>
      </c>
    </row>
    <row r="12" spans="1:29" s="1215" customFormat="1" ht="15.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74"/>
      <c r="Q12" s="1146">
        <f t="shared" si="6"/>
        <v>111</v>
      </c>
      <c r="R12" s="1553" t="s">
        <v>8</v>
      </c>
      <c r="S12" s="1554">
        <f t="shared" si="0"/>
        <v>100</v>
      </c>
      <c r="T12" s="1553" t="s">
        <v>8</v>
      </c>
      <c r="U12" s="1554">
        <f t="shared" si="1"/>
        <v>100</v>
      </c>
      <c r="V12" s="1553" t="s">
        <v>8</v>
      </c>
      <c r="W12" s="1554">
        <f t="shared" si="2"/>
        <v>100</v>
      </c>
      <c r="X12" s="1555"/>
      <c r="Y12" s="3320"/>
      <c r="Z12" s="1145">
        <f t="shared" si="7"/>
        <v>111</v>
      </c>
      <c r="AA12" s="1556">
        <f>D12/F12</f>
        <v>1</v>
      </c>
      <c r="AB12" s="1556">
        <f>D12/H12</f>
        <v>1</v>
      </c>
      <c r="AC12" s="1556">
        <f>D12/J12</f>
        <v>1</v>
      </c>
    </row>
    <row r="13" spans="1:29" ht="16"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74"/>
      <c r="Q13" s="1146">
        <f t="shared" si="6"/>
        <v>111</v>
      </c>
      <c r="R13" s="1553" t="s">
        <v>8</v>
      </c>
      <c r="S13" s="1554">
        <f t="shared" si="0"/>
        <v>100</v>
      </c>
      <c r="T13" s="1553" t="s">
        <v>8</v>
      </c>
      <c r="U13" s="1554">
        <f t="shared" si="1"/>
        <v>100</v>
      </c>
      <c r="V13" s="1553" t="s">
        <v>8</v>
      </c>
      <c r="W13" s="1554">
        <f t="shared" si="2"/>
        <v>100</v>
      </c>
      <c r="X13" s="1555"/>
      <c r="Y13" s="3320"/>
      <c r="Z13" s="1145">
        <f t="shared" si="7"/>
        <v>111</v>
      </c>
      <c r="AA13" s="1556">
        <f t="shared" si="3"/>
        <v>1</v>
      </c>
      <c r="AB13" s="1556">
        <f t="shared" si="4"/>
        <v>1</v>
      </c>
      <c r="AC13" s="1556">
        <f t="shared" si="5"/>
        <v>1</v>
      </c>
    </row>
    <row r="14" spans="1:29" ht="98">
      <c r="A14" s="2864" t="s">
        <v>2751</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08" t="s">
        <v>540</v>
      </c>
      <c r="Q14" s="1557" t="str">
        <f t="shared" si="6"/>
        <v>交通便捷度</v>
      </c>
      <c r="R14" s="1558" t="s">
        <v>8</v>
      </c>
      <c r="S14" s="1559">
        <f t="shared" si="0"/>
        <v>100</v>
      </c>
      <c r="T14" s="1558" t="s">
        <v>8</v>
      </c>
      <c r="U14" s="1559">
        <f t="shared" si="1"/>
        <v>100</v>
      </c>
      <c r="V14" s="1558" t="s">
        <v>8</v>
      </c>
      <c r="W14" s="1559">
        <f t="shared" si="2"/>
        <v>100</v>
      </c>
      <c r="X14" s="1552"/>
      <c r="Y14" s="3408" t="s">
        <v>540</v>
      </c>
      <c r="Z14" s="1560" t="str">
        <f t="shared" si="7"/>
        <v>交通便捷度</v>
      </c>
      <c r="AA14" s="1561">
        <f t="shared" si="3"/>
        <v>1</v>
      </c>
      <c r="AB14" s="1561">
        <f t="shared" si="4"/>
        <v>1</v>
      </c>
      <c r="AC14" s="1561">
        <f t="shared" si="5"/>
        <v>1</v>
      </c>
    </row>
    <row r="15" spans="1:29" ht="15.5">
      <c r="A15" s="531"/>
      <c r="B15" s="868"/>
      <c r="C15" s="575"/>
      <c r="D15" s="554"/>
      <c r="E15" s="575"/>
      <c r="F15" s="556"/>
      <c r="G15" s="575"/>
      <c r="H15" s="558"/>
      <c r="I15" s="575"/>
      <c r="J15" s="554"/>
      <c r="K15" s="898"/>
      <c r="L15" s="2126"/>
      <c r="M15" s="2118"/>
      <c r="N15" s="2118"/>
      <c r="O15" s="2125"/>
      <c r="P15" s="3409"/>
      <c r="Q15" s="1557"/>
      <c r="R15" s="1558"/>
      <c r="S15" s="1559"/>
      <c r="T15" s="1558"/>
      <c r="U15" s="1559"/>
      <c r="V15" s="1558"/>
      <c r="W15" s="1559"/>
      <c r="X15" s="1552"/>
      <c r="Y15" s="3409"/>
      <c r="Z15" s="1560"/>
      <c r="AA15" s="1561">
        <v>1</v>
      </c>
      <c r="AB15" s="1561">
        <v>1</v>
      </c>
      <c r="AC15" s="1561">
        <v>1</v>
      </c>
    </row>
    <row r="16" spans="1:29" ht="42">
      <c r="A16" s="531"/>
      <c r="B16" s="2566"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09"/>
      <c r="Q16" s="1557" t="str">
        <f>B16</f>
        <v>公共配套设施</v>
      </c>
      <c r="R16" s="1558" t="s">
        <v>8</v>
      </c>
      <c r="S16" s="1559">
        <f>F16</f>
        <v>100</v>
      </c>
      <c r="T16" s="1558" t="s">
        <v>8</v>
      </c>
      <c r="U16" s="1559">
        <f>H16</f>
        <v>100</v>
      </c>
      <c r="V16" s="1558" t="s">
        <v>8</v>
      </c>
      <c r="W16" s="1559">
        <f>J16</f>
        <v>100</v>
      </c>
      <c r="X16" s="1552"/>
      <c r="Y16" s="3409"/>
      <c r="Z16" s="1560" t="str">
        <f>Q16</f>
        <v>公共配套设施</v>
      </c>
      <c r="AA16" s="1561">
        <f t="shared" si="3"/>
        <v>1</v>
      </c>
      <c r="AB16" s="1561">
        <f t="shared" si="4"/>
        <v>1</v>
      </c>
      <c r="AC16" s="1561">
        <f t="shared" si="5"/>
        <v>1</v>
      </c>
    </row>
    <row r="17" spans="1:29" ht="15.5">
      <c r="A17" s="531"/>
      <c r="B17" s="565"/>
      <c r="C17" s="872"/>
      <c r="D17" s="554"/>
      <c r="E17" s="575"/>
      <c r="F17" s="556"/>
      <c r="G17" s="575"/>
      <c r="H17" s="554"/>
      <c r="I17" s="575"/>
      <c r="J17" s="554"/>
      <c r="K17" s="898"/>
      <c r="L17" s="2126"/>
      <c r="M17" s="2118"/>
      <c r="N17" s="2118"/>
      <c r="O17" s="2125"/>
      <c r="P17" s="3409"/>
      <c r="Q17" s="1557"/>
      <c r="R17" s="1558"/>
      <c r="S17" s="1559"/>
      <c r="T17" s="1558"/>
      <c r="U17" s="1559"/>
      <c r="V17" s="1558"/>
      <c r="W17" s="1559"/>
      <c r="X17" s="1552"/>
      <c r="Y17" s="3409"/>
      <c r="Z17" s="1560"/>
      <c r="AA17" s="1561">
        <v>1</v>
      </c>
      <c r="AB17" s="1561">
        <v>1</v>
      </c>
      <c r="AC17" s="1561">
        <v>1</v>
      </c>
    </row>
    <row r="18" spans="1:29" ht="42">
      <c r="A18" s="531"/>
      <c r="B18" s="2554"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09"/>
      <c r="Q18" s="2542" t="str">
        <f>B18</f>
        <v>基础设施水平</v>
      </c>
      <c r="R18" s="1558" t="s">
        <v>8</v>
      </c>
      <c r="S18" s="1559">
        <f>F18</f>
        <v>100</v>
      </c>
      <c r="T18" s="1558" t="s">
        <v>8</v>
      </c>
      <c r="U18" s="1559">
        <f>H18</f>
        <v>100</v>
      </c>
      <c r="V18" s="1558" t="s">
        <v>8</v>
      </c>
      <c r="W18" s="1559">
        <f>J18</f>
        <v>100</v>
      </c>
      <c r="X18" s="2544"/>
      <c r="Y18" s="3409"/>
      <c r="Z18" s="2543" t="str">
        <f>Q18</f>
        <v>基础设施水平</v>
      </c>
      <c r="AA18" s="1561">
        <f t="shared" ref="AA18" si="8">D18/F18</f>
        <v>1</v>
      </c>
      <c r="AB18" s="1561">
        <f t="shared" ref="AB18" si="9">D18/H18</f>
        <v>1</v>
      </c>
      <c r="AC18" s="1561">
        <f t="shared" ref="AC18" si="10">D18/J18</f>
        <v>1</v>
      </c>
    </row>
    <row r="19" spans="1:29" ht="15.5">
      <c r="A19" s="531"/>
      <c r="B19" s="577"/>
      <c r="C19" s="872"/>
      <c r="D19" s="558"/>
      <c r="E19" s="872"/>
      <c r="F19" s="562"/>
      <c r="G19" s="872"/>
      <c r="H19" s="554"/>
      <c r="I19" s="575"/>
      <c r="J19" s="554"/>
      <c r="K19" s="2565"/>
      <c r="L19" s="2126"/>
      <c r="M19" s="2118"/>
      <c r="N19" s="2118"/>
      <c r="O19" s="2125"/>
      <c r="P19" s="3409"/>
      <c r="Q19" s="2542"/>
      <c r="R19" s="1558"/>
      <c r="S19" s="1559"/>
      <c r="T19" s="1558"/>
      <c r="U19" s="1559"/>
      <c r="V19" s="1558"/>
      <c r="W19" s="1559"/>
      <c r="X19" s="2544"/>
      <c r="Y19" s="3409"/>
      <c r="Z19" s="2543"/>
      <c r="AA19" s="1561">
        <v>1</v>
      </c>
      <c r="AB19" s="1561">
        <v>1</v>
      </c>
      <c r="AC19" s="1561">
        <v>1</v>
      </c>
    </row>
    <row r="20" spans="1:29" ht="56">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09"/>
      <c r="Q20" s="1557" t="str">
        <f>B20</f>
        <v>自然及人文环境</v>
      </c>
      <c r="R20" s="1558" t="s">
        <v>8</v>
      </c>
      <c r="S20" s="1559">
        <f>F20</f>
        <v>100</v>
      </c>
      <c r="T20" s="1558" t="s">
        <v>8</v>
      </c>
      <c r="U20" s="1559">
        <f>H20</f>
        <v>100</v>
      </c>
      <c r="V20" s="1558" t="s">
        <v>8</v>
      </c>
      <c r="W20" s="1559">
        <f>J20</f>
        <v>100</v>
      </c>
      <c r="X20" s="1552"/>
      <c r="Y20" s="3409"/>
      <c r="Z20" s="1560" t="str">
        <f>Q20</f>
        <v>自然及人文环境</v>
      </c>
      <c r="AA20" s="1561">
        <f t="shared" si="3"/>
        <v>1</v>
      </c>
      <c r="AB20" s="1561">
        <f t="shared" si="4"/>
        <v>1</v>
      </c>
      <c r="AC20" s="1561">
        <f t="shared" si="5"/>
        <v>1</v>
      </c>
    </row>
    <row r="21" spans="1:29" ht="15.5">
      <c r="A21" s="531"/>
      <c r="B21" s="594"/>
      <c r="C21" s="575"/>
      <c r="D21" s="554"/>
      <c r="E21" s="575"/>
      <c r="F21" s="556"/>
      <c r="G21" s="575"/>
      <c r="H21" s="554"/>
      <c r="I21" s="575"/>
      <c r="J21" s="554"/>
      <c r="K21" s="898"/>
      <c r="L21" s="2126"/>
      <c r="M21" s="2118"/>
      <c r="N21" s="2118"/>
      <c r="O21" s="2125"/>
      <c r="P21" s="3409"/>
      <c r="Q21" s="1557"/>
      <c r="R21" s="1558"/>
      <c r="S21" s="1559"/>
      <c r="T21" s="1558"/>
      <c r="U21" s="1559"/>
      <c r="V21" s="1558"/>
      <c r="W21" s="1559"/>
      <c r="X21" s="1552"/>
      <c r="Y21" s="3409"/>
      <c r="Z21" s="1560"/>
      <c r="AA21" s="1561">
        <v>1</v>
      </c>
      <c r="AB21" s="1561">
        <v>1</v>
      </c>
      <c r="AC21" s="1561">
        <v>1</v>
      </c>
    </row>
    <row r="22" spans="1:29" ht="15.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09"/>
      <c r="Q22" s="1557" t="str">
        <f>B22</f>
        <v>楼层</v>
      </c>
      <c r="R22" s="1558" t="s">
        <v>8</v>
      </c>
      <c r="S22" s="1559">
        <f>F22</f>
        <v>100</v>
      </c>
      <c r="T22" s="1558" t="s">
        <v>8</v>
      </c>
      <c r="U22" s="1559">
        <f>H22</f>
        <v>100</v>
      </c>
      <c r="V22" s="1558" t="s">
        <v>8</v>
      </c>
      <c r="W22" s="1559">
        <f>J22</f>
        <v>100</v>
      </c>
      <c r="X22" s="1552"/>
      <c r="Y22" s="3409"/>
      <c r="Z22" s="1560" t="str">
        <f>Q22</f>
        <v>楼层</v>
      </c>
      <c r="AA22" s="1561">
        <f t="shared" si="3"/>
        <v>1</v>
      </c>
      <c r="AB22" s="1561">
        <f t="shared" si="4"/>
        <v>1</v>
      </c>
      <c r="AC22" s="1561">
        <f t="shared" si="5"/>
        <v>1</v>
      </c>
    </row>
    <row r="23" spans="1:29" ht="15.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09"/>
      <c r="Q23" s="1557">
        <f>B23</f>
        <v>111</v>
      </c>
      <c r="R23" s="1558" t="s">
        <v>8</v>
      </c>
      <c r="S23" s="1559">
        <f>F23</f>
        <v>100</v>
      </c>
      <c r="T23" s="1558" t="s">
        <v>8</v>
      </c>
      <c r="U23" s="1559">
        <f>H23</f>
        <v>100</v>
      </c>
      <c r="V23" s="1558" t="s">
        <v>8</v>
      </c>
      <c r="W23" s="1559">
        <f>J23</f>
        <v>100</v>
      </c>
      <c r="X23" s="1552"/>
      <c r="Y23" s="3409"/>
      <c r="Z23" s="1560">
        <f>Q23</f>
        <v>111</v>
      </c>
      <c r="AA23" s="1561">
        <f t="shared" si="3"/>
        <v>1</v>
      </c>
      <c r="AB23" s="1561">
        <f t="shared" si="4"/>
        <v>1</v>
      </c>
      <c r="AC23" s="1561">
        <f t="shared" si="5"/>
        <v>1</v>
      </c>
    </row>
    <row r="24" spans="1:29" ht="15.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09"/>
      <c r="Q24" s="1557">
        <f t="shared" ref="Q24:Q34" si="11">B24</f>
        <v>111</v>
      </c>
      <c r="R24" s="1558" t="s">
        <v>8</v>
      </c>
      <c r="S24" s="1559">
        <f>F24</f>
        <v>100</v>
      </c>
      <c r="T24" s="1558" t="s">
        <v>8</v>
      </c>
      <c r="U24" s="1559">
        <f>H24</f>
        <v>100</v>
      </c>
      <c r="V24" s="1558" t="s">
        <v>8</v>
      </c>
      <c r="W24" s="1559">
        <f>J24</f>
        <v>100</v>
      </c>
      <c r="X24" s="1552"/>
      <c r="Y24" s="3409"/>
      <c r="Z24" s="1560">
        <f>Q24</f>
        <v>111</v>
      </c>
      <c r="AA24" s="1561">
        <f t="shared" si="3"/>
        <v>1</v>
      </c>
      <c r="AB24" s="1561">
        <f t="shared" si="4"/>
        <v>1</v>
      </c>
      <c r="AC24" s="1561">
        <f t="shared" si="5"/>
        <v>1</v>
      </c>
    </row>
    <row r="25" spans="1:29" s="1215" customFormat="1" ht="1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09"/>
      <c r="Q25" s="1146">
        <f t="shared" si="11"/>
        <v>111</v>
      </c>
      <c r="R25" s="1553" t="s">
        <v>8</v>
      </c>
      <c r="S25" s="1554">
        <f>F25</f>
        <v>100</v>
      </c>
      <c r="T25" s="1553" t="s">
        <v>8</v>
      </c>
      <c r="U25" s="1554">
        <f>H25</f>
        <v>100</v>
      </c>
      <c r="V25" s="1553" t="s">
        <v>8</v>
      </c>
      <c r="W25" s="1554">
        <f>J25</f>
        <v>100</v>
      </c>
      <c r="X25" s="1555"/>
      <c r="Y25" s="3409"/>
      <c r="Z25" s="1145">
        <f>Q25</f>
        <v>111</v>
      </c>
      <c r="AA25" s="1561">
        <f>D25/F25</f>
        <v>1</v>
      </c>
      <c r="AB25" s="1561">
        <f>D25/H25</f>
        <v>1</v>
      </c>
      <c r="AC25" s="1561">
        <f>D25/J25</f>
        <v>1</v>
      </c>
    </row>
    <row r="26" spans="1:29" ht="15.5">
      <c r="A26" s="2861" t="s">
        <v>2752</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1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1" t="s">
        <v>821</v>
      </c>
      <c r="Z26" s="1560" t="str">
        <f t="shared" ref="Z26:Z34" si="15">Q26</f>
        <v>公共部分装修</v>
      </c>
      <c r="AA26" s="1561">
        <f t="shared" si="3"/>
        <v>1</v>
      </c>
      <c r="AB26" s="1561">
        <f t="shared" si="4"/>
        <v>1</v>
      </c>
      <c r="AC26" s="1561">
        <f t="shared" si="5"/>
        <v>1</v>
      </c>
    </row>
    <row r="27" spans="1:29" s="1334" customFormat="1" ht="15.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11"/>
      <c r="Q27" s="1589" t="str">
        <f t="shared" si="11"/>
        <v>成新率</v>
      </c>
      <c r="R27" s="1562" t="s">
        <v>8</v>
      </c>
      <c r="S27" s="1563" t="e">
        <f t="shared" si="12"/>
        <v>#N/A</v>
      </c>
      <c r="T27" s="1562" t="s">
        <v>8</v>
      </c>
      <c r="U27" s="1563" t="e">
        <f t="shared" si="13"/>
        <v>#N/A</v>
      </c>
      <c r="V27" s="1562" t="s">
        <v>8</v>
      </c>
      <c r="W27" s="1563" t="e">
        <f t="shared" si="14"/>
        <v>#N/A</v>
      </c>
      <c r="X27" s="1564"/>
      <c r="Y27" s="3411"/>
      <c r="Z27" s="1565" t="str">
        <f t="shared" si="15"/>
        <v>成新率</v>
      </c>
      <c r="AA27" s="1561" t="e">
        <f t="shared" si="3"/>
        <v>#N/A</v>
      </c>
      <c r="AB27" s="1561" t="e">
        <f t="shared" si="4"/>
        <v>#N/A</v>
      </c>
      <c r="AC27" s="1561" t="e">
        <f t="shared" si="5"/>
        <v>#N/A</v>
      </c>
    </row>
    <row r="28" spans="1:29" ht="15.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11"/>
      <c r="Q28" s="1557" t="str">
        <f t="shared" si="11"/>
        <v>物业等级</v>
      </c>
      <c r="R28" s="1558" t="s">
        <v>8</v>
      </c>
      <c r="S28" s="1559">
        <f t="shared" si="12"/>
        <v>100</v>
      </c>
      <c r="T28" s="1558" t="s">
        <v>8</v>
      </c>
      <c r="U28" s="1559">
        <f t="shared" si="13"/>
        <v>100</v>
      </c>
      <c r="V28" s="1558" t="s">
        <v>8</v>
      </c>
      <c r="W28" s="1559">
        <f t="shared" si="14"/>
        <v>100</v>
      </c>
      <c r="X28" s="1552"/>
      <c r="Y28" s="3411"/>
      <c r="Z28" s="1560" t="str">
        <f t="shared" si="15"/>
        <v>物业等级</v>
      </c>
      <c r="AA28" s="1561">
        <f t="shared" si="3"/>
        <v>1</v>
      </c>
      <c r="AB28" s="1561">
        <f t="shared" si="4"/>
        <v>1</v>
      </c>
      <c r="AC28" s="1561">
        <f t="shared" si="5"/>
        <v>1</v>
      </c>
    </row>
    <row r="29" spans="1:29" ht="15.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11"/>
      <c r="Q29" s="1557" t="str">
        <f t="shared" si="11"/>
        <v>有无电梯</v>
      </c>
      <c r="R29" s="1558" t="s">
        <v>8</v>
      </c>
      <c r="S29" s="1559">
        <f t="shared" si="12"/>
        <v>100</v>
      </c>
      <c r="T29" s="1558" t="s">
        <v>8</v>
      </c>
      <c r="U29" s="1559">
        <f t="shared" si="13"/>
        <v>100</v>
      </c>
      <c r="V29" s="1558" t="s">
        <v>8</v>
      </c>
      <c r="W29" s="1559">
        <f t="shared" si="14"/>
        <v>100</v>
      </c>
      <c r="X29" s="1552"/>
      <c r="Y29" s="3411"/>
      <c r="Z29" s="1560" t="str">
        <f t="shared" si="15"/>
        <v>有无电梯</v>
      </c>
      <c r="AA29" s="1561">
        <f t="shared" si="3"/>
        <v>1</v>
      </c>
      <c r="AB29" s="1561">
        <f t="shared" si="4"/>
        <v>1</v>
      </c>
      <c r="AC29" s="1561">
        <f t="shared" si="5"/>
        <v>1</v>
      </c>
    </row>
    <row r="30" spans="1:29" ht="15.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11"/>
      <c r="Q30" s="1557" t="str">
        <f t="shared" si="11"/>
        <v>建筑面积</v>
      </c>
      <c r="R30" s="1558" t="s">
        <v>8</v>
      </c>
      <c r="S30" s="1559" t="e">
        <f t="shared" si="12"/>
        <v>#N/A</v>
      </c>
      <c r="T30" s="1558" t="s">
        <v>8</v>
      </c>
      <c r="U30" s="1559" t="e">
        <f t="shared" si="13"/>
        <v>#N/A</v>
      </c>
      <c r="V30" s="1558" t="s">
        <v>8</v>
      </c>
      <c r="W30" s="1559" t="e">
        <f t="shared" si="14"/>
        <v>#N/A</v>
      </c>
      <c r="X30" s="1552"/>
      <c r="Y30" s="3411"/>
      <c r="Z30" s="1560" t="str">
        <f t="shared" si="15"/>
        <v>建筑面积</v>
      </c>
      <c r="AA30" s="1561" t="e">
        <f t="shared" si="3"/>
        <v>#N/A</v>
      </c>
      <c r="AB30" s="1561" t="e">
        <f t="shared" si="4"/>
        <v>#N/A</v>
      </c>
      <c r="AC30" s="1561" t="e">
        <f t="shared" si="5"/>
        <v>#N/A</v>
      </c>
    </row>
    <row r="31" spans="1:29" s="1215" customFormat="1" ht="15.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11"/>
      <c r="Q31" s="1146" t="str">
        <f t="shared" si="11"/>
        <v>是否封闭</v>
      </c>
      <c r="R31" s="1553" t="s">
        <v>8</v>
      </c>
      <c r="S31" s="1554">
        <f t="shared" si="12"/>
        <v>100</v>
      </c>
      <c r="T31" s="1553" t="s">
        <v>8</v>
      </c>
      <c r="U31" s="1554">
        <f t="shared" si="13"/>
        <v>100</v>
      </c>
      <c r="V31" s="1553" t="s">
        <v>8</v>
      </c>
      <c r="W31" s="1554">
        <f t="shared" si="14"/>
        <v>100</v>
      </c>
      <c r="X31" s="1555"/>
      <c r="Y31" s="3411"/>
      <c r="Z31" s="1145" t="str">
        <f t="shared" si="15"/>
        <v>是否封闭</v>
      </c>
      <c r="AA31" s="1556">
        <f t="shared" si="3"/>
        <v>1</v>
      </c>
      <c r="AB31" s="1556">
        <f t="shared" si="4"/>
        <v>1</v>
      </c>
      <c r="AC31" s="1556">
        <f t="shared" si="5"/>
        <v>1</v>
      </c>
    </row>
    <row r="32" spans="1:29" ht="15.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11" t="s">
        <v>550</v>
      </c>
      <c r="Q32" s="1557">
        <f t="shared" si="11"/>
        <v>111</v>
      </c>
      <c r="R32" s="1558" t="s">
        <v>8</v>
      </c>
      <c r="S32" s="1559">
        <f t="shared" si="12"/>
        <v>100</v>
      </c>
      <c r="T32" s="1558" t="s">
        <v>8</v>
      </c>
      <c r="U32" s="1559">
        <f t="shared" si="13"/>
        <v>100</v>
      </c>
      <c r="V32" s="1558" t="s">
        <v>8</v>
      </c>
      <c r="W32" s="1559">
        <f t="shared" si="14"/>
        <v>100</v>
      </c>
      <c r="X32" s="1552"/>
      <c r="Y32" s="3411" t="s">
        <v>550</v>
      </c>
      <c r="Z32" s="1560">
        <f t="shared" si="15"/>
        <v>111</v>
      </c>
      <c r="AA32" s="1561">
        <f t="shared" si="3"/>
        <v>1</v>
      </c>
      <c r="AB32" s="1561">
        <f t="shared" si="4"/>
        <v>1</v>
      </c>
      <c r="AC32" s="1561">
        <f t="shared" si="5"/>
        <v>1</v>
      </c>
    </row>
    <row r="33" spans="1:29" ht="15.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11"/>
      <c r="Q33" s="1557">
        <f t="shared" si="11"/>
        <v>111</v>
      </c>
      <c r="R33" s="1558" t="s">
        <v>8</v>
      </c>
      <c r="S33" s="1559">
        <f t="shared" si="12"/>
        <v>100</v>
      </c>
      <c r="T33" s="1558" t="s">
        <v>8</v>
      </c>
      <c r="U33" s="1559">
        <f t="shared" si="13"/>
        <v>100</v>
      </c>
      <c r="V33" s="1558" t="s">
        <v>8</v>
      </c>
      <c r="W33" s="1559">
        <f t="shared" si="14"/>
        <v>100</v>
      </c>
      <c r="X33" s="1552"/>
      <c r="Y33" s="3411"/>
      <c r="Z33" s="1560">
        <f t="shared" si="15"/>
        <v>111</v>
      </c>
      <c r="AA33" s="1561">
        <f t="shared" si="3"/>
        <v>1</v>
      </c>
      <c r="AB33" s="1561">
        <f t="shared" si="4"/>
        <v>1</v>
      </c>
      <c r="AC33" s="1561">
        <f t="shared" si="5"/>
        <v>1</v>
      </c>
    </row>
    <row r="34" spans="1:29" ht="1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11"/>
      <c r="Q34" s="1557">
        <f t="shared" si="11"/>
        <v>111</v>
      </c>
      <c r="R34" s="1558" t="s">
        <v>8</v>
      </c>
      <c r="S34" s="1559">
        <f t="shared" si="12"/>
        <v>100</v>
      </c>
      <c r="T34" s="1558" t="s">
        <v>8</v>
      </c>
      <c r="U34" s="1559">
        <f t="shared" si="13"/>
        <v>100</v>
      </c>
      <c r="V34" s="1558" t="s">
        <v>8</v>
      </c>
      <c r="W34" s="1559">
        <f t="shared" si="14"/>
        <v>100</v>
      </c>
      <c r="X34" s="1552"/>
      <c r="Y34" s="3411"/>
      <c r="Z34" s="1560">
        <f t="shared" si="15"/>
        <v>111</v>
      </c>
      <c r="AA34" s="1561">
        <f t="shared" si="3"/>
        <v>1</v>
      </c>
      <c r="AB34" s="1561">
        <f t="shared" si="4"/>
        <v>1</v>
      </c>
      <c r="AC34" s="1561">
        <f t="shared" si="5"/>
        <v>1</v>
      </c>
    </row>
    <row r="35" spans="1:29">
      <c r="A35" s="606" t="s">
        <v>736</v>
      </c>
      <c r="B35" s="886"/>
      <c r="C35" s="2590" t="s">
        <v>1</v>
      </c>
      <c r="D35" s="2591"/>
      <c r="E35" s="2592"/>
      <c r="F35" s="2593"/>
      <c r="G35" s="2594"/>
      <c r="H35" s="2595"/>
      <c r="I35" s="2592"/>
      <c r="J35" s="2595"/>
      <c r="K35" s="1595"/>
      <c r="L35" s="2128"/>
      <c r="M35" s="2129"/>
      <c r="N35" s="2118"/>
      <c r="O35" s="2129"/>
      <c r="P35" s="3374" t="str">
        <f>A35</f>
        <v>成交单价（元/平方米）</v>
      </c>
      <c r="Q35" s="3374"/>
      <c r="R35" s="3491">
        <f>E35</f>
        <v>0</v>
      </c>
      <c r="S35" s="3491"/>
      <c r="T35" s="3491">
        <f>G35</f>
        <v>0</v>
      </c>
      <c r="U35" s="3491"/>
      <c r="V35" s="3491">
        <f>I35</f>
        <v>0</v>
      </c>
      <c r="W35" s="3491"/>
      <c r="X35" s="1544"/>
      <c r="Y35" s="1566"/>
      <c r="Z35" s="1544"/>
      <c r="AA35" s="1544"/>
      <c r="AB35" s="1544"/>
      <c r="AC35" s="1544"/>
    </row>
    <row r="36" spans="1:29" ht="14.5" thickBot="1">
      <c r="A36" s="614" t="s">
        <v>2757</v>
      </c>
      <c r="B36" s="887"/>
      <c r="C36" s="2596" t="e">
        <f>R37</f>
        <v>#DIV/0!</v>
      </c>
      <c r="D36" s="2597"/>
      <c r="E36" s="2598" t="e">
        <f>R36</f>
        <v>#DIV/0!</v>
      </c>
      <c r="F36" s="2598"/>
      <c r="G36" s="2596" t="e">
        <f>T36</f>
        <v>#DIV/0!</v>
      </c>
      <c r="H36" s="2597"/>
      <c r="I36" s="2598" t="e">
        <f>V36</f>
        <v>#DIV/0!</v>
      </c>
      <c r="J36" s="2597"/>
      <c r="K36" s="1596"/>
      <c r="L36" s="2128"/>
      <c r="M36" s="2129"/>
      <c r="N36" s="2118"/>
      <c r="O36" s="2129"/>
      <c r="P36" s="3374" t="str">
        <f>A36</f>
        <v>比较价格（元/平方米）</v>
      </c>
      <c r="Q36" s="3374"/>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4"/>
      <c r="Y36" s="1544"/>
      <c r="Z36" s="1544"/>
      <c r="AA36" s="1544"/>
      <c r="AB36" s="1544"/>
      <c r="AC36" s="1544"/>
    </row>
    <row r="37" spans="1:29" ht="14.5" thickBot="1">
      <c r="A37" s="620" t="s">
        <v>2933</v>
      </c>
      <c r="B37" s="621"/>
      <c r="C37" s="2599" t="e">
        <f>R37</f>
        <v>#DIV/0!</v>
      </c>
      <c r="D37" s="2599"/>
      <c r="E37" s="2599"/>
      <c r="F37" s="2599"/>
      <c r="G37" s="2599"/>
      <c r="H37" s="2599"/>
      <c r="I37" s="2599"/>
      <c r="J37" s="2599"/>
      <c r="K37" s="1597"/>
      <c r="L37" s="2128"/>
      <c r="M37" s="2129"/>
      <c r="N37" s="2129"/>
      <c r="O37" s="2129"/>
      <c r="P37" s="3371" t="str">
        <f>A37</f>
        <v>估价对象XX用房的比较价格（楼面单价，元/平方米）</v>
      </c>
      <c r="Q37" s="3372"/>
      <c r="R37" s="3490" t="e">
        <f>IF(F1="售价",ROUND(AVERAGE(R36:V36),0),ROUND(AVERAGE(R36:V36),1))</f>
        <v>#DIV/0!</v>
      </c>
      <c r="S37" s="3490"/>
      <c r="T37" s="3490"/>
      <c r="U37" s="3490"/>
      <c r="V37" s="3490"/>
      <c r="W37" s="3490"/>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c r="A46" s="644" t="s">
        <v>529</v>
      </c>
      <c r="B46" s="645"/>
      <c r="C46" s="2756" t="str">
        <f>YEAR(C7)&amp;"-"&amp;MONTH(C7)</f>
        <v>2020-2</v>
      </c>
      <c r="D46" s="2758">
        <f>EDATE(C46,-1)</f>
        <v>43831</v>
      </c>
      <c r="E46" s="2758">
        <f t="shared" ref="E46:O46" si="16">EDATE(D46,-1)</f>
        <v>43800</v>
      </c>
      <c r="F46" s="2758">
        <f t="shared" si="16"/>
        <v>43770</v>
      </c>
      <c r="G46" s="2758">
        <f t="shared" si="16"/>
        <v>43739</v>
      </c>
      <c r="H46" s="2758">
        <f t="shared" si="16"/>
        <v>43709</v>
      </c>
      <c r="I46" s="2758">
        <f t="shared" si="16"/>
        <v>43678</v>
      </c>
      <c r="J46" s="2758">
        <f t="shared" si="16"/>
        <v>43647</v>
      </c>
      <c r="K46" s="2758">
        <f t="shared" si="16"/>
        <v>43617</v>
      </c>
      <c r="L46" s="2758">
        <f t="shared" si="16"/>
        <v>43586</v>
      </c>
      <c r="M46" s="2758">
        <f t="shared" si="16"/>
        <v>43556</v>
      </c>
      <c r="N46" s="2758">
        <f t="shared" si="16"/>
        <v>43525</v>
      </c>
      <c r="O46" s="2758">
        <f t="shared" si="16"/>
        <v>43497</v>
      </c>
      <c r="P46" s="2144"/>
      <c r="Q46" s="2145"/>
      <c r="R46" s="2145"/>
      <c r="S46" s="2145"/>
      <c r="T46" s="2145"/>
      <c r="U46" s="2145"/>
      <c r="V46" s="2145"/>
      <c r="W46" s="2145"/>
      <c r="X46" s="2145"/>
      <c r="Y46" s="2145"/>
      <c r="Z46" s="2145"/>
      <c r="AA46" s="2145"/>
      <c r="AB46" s="2145"/>
      <c r="AC46" s="2145"/>
    </row>
    <row r="47" spans="1:29" s="1215" customFormat="1">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4.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4.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4.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8.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4.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4.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4.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4.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4.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4.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4.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4.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4.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4.5" thickTop="1">
      <c r="A63" s="668"/>
      <c r="B63" s="1880" t="s">
        <v>2555</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4.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4.5" thickTop="1">
      <c r="A65" s="668"/>
      <c r="B65" s="2560" t="s">
        <v>2556</v>
      </c>
      <c r="C65" s="2561" t="s">
        <v>2557</v>
      </c>
      <c r="D65" s="2561" t="s">
        <v>2558</v>
      </c>
      <c r="E65" s="2561" t="s">
        <v>2559</v>
      </c>
      <c r="F65" s="2561" t="s">
        <v>2560</v>
      </c>
      <c r="G65" s="2561" t="s">
        <v>2561</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4.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4.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4.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4.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4.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4.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4.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4.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4.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4.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4.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4.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4.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4.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4.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4.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4.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4.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4.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4.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4.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4.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4.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4.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4.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4.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4.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A19" workbookViewId="0">
      <selection activeCell="E91" sqref="E91"/>
    </sheetView>
  </sheetViews>
  <sheetFormatPr defaultRowHeight="14"/>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5"/>
  <cols>
    <col min="1" max="1" width="11.453125" style="1245" customWidth="1"/>
    <col min="2" max="2" width="9.1796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2301</v>
      </c>
      <c r="C1" s="3502" t="s">
        <v>2302</v>
      </c>
      <c r="D1" s="3503"/>
      <c r="E1" s="3503"/>
      <c r="F1" s="3503"/>
      <c r="G1" s="3503"/>
      <c r="H1" s="3503"/>
      <c r="I1" s="3503"/>
      <c r="J1" s="3503"/>
      <c r="K1" s="3503"/>
      <c r="L1" s="3503"/>
      <c r="M1" s="3503"/>
      <c r="N1" s="3503"/>
      <c r="O1" s="3503"/>
      <c r="P1" s="3503"/>
      <c r="Q1" s="3503"/>
      <c r="R1" s="3503"/>
      <c r="S1" s="3504"/>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13">
      <c r="A2" s="2219"/>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ht="13">
      <c r="A5" s="2235"/>
      <c r="B5" s="3040" t="s">
        <v>2926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t="13">
      <c r="A7" s="2235"/>
      <c r="B7" s="3042" t="s">
        <v>2925</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ht="13">
      <c r="A9" s="2235"/>
      <c r="B9" s="3042" t="s">
        <v>2924</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ht="13">
      <c r="A11" s="2235"/>
      <c r="B11" s="3040"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ht="13">
      <c r="A13" s="2235"/>
      <c r="B13" s="3040" t="s">
        <v>2923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ht="13">
      <c r="A15" s="2235"/>
      <c r="B15" s="3040" t="s">
        <v>2922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ht="13">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ht="13">
      <c r="A22" s="798" t="s">
        <v>830</v>
      </c>
      <c r="B22" s="53">
        <f>SUM(B24:B10000)</f>
        <v>0</v>
      </c>
      <c r="C22" s="3499" t="s">
        <v>20</v>
      </c>
      <c r="D22" s="3500"/>
      <c r="E22" s="3500"/>
      <c r="F22" s="3500"/>
      <c r="G22" s="3500"/>
      <c r="H22" s="3500"/>
      <c r="I22" s="3500"/>
      <c r="J22" s="3500"/>
      <c r="K22" s="3500"/>
      <c r="L22" s="3500"/>
      <c r="M22" s="3500"/>
      <c r="N22" s="3500"/>
      <c r="O22" s="3500"/>
      <c r="P22" s="3500"/>
      <c r="Q22" s="3501"/>
      <c r="R22" s="489" t="e">
        <f>ROUND(S22*10000/B22,0)</f>
        <v>#DIV/0!</v>
      </c>
      <c r="S22" s="53">
        <f>SUM(S24:S10000)</f>
        <v>0</v>
      </c>
    </row>
    <row r="23" spans="1:45" s="1598" customFormat="1" ht="26">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ht="13">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ht="13">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ht="13">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ht="13">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ht="13">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ht="13">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ht="13">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ht="13">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ht="13">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ht="13">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ht="13">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ht="13">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ht="13">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ht="13">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ht="13">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ht="13">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ht="13">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ht="13">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ht="13">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ht="13">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ht="13">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ht="13">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ht="13">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ht="13">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ht="13">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ht="13">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ht="13">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ht="13">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ht="13">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ht="13">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ht="13">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ht="13">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ht="13">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ht="13">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ht="13">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ht="13">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ht="13">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ht="13">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ht="13">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ht="13">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ht="13">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ht="13">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ht="13">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ht="13">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ht="13">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ht="13">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ht="13">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ht="13">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ht="13">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ht="13">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ht="13">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ht="13">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ht="13">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ht="13">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ht="13">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ht="13">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ht="13">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ht="13">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ht="13">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ht="13">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ht="13">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ht="13">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ht="13">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ht="13">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ht="13">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ht="13">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ht="13">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ht="13">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ht="13">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ht="13">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ht="13">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ht="13">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ht="13">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ht="13">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ht="13">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ht="13">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ht="13">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ht="13">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ht="13">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ht="13">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ht="13">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ht="13">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ht="13">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ht="13">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ht="13">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ht="13">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ht="13">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ht="13">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ht="13">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ht="13">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ht="13">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ht="13">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ht="13">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ht="13">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ht="13">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ht="13">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ht="13">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ht="13">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ht="13">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ht="13">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ht="13">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ht="13">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ht="13">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ht="13">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ht="13">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ht="13">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ht="13">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ht="13">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ht="13">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ht="13">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ht="13">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ht="13">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ht="13">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ht="13">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ht="13">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ht="13">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ht="13">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ht="13">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ht="13">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ht="13">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ht="13">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ht="13">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ht="13">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ht="13">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ht="13">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ht="13">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ht="13">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ht="13">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ht="13">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ht="13">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ht="13">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ht="13">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ht="13">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ht="13">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ht="13">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ht="13">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ht="13">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ht="13">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ht="13">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ht="13">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ht="13">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ht="13">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ht="13">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ht="13">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ht="13">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ht="13">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ht="13">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ht="13">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ht="13">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ht="13">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ht="13">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ht="13">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ht="13">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ht="13">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ht="13">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ht="13">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ht="13">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ht="13">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ht="13">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ht="13">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ht="13">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ht="13">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ht="13">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ht="13">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ht="13">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ht="13">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ht="13">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ht="13">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ht="13">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ht="13">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ht="13">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ht="13">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ht="13">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ht="13">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ht="13">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ht="13">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ht="13">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ht="13">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ht="13">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ht="13">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ht="13">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ht="13">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ht="13">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ht="13">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ht="13">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ht="13">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ht="13">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ht="13">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ht="13">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ht="13">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ht="13">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ht="13">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ht="13">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ht="13">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ht="13">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ht="13">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ht="13">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ht="13">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ht="13">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ht="13">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ht="13">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ht="13">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ht="13">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ht="13">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ht="13">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ht="13">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ht="13">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ht="13">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ht="13">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ht="13">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ht="13">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ht="13">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ht="13">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ht="13">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ht="13">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ht="13">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ht="13">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ht="13">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ht="13">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ht="13">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ht="13">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ht="13">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ht="13">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ht="13">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ht="13">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ht="13">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ht="13">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ht="13">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ht="13">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ht="13">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ht="13">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ht="13">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ht="13">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ht="13">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ht="13">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ht="13">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ht="13">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ht="13">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ht="13">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ht="13">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ht="13">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ht="13">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ht="13">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ht="13">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ht="13">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ht="13">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ht="13">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ht="13">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ht="13">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ht="13">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ht="13">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ht="13">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ht="13">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ht="13">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ht="13">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ht="13">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ht="13">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ht="13">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ht="13">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ht="13">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ht="13">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ht="13">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ht="13">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ht="13">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ht="13">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ht="13">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ht="13">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ht="13">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ht="13">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ht="13">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ht="13">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ht="13">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ht="13">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ht="13">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ht="13">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ht="13">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ht="13">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ht="13">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ht="13">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ht="13">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ht="13">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ht="13">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ht="13">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ht="13">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ht="13">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ht="13">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ht="13">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ht="13">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ht="13">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ht="13">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ht="13">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ht="13">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ht="13">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ht="13">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ht="13">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ht="13">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ht="13">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ht="13">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ht="13">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ht="13">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ht="13">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ht="13">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ht="13">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ht="13">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ht="13">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ht="13">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ht="13">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ht="13">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ht="13">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ht="13">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ht="13">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ht="13">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ht="13">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ht="13">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ht="13">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ht="13">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ht="13">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ht="13">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ht="13">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ht="13">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ht="13">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ht="13">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ht="13">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ht="13">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ht="13">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ht="13">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ht="13">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ht="13">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ht="13">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ht="13">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ht="13">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ht="13">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ht="13">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ht="13">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ht="13">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ht="13">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ht="13">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ht="13">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ht="13">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ht="13">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ht="13">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ht="13">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ht="13">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ht="13">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ht="13">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ht="13">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ht="13">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ht="13">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ht="13">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ht="13">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ht="13">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ht="13">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ht="13">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ht="13">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ht="13">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ht="13">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ht="13">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ht="13">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ht="13">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ht="13">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ht="13">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ht="13">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ht="13">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ht="13">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ht="13">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ht="13">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ht="13">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ht="13">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ht="13">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ht="13">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ht="13">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ht="13">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ht="13">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ht="13">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ht="13">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ht="13">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ht="13">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ht="13">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ht="13">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ht="13">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ht="13">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ht="13">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ht="13">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ht="13">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ht="13">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ht="13">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ht="13">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ht="13">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ht="13">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ht="13">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ht="13">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ht="13">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ht="13">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ht="13">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ht="13">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ht="13">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ht="13">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ht="13">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ht="13">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ht="13">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ht="13">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ht="13">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ht="13">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ht="13">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ht="13">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ht="13">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ht="13">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ht="13">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ht="13">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ht="13">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ht="13">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ht="13">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ht="13">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ht="13">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ht="13">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ht="13">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ht="13">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ht="13">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ht="13">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ht="13">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ht="13">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ht="13">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ht="13">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ht="13">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ht="13">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ht="13">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ht="13">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ht="13">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ht="13">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ht="13">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ht="13">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ht="13">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ht="13">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ht="13">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ht="13">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ht="13">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ht="13">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ht="13">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ht="13">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ht="13">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ht="13">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ht="13">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ht="13">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ht="13">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ht="13">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ht="13">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ht="13">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ht="13">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ht="13">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ht="13">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ht="13">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ht="13">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ht="13">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ht="13">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ht="13">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ht="13">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ht="13">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ht="13">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ht="13">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ht="13">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ht="13">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ht="13">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ht="13">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ht="13">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ht="13">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ht="13">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ht="13">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ht="13">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ht="13">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ht="13">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ht="13">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ht="13">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ht="13">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ht="13">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ht="13">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ht="13">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ht="13">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ht="13">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ht="13">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ht="13">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ht="13">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ht="13">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ht="13">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ht="13">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ht="13">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ht="13">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ht="13">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ht="13">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ht="13">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ht="13">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ht="13">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ht="13">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ht="13">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ht="13">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ht="13">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ht="13">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ht="13">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ht="13">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ht="13">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ht="13">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ht="13">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5" sqref="I5"/>
    </sheetView>
  </sheetViews>
  <sheetFormatPr defaultRowHeight="14"/>
  <cols>
    <col min="1" max="1" width="4.90625" style="2895" customWidth="1"/>
    <col min="2" max="2" width="13.1796875" style="2901" customWidth="1"/>
    <col min="3" max="3" width="15.6328125" style="2901" customWidth="1"/>
    <col min="4" max="4" width="9.36328125" style="2901" bestFit="1" customWidth="1"/>
    <col min="5" max="5" width="13.453125" style="2901" customWidth="1"/>
    <col min="6" max="6" width="9" style="2901"/>
    <col min="7" max="7" width="9.36328125" style="2901" bestFit="1" customWidth="1"/>
    <col min="8" max="9" width="9" style="2901"/>
    <col min="10" max="10" width="9.36328125" style="2901" bestFit="1" customWidth="1"/>
    <col min="11" max="11" width="4" style="2895" customWidth="1"/>
    <col min="12" max="12" width="5.08984375" style="2901" customWidth="1"/>
    <col min="13" max="13" width="13.81640625" style="2901" customWidth="1"/>
    <col min="14" max="256" width="9" style="2901"/>
    <col min="257" max="257" width="4.90625" style="2893" customWidth="1"/>
    <col min="258" max="258" width="13.1796875" style="2893" customWidth="1"/>
    <col min="259" max="259" width="15.6328125" style="2893" customWidth="1"/>
    <col min="260" max="260" width="9.36328125" style="2893" bestFit="1" customWidth="1"/>
    <col min="261" max="261" width="13.453125" style="2893" customWidth="1"/>
    <col min="262" max="262" width="9" style="2893"/>
    <col min="263" max="263" width="9.36328125" style="2893" bestFit="1" customWidth="1"/>
    <col min="264" max="265" width="9" style="2893"/>
    <col min="266" max="266" width="9.36328125" style="2893" bestFit="1" customWidth="1"/>
    <col min="267" max="267" width="4" style="2893" customWidth="1"/>
    <col min="268" max="268" width="5.08984375" style="2893" customWidth="1"/>
    <col min="269" max="269" width="13.81640625" style="2893" customWidth="1"/>
    <col min="270" max="512" width="9" style="2893"/>
    <col min="513" max="513" width="4.90625" style="2893" customWidth="1"/>
    <col min="514" max="514" width="13.1796875" style="2893" customWidth="1"/>
    <col min="515" max="515" width="15.6328125" style="2893" customWidth="1"/>
    <col min="516" max="516" width="9.36328125" style="2893" bestFit="1" customWidth="1"/>
    <col min="517" max="517" width="13.453125" style="2893" customWidth="1"/>
    <col min="518" max="518" width="9" style="2893"/>
    <col min="519" max="519" width="9.36328125" style="2893" bestFit="1" customWidth="1"/>
    <col min="520" max="521" width="9" style="2893"/>
    <col min="522" max="522" width="9.36328125" style="2893" bestFit="1" customWidth="1"/>
    <col min="523" max="523" width="4" style="2893" customWidth="1"/>
    <col min="524" max="524" width="5.08984375" style="2893" customWidth="1"/>
    <col min="525" max="525" width="13.81640625" style="2893" customWidth="1"/>
    <col min="526" max="768" width="9" style="2893"/>
    <col min="769" max="769" width="4.90625" style="2893" customWidth="1"/>
    <col min="770" max="770" width="13.1796875" style="2893" customWidth="1"/>
    <col min="771" max="771" width="15.6328125" style="2893" customWidth="1"/>
    <col min="772" max="772" width="9.36328125" style="2893" bestFit="1" customWidth="1"/>
    <col min="773" max="773" width="13.453125" style="2893" customWidth="1"/>
    <col min="774" max="774" width="9" style="2893"/>
    <col min="775" max="775" width="9.36328125" style="2893" bestFit="1" customWidth="1"/>
    <col min="776" max="777" width="9" style="2893"/>
    <col min="778" max="778" width="9.36328125" style="2893" bestFit="1" customWidth="1"/>
    <col min="779" max="779" width="4" style="2893" customWidth="1"/>
    <col min="780" max="780" width="5.08984375" style="2893" customWidth="1"/>
    <col min="781" max="781" width="13.81640625" style="2893" customWidth="1"/>
    <col min="782" max="1024" width="9" style="2893"/>
    <col min="1025" max="1025" width="4.90625" style="2893" customWidth="1"/>
    <col min="1026" max="1026" width="13.1796875" style="2893" customWidth="1"/>
    <col min="1027" max="1027" width="15.6328125" style="2893" customWidth="1"/>
    <col min="1028" max="1028" width="9.36328125" style="2893" bestFit="1" customWidth="1"/>
    <col min="1029" max="1029" width="13.453125" style="2893" customWidth="1"/>
    <col min="1030" max="1030" width="9" style="2893"/>
    <col min="1031" max="1031" width="9.36328125" style="2893" bestFit="1" customWidth="1"/>
    <col min="1032" max="1033" width="9" style="2893"/>
    <col min="1034" max="1034" width="9.36328125" style="2893" bestFit="1" customWidth="1"/>
    <col min="1035" max="1035" width="4" style="2893" customWidth="1"/>
    <col min="1036" max="1036" width="5.08984375" style="2893" customWidth="1"/>
    <col min="1037" max="1037" width="13.81640625" style="2893" customWidth="1"/>
    <col min="1038" max="1280" width="9" style="2893"/>
    <col min="1281" max="1281" width="4.90625" style="2893" customWidth="1"/>
    <col min="1282" max="1282" width="13.1796875" style="2893" customWidth="1"/>
    <col min="1283" max="1283" width="15.6328125" style="2893" customWidth="1"/>
    <col min="1284" max="1284" width="9.36328125" style="2893" bestFit="1" customWidth="1"/>
    <col min="1285" max="1285" width="13.453125" style="2893" customWidth="1"/>
    <col min="1286" max="1286" width="9" style="2893"/>
    <col min="1287" max="1287" width="9.36328125" style="2893" bestFit="1" customWidth="1"/>
    <col min="1288" max="1289" width="9" style="2893"/>
    <col min="1290" max="1290" width="9.36328125" style="2893" bestFit="1" customWidth="1"/>
    <col min="1291" max="1291" width="4" style="2893" customWidth="1"/>
    <col min="1292" max="1292" width="5.08984375" style="2893" customWidth="1"/>
    <col min="1293" max="1293" width="13.81640625" style="2893" customWidth="1"/>
    <col min="1294" max="1536" width="9" style="2893"/>
    <col min="1537" max="1537" width="4.90625" style="2893" customWidth="1"/>
    <col min="1538" max="1538" width="13.1796875" style="2893" customWidth="1"/>
    <col min="1539" max="1539" width="15.6328125" style="2893" customWidth="1"/>
    <col min="1540" max="1540" width="9.36328125" style="2893" bestFit="1" customWidth="1"/>
    <col min="1541" max="1541" width="13.453125" style="2893" customWidth="1"/>
    <col min="1542" max="1542" width="9" style="2893"/>
    <col min="1543" max="1543" width="9.36328125" style="2893" bestFit="1" customWidth="1"/>
    <col min="1544" max="1545" width="9" style="2893"/>
    <col min="1546" max="1546" width="9.36328125" style="2893" bestFit="1" customWidth="1"/>
    <col min="1547" max="1547" width="4" style="2893" customWidth="1"/>
    <col min="1548" max="1548" width="5.08984375" style="2893" customWidth="1"/>
    <col min="1549" max="1549" width="13.81640625" style="2893" customWidth="1"/>
    <col min="1550" max="1792" width="9" style="2893"/>
    <col min="1793" max="1793" width="4.90625" style="2893" customWidth="1"/>
    <col min="1794" max="1794" width="13.1796875" style="2893" customWidth="1"/>
    <col min="1795" max="1795" width="15.6328125" style="2893" customWidth="1"/>
    <col min="1796" max="1796" width="9.36328125" style="2893" bestFit="1" customWidth="1"/>
    <col min="1797" max="1797" width="13.453125" style="2893" customWidth="1"/>
    <col min="1798" max="1798" width="9" style="2893"/>
    <col min="1799" max="1799" width="9.36328125" style="2893" bestFit="1" customWidth="1"/>
    <col min="1800" max="1801" width="9" style="2893"/>
    <col min="1802" max="1802" width="9.36328125" style="2893" bestFit="1" customWidth="1"/>
    <col min="1803" max="1803" width="4" style="2893" customWidth="1"/>
    <col min="1804" max="1804" width="5.08984375" style="2893" customWidth="1"/>
    <col min="1805" max="1805" width="13.81640625" style="2893" customWidth="1"/>
    <col min="1806" max="2048" width="9" style="2893"/>
    <col min="2049" max="2049" width="4.90625" style="2893" customWidth="1"/>
    <col min="2050" max="2050" width="13.1796875" style="2893" customWidth="1"/>
    <col min="2051" max="2051" width="15.6328125" style="2893" customWidth="1"/>
    <col min="2052" max="2052" width="9.36328125" style="2893" bestFit="1" customWidth="1"/>
    <col min="2053" max="2053" width="13.453125" style="2893" customWidth="1"/>
    <col min="2054" max="2054" width="9" style="2893"/>
    <col min="2055" max="2055" width="9.36328125" style="2893" bestFit="1" customWidth="1"/>
    <col min="2056" max="2057" width="9" style="2893"/>
    <col min="2058" max="2058" width="9.36328125" style="2893" bestFit="1" customWidth="1"/>
    <col min="2059" max="2059" width="4" style="2893" customWidth="1"/>
    <col min="2060" max="2060" width="5.08984375" style="2893" customWidth="1"/>
    <col min="2061" max="2061" width="13.81640625" style="2893" customWidth="1"/>
    <col min="2062" max="2304" width="9" style="2893"/>
    <col min="2305" max="2305" width="4.90625" style="2893" customWidth="1"/>
    <col min="2306" max="2306" width="13.1796875" style="2893" customWidth="1"/>
    <col min="2307" max="2307" width="15.6328125" style="2893" customWidth="1"/>
    <col min="2308" max="2308" width="9.36328125" style="2893" bestFit="1" customWidth="1"/>
    <col min="2309" max="2309" width="13.453125" style="2893" customWidth="1"/>
    <col min="2310" max="2310" width="9" style="2893"/>
    <col min="2311" max="2311" width="9.36328125" style="2893" bestFit="1" customWidth="1"/>
    <col min="2312" max="2313" width="9" style="2893"/>
    <col min="2314" max="2314" width="9.36328125" style="2893" bestFit="1" customWidth="1"/>
    <col min="2315" max="2315" width="4" style="2893" customWidth="1"/>
    <col min="2316" max="2316" width="5.08984375" style="2893" customWidth="1"/>
    <col min="2317" max="2317" width="13.81640625" style="2893" customWidth="1"/>
    <col min="2318" max="2560" width="9" style="2893"/>
    <col min="2561" max="2561" width="4.90625" style="2893" customWidth="1"/>
    <col min="2562" max="2562" width="13.1796875" style="2893" customWidth="1"/>
    <col min="2563" max="2563" width="15.6328125" style="2893" customWidth="1"/>
    <col min="2564" max="2564" width="9.36328125" style="2893" bestFit="1" customWidth="1"/>
    <col min="2565" max="2565" width="13.453125" style="2893" customWidth="1"/>
    <col min="2566" max="2566" width="9" style="2893"/>
    <col min="2567" max="2567" width="9.36328125" style="2893" bestFit="1" customWidth="1"/>
    <col min="2568" max="2569" width="9" style="2893"/>
    <col min="2570" max="2570" width="9.36328125" style="2893" bestFit="1" customWidth="1"/>
    <col min="2571" max="2571" width="4" style="2893" customWidth="1"/>
    <col min="2572" max="2572" width="5.08984375" style="2893" customWidth="1"/>
    <col min="2573" max="2573" width="13.81640625" style="2893" customWidth="1"/>
    <col min="2574" max="2816" width="9" style="2893"/>
    <col min="2817" max="2817" width="4.90625" style="2893" customWidth="1"/>
    <col min="2818" max="2818" width="13.1796875" style="2893" customWidth="1"/>
    <col min="2819" max="2819" width="15.6328125" style="2893" customWidth="1"/>
    <col min="2820" max="2820" width="9.36328125" style="2893" bestFit="1" customWidth="1"/>
    <col min="2821" max="2821" width="13.453125" style="2893" customWidth="1"/>
    <col min="2822" max="2822" width="9" style="2893"/>
    <col min="2823" max="2823" width="9.36328125" style="2893" bestFit="1" customWidth="1"/>
    <col min="2824" max="2825" width="9" style="2893"/>
    <col min="2826" max="2826" width="9.36328125" style="2893" bestFit="1" customWidth="1"/>
    <col min="2827" max="2827" width="4" style="2893" customWidth="1"/>
    <col min="2828" max="2828" width="5.08984375" style="2893" customWidth="1"/>
    <col min="2829" max="2829" width="13.81640625" style="2893" customWidth="1"/>
    <col min="2830" max="3072" width="9" style="2893"/>
    <col min="3073" max="3073" width="4.90625" style="2893" customWidth="1"/>
    <col min="3074" max="3074" width="13.1796875" style="2893" customWidth="1"/>
    <col min="3075" max="3075" width="15.6328125" style="2893" customWidth="1"/>
    <col min="3076" max="3076" width="9.36328125" style="2893" bestFit="1" customWidth="1"/>
    <col min="3077" max="3077" width="13.453125" style="2893" customWidth="1"/>
    <col min="3078" max="3078" width="9" style="2893"/>
    <col min="3079" max="3079" width="9.36328125" style="2893" bestFit="1" customWidth="1"/>
    <col min="3080" max="3081" width="9" style="2893"/>
    <col min="3082" max="3082" width="9.36328125" style="2893" bestFit="1" customWidth="1"/>
    <col min="3083" max="3083" width="4" style="2893" customWidth="1"/>
    <col min="3084" max="3084" width="5.08984375" style="2893" customWidth="1"/>
    <col min="3085" max="3085" width="13.81640625" style="2893" customWidth="1"/>
    <col min="3086" max="3328" width="9" style="2893"/>
    <col min="3329" max="3329" width="4.90625" style="2893" customWidth="1"/>
    <col min="3330" max="3330" width="13.1796875" style="2893" customWidth="1"/>
    <col min="3331" max="3331" width="15.6328125" style="2893" customWidth="1"/>
    <col min="3332" max="3332" width="9.36328125" style="2893" bestFit="1" customWidth="1"/>
    <col min="3333" max="3333" width="13.453125" style="2893" customWidth="1"/>
    <col min="3334" max="3334" width="9" style="2893"/>
    <col min="3335" max="3335" width="9.36328125" style="2893" bestFit="1" customWidth="1"/>
    <col min="3336" max="3337" width="9" style="2893"/>
    <col min="3338" max="3338" width="9.36328125" style="2893" bestFit="1" customWidth="1"/>
    <col min="3339" max="3339" width="4" style="2893" customWidth="1"/>
    <col min="3340" max="3340" width="5.08984375" style="2893" customWidth="1"/>
    <col min="3341" max="3341" width="13.81640625" style="2893" customWidth="1"/>
    <col min="3342" max="3584" width="9" style="2893"/>
    <col min="3585" max="3585" width="4.90625" style="2893" customWidth="1"/>
    <col min="3586" max="3586" width="13.1796875" style="2893" customWidth="1"/>
    <col min="3587" max="3587" width="15.6328125" style="2893" customWidth="1"/>
    <col min="3588" max="3588" width="9.36328125" style="2893" bestFit="1" customWidth="1"/>
    <col min="3589" max="3589" width="13.453125" style="2893" customWidth="1"/>
    <col min="3590" max="3590" width="9" style="2893"/>
    <col min="3591" max="3591" width="9.36328125" style="2893" bestFit="1" customWidth="1"/>
    <col min="3592" max="3593" width="9" style="2893"/>
    <col min="3594" max="3594" width="9.36328125" style="2893" bestFit="1" customWidth="1"/>
    <col min="3595" max="3595" width="4" style="2893" customWidth="1"/>
    <col min="3596" max="3596" width="5.08984375" style="2893" customWidth="1"/>
    <col min="3597" max="3597" width="13.81640625" style="2893" customWidth="1"/>
    <col min="3598" max="3840" width="9" style="2893"/>
    <col min="3841" max="3841" width="4.90625" style="2893" customWidth="1"/>
    <col min="3842" max="3842" width="13.1796875" style="2893" customWidth="1"/>
    <col min="3843" max="3843" width="15.6328125" style="2893" customWidth="1"/>
    <col min="3844" max="3844" width="9.36328125" style="2893" bestFit="1" customWidth="1"/>
    <col min="3845" max="3845" width="13.453125" style="2893" customWidth="1"/>
    <col min="3846" max="3846" width="9" style="2893"/>
    <col min="3847" max="3847" width="9.36328125" style="2893" bestFit="1" customWidth="1"/>
    <col min="3848" max="3849" width="9" style="2893"/>
    <col min="3850" max="3850" width="9.36328125" style="2893" bestFit="1" customWidth="1"/>
    <col min="3851" max="3851" width="4" style="2893" customWidth="1"/>
    <col min="3852" max="3852" width="5.08984375" style="2893" customWidth="1"/>
    <col min="3853" max="3853" width="13.81640625" style="2893" customWidth="1"/>
    <col min="3854" max="4096" width="9" style="2893"/>
    <col min="4097" max="4097" width="4.90625" style="2893" customWidth="1"/>
    <col min="4098" max="4098" width="13.1796875" style="2893" customWidth="1"/>
    <col min="4099" max="4099" width="15.6328125" style="2893" customWidth="1"/>
    <col min="4100" max="4100" width="9.36328125" style="2893" bestFit="1" customWidth="1"/>
    <col min="4101" max="4101" width="13.453125" style="2893" customWidth="1"/>
    <col min="4102" max="4102" width="9" style="2893"/>
    <col min="4103" max="4103" width="9.36328125" style="2893" bestFit="1" customWidth="1"/>
    <col min="4104" max="4105" width="9" style="2893"/>
    <col min="4106" max="4106" width="9.36328125" style="2893" bestFit="1" customWidth="1"/>
    <col min="4107" max="4107" width="4" style="2893" customWidth="1"/>
    <col min="4108" max="4108" width="5.08984375" style="2893" customWidth="1"/>
    <col min="4109" max="4109" width="13.81640625" style="2893" customWidth="1"/>
    <col min="4110" max="4352" width="9" style="2893"/>
    <col min="4353" max="4353" width="4.90625" style="2893" customWidth="1"/>
    <col min="4354" max="4354" width="13.1796875" style="2893" customWidth="1"/>
    <col min="4355" max="4355" width="15.6328125" style="2893" customWidth="1"/>
    <col min="4356" max="4356" width="9.36328125" style="2893" bestFit="1" customWidth="1"/>
    <col min="4357" max="4357" width="13.453125" style="2893" customWidth="1"/>
    <col min="4358" max="4358" width="9" style="2893"/>
    <col min="4359" max="4359" width="9.36328125" style="2893" bestFit="1" customWidth="1"/>
    <col min="4360" max="4361" width="9" style="2893"/>
    <col min="4362" max="4362" width="9.36328125" style="2893" bestFit="1" customWidth="1"/>
    <col min="4363" max="4363" width="4" style="2893" customWidth="1"/>
    <col min="4364" max="4364" width="5.08984375" style="2893" customWidth="1"/>
    <col min="4365" max="4365" width="13.81640625" style="2893" customWidth="1"/>
    <col min="4366" max="4608" width="9" style="2893"/>
    <col min="4609" max="4609" width="4.90625" style="2893" customWidth="1"/>
    <col min="4610" max="4610" width="13.1796875" style="2893" customWidth="1"/>
    <col min="4611" max="4611" width="15.6328125" style="2893" customWidth="1"/>
    <col min="4612" max="4612" width="9.36328125" style="2893" bestFit="1" customWidth="1"/>
    <col min="4613" max="4613" width="13.453125" style="2893" customWidth="1"/>
    <col min="4614" max="4614" width="9" style="2893"/>
    <col min="4615" max="4615" width="9.36328125" style="2893" bestFit="1" customWidth="1"/>
    <col min="4616" max="4617" width="9" style="2893"/>
    <col min="4618" max="4618" width="9.36328125" style="2893" bestFit="1" customWidth="1"/>
    <col min="4619" max="4619" width="4" style="2893" customWidth="1"/>
    <col min="4620" max="4620" width="5.08984375" style="2893" customWidth="1"/>
    <col min="4621" max="4621" width="13.81640625" style="2893" customWidth="1"/>
    <col min="4622" max="4864" width="9" style="2893"/>
    <col min="4865" max="4865" width="4.90625" style="2893" customWidth="1"/>
    <col min="4866" max="4866" width="13.1796875" style="2893" customWidth="1"/>
    <col min="4867" max="4867" width="15.6328125" style="2893" customWidth="1"/>
    <col min="4868" max="4868" width="9.36328125" style="2893" bestFit="1" customWidth="1"/>
    <col min="4869" max="4869" width="13.453125" style="2893" customWidth="1"/>
    <col min="4870" max="4870" width="9" style="2893"/>
    <col min="4871" max="4871" width="9.36328125" style="2893" bestFit="1" customWidth="1"/>
    <col min="4872" max="4873" width="9" style="2893"/>
    <col min="4874" max="4874" width="9.36328125" style="2893" bestFit="1" customWidth="1"/>
    <col min="4875" max="4875" width="4" style="2893" customWidth="1"/>
    <col min="4876" max="4876" width="5.08984375" style="2893" customWidth="1"/>
    <col min="4877" max="4877" width="13.81640625" style="2893" customWidth="1"/>
    <col min="4878" max="5120" width="9" style="2893"/>
    <col min="5121" max="5121" width="4.90625" style="2893" customWidth="1"/>
    <col min="5122" max="5122" width="13.1796875" style="2893" customWidth="1"/>
    <col min="5123" max="5123" width="15.6328125" style="2893" customWidth="1"/>
    <col min="5124" max="5124" width="9.36328125" style="2893" bestFit="1" customWidth="1"/>
    <col min="5125" max="5125" width="13.453125" style="2893" customWidth="1"/>
    <col min="5126" max="5126" width="9" style="2893"/>
    <col min="5127" max="5127" width="9.36328125" style="2893" bestFit="1" customWidth="1"/>
    <col min="5128" max="5129" width="9" style="2893"/>
    <col min="5130" max="5130" width="9.36328125" style="2893" bestFit="1" customWidth="1"/>
    <col min="5131" max="5131" width="4" style="2893" customWidth="1"/>
    <col min="5132" max="5132" width="5.08984375" style="2893" customWidth="1"/>
    <col min="5133" max="5133" width="13.81640625" style="2893" customWidth="1"/>
    <col min="5134" max="5376" width="9" style="2893"/>
    <col min="5377" max="5377" width="4.90625" style="2893" customWidth="1"/>
    <col min="5378" max="5378" width="13.1796875" style="2893" customWidth="1"/>
    <col min="5379" max="5379" width="15.6328125" style="2893" customWidth="1"/>
    <col min="5380" max="5380" width="9.36328125" style="2893" bestFit="1" customWidth="1"/>
    <col min="5381" max="5381" width="13.453125" style="2893" customWidth="1"/>
    <col min="5382" max="5382" width="9" style="2893"/>
    <col min="5383" max="5383" width="9.36328125" style="2893" bestFit="1" customWidth="1"/>
    <col min="5384" max="5385" width="9" style="2893"/>
    <col min="5386" max="5386" width="9.36328125" style="2893" bestFit="1" customWidth="1"/>
    <col min="5387" max="5387" width="4" style="2893" customWidth="1"/>
    <col min="5388" max="5388" width="5.08984375" style="2893" customWidth="1"/>
    <col min="5389" max="5389" width="13.81640625" style="2893" customWidth="1"/>
    <col min="5390" max="5632" width="9" style="2893"/>
    <col min="5633" max="5633" width="4.90625" style="2893" customWidth="1"/>
    <col min="5634" max="5634" width="13.1796875" style="2893" customWidth="1"/>
    <col min="5635" max="5635" width="15.6328125" style="2893" customWidth="1"/>
    <col min="5636" max="5636" width="9.36328125" style="2893" bestFit="1" customWidth="1"/>
    <col min="5637" max="5637" width="13.453125" style="2893" customWidth="1"/>
    <col min="5638" max="5638" width="9" style="2893"/>
    <col min="5639" max="5639" width="9.36328125" style="2893" bestFit="1" customWidth="1"/>
    <col min="5640" max="5641" width="9" style="2893"/>
    <col min="5642" max="5642" width="9.36328125" style="2893" bestFit="1" customWidth="1"/>
    <col min="5643" max="5643" width="4" style="2893" customWidth="1"/>
    <col min="5644" max="5644" width="5.08984375" style="2893" customWidth="1"/>
    <col min="5645" max="5645" width="13.81640625" style="2893" customWidth="1"/>
    <col min="5646" max="5888" width="9" style="2893"/>
    <col min="5889" max="5889" width="4.90625" style="2893" customWidth="1"/>
    <col min="5890" max="5890" width="13.1796875" style="2893" customWidth="1"/>
    <col min="5891" max="5891" width="15.6328125" style="2893" customWidth="1"/>
    <col min="5892" max="5892" width="9.36328125" style="2893" bestFit="1" customWidth="1"/>
    <col min="5893" max="5893" width="13.453125" style="2893" customWidth="1"/>
    <col min="5894" max="5894" width="9" style="2893"/>
    <col min="5895" max="5895" width="9.36328125" style="2893" bestFit="1" customWidth="1"/>
    <col min="5896" max="5897" width="9" style="2893"/>
    <col min="5898" max="5898" width="9.36328125" style="2893" bestFit="1" customWidth="1"/>
    <col min="5899" max="5899" width="4" style="2893" customWidth="1"/>
    <col min="5900" max="5900" width="5.08984375" style="2893" customWidth="1"/>
    <col min="5901" max="5901" width="13.81640625" style="2893" customWidth="1"/>
    <col min="5902" max="6144" width="9" style="2893"/>
    <col min="6145" max="6145" width="4.90625" style="2893" customWidth="1"/>
    <col min="6146" max="6146" width="13.1796875" style="2893" customWidth="1"/>
    <col min="6147" max="6147" width="15.6328125" style="2893" customWidth="1"/>
    <col min="6148" max="6148" width="9.36328125" style="2893" bestFit="1" customWidth="1"/>
    <col min="6149" max="6149" width="13.453125" style="2893" customWidth="1"/>
    <col min="6150" max="6150" width="9" style="2893"/>
    <col min="6151" max="6151" width="9.36328125" style="2893" bestFit="1" customWidth="1"/>
    <col min="6152" max="6153" width="9" style="2893"/>
    <col min="6154" max="6154" width="9.36328125" style="2893" bestFit="1" customWidth="1"/>
    <col min="6155" max="6155" width="4" style="2893" customWidth="1"/>
    <col min="6156" max="6156" width="5.08984375" style="2893" customWidth="1"/>
    <col min="6157" max="6157" width="13.81640625" style="2893" customWidth="1"/>
    <col min="6158" max="6400" width="9" style="2893"/>
    <col min="6401" max="6401" width="4.90625" style="2893" customWidth="1"/>
    <col min="6402" max="6402" width="13.1796875" style="2893" customWidth="1"/>
    <col min="6403" max="6403" width="15.6328125" style="2893" customWidth="1"/>
    <col min="6404" max="6404" width="9.36328125" style="2893" bestFit="1" customWidth="1"/>
    <col min="6405" max="6405" width="13.453125" style="2893" customWidth="1"/>
    <col min="6406" max="6406" width="9" style="2893"/>
    <col min="6407" max="6407" width="9.36328125" style="2893" bestFit="1" customWidth="1"/>
    <col min="6408" max="6409" width="9" style="2893"/>
    <col min="6410" max="6410" width="9.36328125" style="2893" bestFit="1" customWidth="1"/>
    <col min="6411" max="6411" width="4" style="2893" customWidth="1"/>
    <col min="6412" max="6412" width="5.08984375" style="2893" customWidth="1"/>
    <col min="6413" max="6413" width="13.81640625" style="2893" customWidth="1"/>
    <col min="6414" max="6656" width="9" style="2893"/>
    <col min="6657" max="6657" width="4.90625" style="2893" customWidth="1"/>
    <col min="6658" max="6658" width="13.1796875" style="2893" customWidth="1"/>
    <col min="6659" max="6659" width="15.6328125" style="2893" customWidth="1"/>
    <col min="6660" max="6660" width="9.36328125" style="2893" bestFit="1" customWidth="1"/>
    <col min="6661" max="6661" width="13.453125" style="2893" customWidth="1"/>
    <col min="6662" max="6662" width="9" style="2893"/>
    <col min="6663" max="6663" width="9.36328125" style="2893" bestFit="1" customWidth="1"/>
    <col min="6664" max="6665" width="9" style="2893"/>
    <col min="6666" max="6666" width="9.36328125" style="2893" bestFit="1" customWidth="1"/>
    <col min="6667" max="6667" width="4" style="2893" customWidth="1"/>
    <col min="6668" max="6668" width="5.08984375" style="2893" customWidth="1"/>
    <col min="6669" max="6669" width="13.81640625" style="2893" customWidth="1"/>
    <col min="6670" max="6912" width="9" style="2893"/>
    <col min="6913" max="6913" width="4.90625" style="2893" customWidth="1"/>
    <col min="6914" max="6914" width="13.1796875" style="2893" customWidth="1"/>
    <col min="6915" max="6915" width="15.6328125" style="2893" customWidth="1"/>
    <col min="6916" max="6916" width="9.36328125" style="2893" bestFit="1" customWidth="1"/>
    <col min="6917" max="6917" width="13.453125" style="2893" customWidth="1"/>
    <col min="6918" max="6918" width="9" style="2893"/>
    <col min="6919" max="6919" width="9.36328125" style="2893" bestFit="1" customWidth="1"/>
    <col min="6920" max="6921" width="9" style="2893"/>
    <col min="6922" max="6922" width="9.36328125" style="2893" bestFit="1" customWidth="1"/>
    <col min="6923" max="6923" width="4" style="2893" customWidth="1"/>
    <col min="6924" max="6924" width="5.08984375" style="2893" customWidth="1"/>
    <col min="6925" max="6925" width="13.81640625" style="2893" customWidth="1"/>
    <col min="6926" max="7168" width="9" style="2893"/>
    <col min="7169" max="7169" width="4.90625" style="2893" customWidth="1"/>
    <col min="7170" max="7170" width="13.1796875" style="2893" customWidth="1"/>
    <col min="7171" max="7171" width="15.6328125" style="2893" customWidth="1"/>
    <col min="7172" max="7172" width="9.36328125" style="2893" bestFit="1" customWidth="1"/>
    <col min="7173" max="7173" width="13.453125" style="2893" customWidth="1"/>
    <col min="7174" max="7174" width="9" style="2893"/>
    <col min="7175" max="7175" width="9.36328125" style="2893" bestFit="1" customWidth="1"/>
    <col min="7176" max="7177" width="9" style="2893"/>
    <col min="7178" max="7178" width="9.36328125" style="2893" bestFit="1" customWidth="1"/>
    <col min="7179" max="7179" width="4" style="2893" customWidth="1"/>
    <col min="7180" max="7180" width="5.08984375" style="2893" customWidth="1"/>
    <col min="7181" max="7181" width="13.81640625" style="2893" customWidth="1"/>
    <col min="7182" max="7424" width="9" style="2893"/>
    <col min="7425" max="7425" width="4.90625" style="2893" customWidth="1"/>
    <col min="7426" max="7426" width="13.1796875" style="2893" customWidth="1"/>
    <col min="7427" max="7427" width="15.6328125" style="2893" customWidth="1"/>
    <col min="7428" max="7428" width="9.36328125" style="2893" bestFit="1" customWidth="1"/>
    <col min="7429" max="7429" width="13.453125" style="2893" customWidth="1"/>
    <col min="7430" max="7430" width="9" style="2893"/>
    <col min="7431" max="7431" width="9.36328125" style="2893" bestFit="1" customWidth="1"/>
    <col min="7432" max="7433" width="9" style="2893"/>
    <col min="7434" max="7434" width="9.36328125" style="2893" bestFit="1" customWidth="1"/>
    <col min="7435" max="7435" width="4" style="2893" customWidth="1"/>
    <col min="7436" max="7436" width="5.08984375" style="2893" customWidth="1"/>
    <col min="7437" max="7437" width="13.81640625" style="2893" customWidth="1"/>
    <col min="7438" max="7680" width="9" style="2893"/>
    <col min="7681" max="7681" width="4.90625" style="2893" customWidth="1"/>
    <col min="7682" max="7682" width="13.1796875" style="2893" customWidth="1"/>
    <col min="7683" max="7683" width="15.6328125" style="2893" customWidth="1"/>
    <col min="7684" max="7684" width="9.36328125" style="2893" bestFit="1" customWidth="1"/>
    <col min="7685" max="7685" width="13.453125" style="2893" customWidth="1"/>
    <col min="7686" max="7686" width="9" style="2893"/>
    <col min="7687" max="7687" width="9.36328125" style="2893" bestFit="1" customWidth="1"/>
    <col min="7688" max="7689" width="9" style="2893"/>
    <col min="7690" max="7690" width="9.36328125" style="2893" bestFit="1" customWidth="1"/>
    <col min="7691" max="7691" width="4" style="2893" customWidth="1"/>
    <col min="7692" max="7692" width="5.08984375" style="2893" customWidth="1"/>
    <col min="7693" max="7693" width="13.81640625" style="2893" customWidth="1"/>
    <col min="7694" max="7936" width="9" style="2893"/>
    <col min="7937" max="7937" width="4.90625" style="2893" customWidth="1"/>
    <col min="7938" max="7938" width="13.1796875" style="2893" customWidth="1"/>
    <col min="7939" max="7939" width="15.6328125" style="2893" customWidth="1"/>
    <col min="7940" max="7940" width="9.36328125" style="2893" bestFit="1" customWidth="1"/>
    <col min="7941" max="7941" width="13.453125" style="2893" customWidth="1"/>
    <col min="7942" max="7942" width="9" style="2893"/>
    <col min="7943" max="7943" width="9.36328125" style="2893" bestFit="1" customWidth="1"/>
    <col min="7944" max="7945" width="9" style="2893"/>
    <col min="7946" max="7946" width="9.36328125" style="2893" bestFit="1" customWidth="1"/>
    <col min="7947" max="7947" width="4" style="2893" customWidth="1"/>
    <col min="7948" max="7948" width="5.08984375" style="2893" customWidth="1"/>
    <col min="7949" max="7949" width="13.81640625" style="2893" customWidth="1"/>
    <col min="7950" max="8192" width="9" style="2893"/>
    <col min="8193" max="8193" width="4.90625" style="2893" customWidth="1"/>
    <col min="8194" max="8194" width="13.1796875" style="2893" customWidth="1"/>
    <col min="8195" max="8195" width="15.6328125" style="2893" customWidth="1"/>
    <col min="8196" max="8196" width="9.36328125" style="2893" bestFit="1" customWidth="1"/>
    <col min="8197" max="8197" width="13.453125" style="2893" customWidth="1"/>
    <col min="8198" max="8198" width="9" style="2893"/>
    <col min="8199" max="8199" width="9.36328125" style="2893" bestFit="1" customWidth="1"/>
    <col min="8200" max="8201" width="9" style="2893"/>
    <col min="8202" max="8202" width="9.36328125" style="2893" bestFit="1" customWidth="1"/>
    <col min="8203" max="8203" width="4" style="2893" customWidth="1"/>
    <col min="8204" max="8204" width="5.08984375" style="2893" customWidth="1"/>
    <col min="8205" max="8205" width="13.81640625" style="2893" customWidth="1"/>
    <col min="8206" max="8448" width="9" style="2893"/>
    <col min="8449" max="8449" width="4.90625" style="2893" customWidth="1"/>
    <col min="8450" max="8450" width="13.1796875" style="2893" customWidth="1"/>
    <col min="8451" max="8451" width="15.6328125" style="2893" customWidth="1"/>
    <col min="8452" max="8452" width="9.36328125" style="2893" bestFit="1" customWidth="1"/>
    <col min="8453" max="8453" width="13.453125" style="2893" customWidth="1"/>
    <col min="8454" max="8454" width="9" style="2893"/>
    <col min="8455" max="8455" width="9.36328125" style="2893" bestFit="1" customWidth="1"/>
    <col min="8456" max="8457" width="9" style="2893"/>
    <col min="8458" max="8458" width="9.36328125" style="2893" bestFit="1" customWidth="1"/>
    <col min="8459" max="8459" width="4" style="2893" customWidth="1"/>
    <col min="8460" max="8460" width="5.08984375" style="2893" customWidth="1"/>
    <col min="8461" max="8461" width="13.81640625" style="2893" customWidth="1"/>
    <col min="8462" max="8704" width="9" style="2893"/>
    <col min="8705" max="8705" width="4.90625" style="2893" customWidth="1"/>
    <col min="8706" max="8706" width="13.1796875" style="2893" customWidth="1"/>
    <col min="8707" max="8707" width="15.6328125" style="2893" customWidth="1"/>
    <col min="8708" max="8708" width="9.36328125" style="2893" bestFit="1" customWidth="1"/>
    <col min="8709" max="8709" width="13.453125" style="2893" customWidth="1"/>
    <col min="8710" max="8710" width="9" style="2893"/>
    <col min="8711" max="8711" width="9.36328125" style="2893" bestFit="1" customWidth="1"/>
    <col min="8712" max="8713" width="9" style="2893"/>
    <col min="8714" max="8714" width="9.36328125" style="2893" bestFit="1" customWidth="1"/>
    <col min="8715" max="8715" width="4" style="2893" customWidth="1"/>
    <col min="8716" max="8716" width="5.08984375" style="2893" customWidth="1"/>
    <col min="8717" max="8717" width="13.81640625" style="2893" customWidth="1"/>
    <col min="8718" max="8960" width="9" style="2893"/>
    <col min="8961" max="8961" width="4.90625" style="2893" customWidth="1"/>
    <col min="8962" max="8962" width="13.1796875" style="2893" customWidth="1"/>
    <col min="8963" max="8963" width="15.6328125" style="2893" customWidth="1"/>
    <col min="8964" max="8964" width="9.36328125" style="2893" bestFit="1" customWidth="1"/>
    <col min="8965" max="8965" width="13.453125" style="2893" customWidth="1"/>
    <col min="8966" max="8966" width="9" style="2893"/>
    <col min="8967" max="8967" width="9.36328125" style="2893" bestFit="1" customWidth="1"/>
    <col min="8968" max="8969" width="9" style="2893"/>
    <col min="8970" max="8970" width="9.36328125" style="2893" bestFit="1" customWidth="1"/>
    <col min="8971" max="8971" width="4" style="2893" customWidth="1"/>
    <col min="8972" max="8972" width="5.08984375" style="2893" customWidth="1"/>
    <col min="8973" max="8973" width="13.81640625" style="2893" customWidth="1"/>
    <col min="8974" max="9216" width="9" style="2893"/>
    <col min="9217" max="9217" width="4.90625" style="2893" customWidth="1"/>
    <col min="9218" max="9218" width="13.1796875" style="2893" customWidth="1"/>
    <col min="9219" max="9219" width="15.6328125" style="2893" customWidth="1"/>
    <col min="9220" max="9220" width="9.36328125" style="2893" bestFit="1" customWidth="1"/>
    <col min="9221" max="9221" width="13.453125" style="2893" customWidth="1"/>
    <col min="9222" max="9222" width="9" style="2893"/>
    <col min="9223" max="9223" width="9.36328125" style="2893" bestFit="1" customWidth="1"/>
    <col min="9224" max="9225" width="9" style="2893"/>
    <col min="9226" max="9226" width="9.36328125" style="2893" bestFit="1" customWidth="1"/>
    <col min="9227" max="9227" width="4" style="2893" customWidth="1"/>
    <col min="9228" max="9228" width="5.08984375" style="2893" customWidth="1"/>
    <col min="9229" max="9229" width="13.81640625" style="2893" customWidth="1"/>
    <col min="9230" max="9472" width="9" style="2893"/>
    <col min="9473" max="9473" width="4.90625" style="2893" customWidth="1"/>
    <col min="9474" max="9474" width="13.1796875" style="2893" customWidth="1"/>
    <col min="9475" max="9475" width="15.6328125" style="2893" customWidth="1"/>
    <col min="9476" max="9476" width="9.36328125" style="2893" bestFit="1" customWidth="1"/>
    <col min="9477" max="9477" width="13.453125" style="2893" customWidth="1"/>
    <col min="9478" max="9478" width="9" style="2893"/>
    <col min="9479" max="9479" width="9.36328125" style="2893" bestFit="1" customWidth="1"/>
    <col min="9480" max="9481" width="9" style="2893"/>
    <col min="9482" max="9482" width="9.36328125" style="2893" bestFit="1" customWidth="1"/>
    <col min="9483" max="9483" width="4" style="2893" customWidth="1"/>
    <col min="9484" max="9484" width="5.08984375" style="2893" customWidth="1"/>
    <col min="9485" max="9485" width="13.81640625" style="2893" customWidth="1"/>
    <col min="9486" max="9728" width="9" style="2893"/>
    <col min="9729" max="9729" width="4.90625" style="2893" customWidth="1"/>
    <col min="9730" max="9730" width="13.1796875" style="2893" customWidth="1"/>
    <col min="9731" max="9731" width="15.6328125" style="2893" customWidth="1"/>
    <col min="9732" max="9732" width="9.36328125" style="2893" bestFit="1" customWidth="1"/>
    <col min="9733" max="9733" width="13.453125" style="2893" customWidth="1"/>
    <col min="9734" max="9734" width="9" style="2893"/>
    <col min="9735" max="9735" width="9.36328125" style="2893" bestFit="1" customWidth="1"/>
    <col min="9736" max="9737" width="9" style="2893"/>
    <col min="9738" max="9738" width="9.36328125" style="2893" bestFit="1" customWidth="1"/>
    <col min="9739" max="9739" width="4" style="2893" customWidth="1"/>
    <col min="9740" max="9740" width="5.08984375" style="2893" customWidth="1"/>
    <col min="9741" max="9741" width="13.81640625" style="2893" customWidth="1"/>
    <col min="9742" max="9984" width="9" style="2893"/>
    <col min="9985" max="9985" width="4.90625" style="2893" customWidth="1"/>
    <col min="9986" max="9986" width="13.1796875" style="2893" customWidth="1"/>
    <col min="9987" max="9987" width="15.6328125" style="2893" customWidth="1"/>
    <col min="9988" max="9988" width="9.36328125" style="2893" bestFit="1" customWidth="1"/>
    <col min="9989" max="9989" width="13.453125" style="2893" customWidth="1"/>
    <col min="9990" max="9990" width="9" style="2893"/>
    <col min="9991" max="9991" width="9.36328125" style="2893" bestFit="1" customWidth="1"/>
    <col min="9992" max="9993" width="9" style="2893"/>
    <col min="9994" max="9994" width="9.36328125" style="2893" bestFit="1" customWidth="1"/>
    <col min="9995" max="9995" width="4" style="2893" customWidth="1"/>
    <col min="9996" max="9996" width="5.08984375" style="2893" customWidth="1"/>
    <col min="9997" max="9997" width="13.81640625" style="2893" customWidth="1"/>
    <col min="9998" max="10240" width="9" style="2893"/>
    <col min="10241" max="10241" width="4.90625" style="2893" customWidth="1"/>
    <col min="10242" max="10242" width="13.1796875" style="2893" customWidth="1"/>
    <col min="10243" max="10243" width="15.6328125" style="2893" customWidth="1"/>
    <col min="10244" max="10244" width="9.36328125" style="2893" bestFit="1" customWidth="1"/>
    <col min="10245" max="10245" width="13.453125" style="2893" customWidth="1"/>
    <col min="10246" max="10246" width="9" style="2893"/>
    <col min="10247" max="10247" width="9.36328125" style="2893" bestFit="1" customWidth="1"/>
    <col min="10248" max="10249" width="9" style="2893"/>
    <col min="10250" max="10250" width="9.36328125" style="2893" bestFit="1" customWidth="1"/>
    <col min="10251" max="10251" width="4" style="2893" customWidth="1"/>
    <col min="10252" max="10252" width="5.08984375" style="2893" customWidth="1"/>
    <col min="10253" max="10253" width="13.81640625" style="2893" customWidth="1"/>
    <col min="10254" max="10496" width="9" style="2893"/>
    <col min="10497" max="10497" width="4.90625" style="2893" customWidth="1"/>
    <col min="10498" max="10498" width="13.1796875" style="2893" customWidth="1"/>
    <col min="10499" max="10499" width="15.6328125" style="2893" customWidth="1"/>
    <col min="10500" max="10500" width="9.36328125" style="2893" bestFit="1" customWidth="1"/>
    <col min="10501" max="10501" width="13.453125" style="2893" customWidth="1"/>
    <col min="10502" max="10502" width="9" style="2893"/>
    <col min="10503" max="10503" width="9.36328125" style="2893" bestFit="1" customWidth="1"/>
    <col min="10504" max="10505" width="9" style="2893"/>
    <col min="10506" max="10506" width="9.36328125" style="2893" bestFit="1" customWidth="1"/>
    <col min="10507" max="10507" width="4" style="2893" customWidth="1"/>
    <col min="10508" max="10508" width="5.08984375" style="2893" customWidth="1"/>
    <col min="10509" max="10509" width="13.81640625" style="2893" customWidth="1"/>
    <col min="10510" max="10752" width="9" style="2893"/>
    <col min="10753" max="10753" width="4.90625" style="2893" customWidth="1"/>
    <col min="10754" max="10754" width="13.1796875" style="2893" customWidth="1"/>
    <col min="10755" max="10755" width="15.6328125" style="2893" customWidth="1"/>
    <col min="10756" max="10756" width="9.36328125" style="2893" bestFit="1" customWidth="1"/>
    <col min="10757" max="10757" width="13.453125" style="2893" customWidth="1"/>
    <col min="10758" max="10758" width="9" style="2893"/>
    <col min="10759" max="10759" width="9.36328125" style="2893" bestFit="1" customWidth="1"/>
    <col min="10760" max="10761" width="9" style="2893"/>
    <col min="10762" max="10762" width="9.36328125" style="2893" bestFit="1" customWidth="1"/>
    <col min="10763" max="10763" width="4" style="2893" customWidth="1"/>
    <col min="10764" max="10764" width="5.08984375" style="2893" customWidth="1"/>
    <col min="10765" max="10765" width="13.81640625" style="2893" customWidth="1"/>
    <col min="10766" max="11008" width="9" style="2893"/>
    <col min="11009" max="11009" width="4.90625" style="2893" customWidth="1"/>
    <col min="11010" max="11010" width="13.1796875" style="2893" customWidth="1"/>
    <col min="11011" max="11011" width="15.6328125" style="2893" customWidth="1"/>
    <col min="11012" max="11012" width="9.36328125" style="2893" bestFit="1" customWidth="1"/>
    <col min="11013" max="11013" width="13.453125" style="2893" customWidth="1"/>
    <col min="11014" max="11014" width="9" style="2893"/>
    <col min="11015" max="11015" width="9.36328125" style="2893" bestFit="1" customWidth="1"/>
    <col min="11016" max="11017" width="9" style="2893"/>
    <col min="11018" max="11018" width="9.36328125" style="2893" bestFit="1" customWidth="1"/>
    <col min="11019" max="11019" width="4" style="2893" customWidth="1"/>
    <col min="11020" max="11020" width="5.08984375" style="2893" customWidth="1"/>
    <col min="11021" max="11021" width="13.81640625" style="2893" customWidth="1"/>
    <col min="11022" max="11264" width="9" style="2893"/>
    <col min="11265" max="11265" width="4.90625" style="2893" customWidth="1"/>
    <col min="11266" max="11266" width="13.1796875" style="2893" customWidth="1"/>
    <col min="11267" max="11267" width="15.6328125" style="2893" customWidth="1"/>
    <col min="11268" max="11268" width="9.36328125" style="2893" bestFit="1" customWidth="1"/>
    <col min="11269" max="11269" width="13.453125" style="2893" customWidth="1"/>
    <col min="11270" max="11270" width="9" style="2893"/>
    <col min="11271" max="11271" width="9.36328125" style="2893" bestFit="1" customWidth="1"/>
    <col min="11272" max="11273" width="9" style="2893"/>
    <col min="11274" max="11274" width="9.36328125" style="2893" bestFit="1" customWidth="1"/>
    <col min="11275" max="11275" width="4" style="2893" customWidth="1"/>
    <col min="11276" max="11276" width="5.08984375" style="2893" customWidth="1"/>
    <col min="11277" max="11277" width="13.81640625" style="2893" customWidth="1"/>
    <col min="11278" max="11520" width="9" style="2893"/>
    <col min="11521" max="11521" width="4.90625" style="2893" customWidth="1"/>
    <col min="11522" max="11522" width="13.1796875" style="2893" customWidth="1"/>
    <col min="11523" max="11523" width="15.6328125" style="2893" customWidth="1"/>
    <col min="11524" max="11524" width="9.36328125" style="2893" bestFit="1" customWidth="1"/>
    <col min="11525" max="11525" width="13.453125" style="2893" customWidth="1"/>
    <col min="11526" max="11526" width="9" style="2893"/>
    <col min="11527" max="11527" width="9.36328125" style="2893" bestFit="1" customWidth="1"/>
    <col min="11528" max="11529" width="9" style="2893"/>
    <col min="11530" max="11530" width="9.36328125" style="2893" bestFit="1" customWidth="1"/>
    <col min="11531" max="11531" width="4" style="2893" customWidth="1"/>
    <col min="11532" max="11532" width="5.08984375" style="2893" customWidth="1"/>
    <col min="11533" max="11533" width="13.81640625" style="2893" customWidth="1"/>
    <col min="11534" max="11776" width="9" style="2893"/>
    <col min="11777" max="11777" width="4.90625" style="2893" customWidth="1"/>
    <col min="11778" max="11778" width="13.1796875" style="2893" customWidth="1"/>
    <col min="11779" max="11779" width="15.6328125" style="2893" customWidth="1"/>
    <col min="11780" max="11780" width="9.36328125" style="2893" bestFit="1" customWidth="1"/>
    <col min="11781" max="11781" width="13.453125" style="2893" customWidth="1"/>
    <col min="11782" max="11782" width="9" style="2893"/>
    <col min="11783" max="11783" width="9.36328125" style="2893" bestFit="1" customWidth="1"/>
    <col min="11784" max="11785" width="9" style="2893"/>
    <col min="11786" max="11786" width="9.36328125" style="2893" bestFit="1" customWidth="1"/>
    <col min="11787" max="11787" width="4" style="2893" customWidth="1"/>
    <col min="11788" max="11788" width="5.08984375" style="2893" customWidth="1"/>
    <col min="11789" max="11789" width="13.81640625" style="2893" customWidth="1"/>
    <col min="11790" max="12032" width="9" style="2893"/>
    <col min="12033" max="12033" width="4.90625" style="2893" customWidth="1"/>
    <col min="12034" max="12034" width="13.1796875" style="2893" customWidth="1"/>
    <col min="12035" max="12035" width="15.6328125" style="2893" customWidth="1"/>
    <col min="12036" max="12036" width="9.36328125" style="2893" bestFit="1" customWidth="1"/>
    <col min="12037" max="12037" width="13.453125" style="2893" customWidth="1"/>
    <col min="12038" max="12038" width="9" style="2893"/>
    <col min="12039" max="12039" width="9.36328125" style="2893" bestFit="1" customWidth="1"/>
    <col min="12040" max="12041" width="9" style="2893"/>
    <col min="12042" max="12042" width="9.36328125" style="2893" bestFit="1" customWidth="1"/>
    <col min="12043" max="12043" width="4" style="2893" customWidth="1"/>
    <col min="12044" max="12044" width="5.08984375" style="2893" customWidth="1"/>
    <col min="12045" max="12045" width="13.81640625" style="2893" customWidth="1"/>
    <col min="12046" max="12288" width="9" style="2893"/>
    <col min="12289" max="12289" width="4.90625" style="2893" customWidth="1"/>
    <col min="12290" max="12290" width="13.1796875" style="2893" customWidth="1"/>
    <col min="12291" max="12291" width="15.6328125" style="2893" customWidth="1"/>
    <col min="12292" max="12292" width="9.36328125" style="2893" bestFit="1" customWidth="1"/>
    <col min="12293" max="12293" width="13.453125" style="2893" customWidth="1"/>
    <col min="12294" max="12294" width="9" style="2893"/>
    <col min="12295" max="12295" width="9.36328125" style="2893" bestFit="1" customWidth="1"/>
    <col min="12296" max="12297" width="9" style="2893"/>
    <col min="12298" max="12298" width="9.36328125" style="2893" bestFit="1" customWidth="1"/>
    <col min="12299" max="12299" width="4" style="2893" customWidth="1"/>
    <col min="12300" max="12300" width="5.08984375" style="2893" customWidth="1"/>
    <col min="12301" max="12301" width="13.81640625" style="2893" customWidth="1"/>
    <col min="12302" max="12544" width="9" style="2893"/>
    <col min="12545" max="12545" width="4.90625" style="2893" customWidth="1"/>
    <col min="12546" max="12546" width="13.1796875" style="2893" customWidth="1"/>
    <col min="12547" max="12547" width="15.6328125" style="2893" customWidth="1"/>
    <col min="12548" max="12548" width="9.36328125" style="2893" bestFit="1" customWidth="1"/>
    <col min="12549" max="12549" width="13.453125" style="2893" customWidth="1"/>
    <col min="12550" max="12550" width="9" style="2893"/>
    <col min="12551" max="12551" width="9.36328125" style="2893" bestFit="1" customWidth="1"/>
    <col min="12552" max="12553" width="9" style="2893"/>
    <col min="12554" max="12554" width="9.36328125" style="2893" bestFit="1" customWidth="1"/>
    <col min="12555" max="12555" width="4" style="2893" customWidth="1"/>
    <col min="12556" max="12556" width="5.08984375" style="2893" customWidth="1"/>
    <col min="12557" max="12557" width="13.81640625" style="2893" customWidth="1"/>
    <col min="12558" max="12800" width="9" style="2893"/>
    <col min="12801" max="12801" width="4.90625" style="2893" customWidth="1"/>
    <col min="12802" max="12802" width="13.1796875" style="2893" customWidth="1"/>
    <col min="12803" max="12803" width="15.6328125" style="2893" customWidth="1"/>
    <col min="12804" max="12804" width="9.36328125" style="2893" bestFit="1" customWidth="1"/>
    <col min="12805" max="12805" width="13.453125" style="2893" customWidth="1"/>
    <col min="12806" max="12806" width="9" style="2893"/>
    <col min="12807" max="12807" width="9.36328125" style="2893" bestFit="1" customWidth="1"/>
    <col min="12808" max="12809" width="9" style="2893"/>
    <col min="12810" max="12810" width="9.36328125" style="2893" bestFit="1" customWidth="1"/>
    <col min="12811" max="12811" width="4" style="2893" customWidth="1"/>
    <col min="12812" max="12812" width="5.08984375" style="2893" customWidth="1"/>
    <col min="12813" max="12813" width="13.81640625" style="2893" customWidth="1"/>
    <col min="12814" max="13056" width="9" style="2893"/>
    <col min="13057" max="13057" width="4.90625" style="2893" customWidth="1"/>
    <col min="13058" max="13058" width="13.1796875" style="2893" customWidth="1"/>
    <col min="13059" max="13059" width="15.6328125" style="2893" customWidth="1"/>
    <col min="13060" max="13060" width="9.36328125" style="2893" bestFit="1" customWidth="1"/>
    <col min="13061" max="13061" width="13.453125" style="2893" customWidth="1"/>
    <col min="13062" max="13062" width="9" style="2893"/>
    <col min="13063" max="13063" width="9.36328125" style="2893" bestFit="1" customWidth="1"/>
    <col min="13064" max="13065" width="9" style="2893"/>
    <col min="13066" max="13066" width="9.36328125" style="2893" bestFit="1" customWidth="1"/>
    <col min="13067" max="13067" width="4" style="2893" customWidth="1"/>
    <col min="13068" max="13068" width="5.08984375" style="2893" customWidth="1"/>
    <col min="13069" max="13069" width="13.81640625" style="2893" customWidth="1"/>
    <col min="13070" max="13312" width="9" style="2893"/>
    <col min="13313" max="13313" width="4.90625" style="2893" customWidth="1"/>
    <col min="13314" max="13314" width="13.1796875" style="2893" customWidth="1"/>
    <col min="13315" max="13315" width="15.6328125" style="2893" customWidth="1"/>
    <col min="13316" max="13316" width="9.36328125" style="2893" bestFit="1" customWidth="1"/>
    <col min="13317" max="13317" width="13.453125" style="2893" customWidth="1"/>
    <col min="13318" max="13318" width="9" style="2893"/>
    <col min="13319" max="13319" width="9.36328125" style="2893" bestFit="1" customWidth="1"/>
    <col min="13320" max="13321" width="9" style="2893"/>
    <col min="13322" max="13322" width="9.36328125" style="2893" bestFit="1" customWidth="1"/>
    <col min="13323" max="13323" width="4" style="2893" customWidth="1"/>
    <col min="13324" max="13324" width="5.08984375" style="2893" customWidth="1"/>
    <col min="13325" max="13325" width="13.81640625" style="2893" customWidth="1"/>
    <col min="13326" max="13568" width="9" style="2893"/>
    <col min="13569" max="13569" width="4.90625" style="2893" customWidth="1"/>
    <col min="13570" max="13570" width="13.1796875" style="2893" customWidth="1"/>
    <col min="13571" max="13571" width="15.6328125" style="2893" customWidth="1"/>
    <col min="13572" max="13572" width="9.36328125" style="2893" bestFit="1" customWidth="1"/>
    <col min="13573" max="13573" width="13.453125" style="2893" customWidth="1"/>
    <col min="13574" max="13574" width="9" style="2893"/>
    <col min="13575" max="13575" width="9.36328125" style="2893" bestFit="1" customWidth="1"/>
    <col min="13576" max="13577" width="9" style="2893"/>
    <col min="13578" max="13578" width="9.36328125" style="2893" bestFit="1" customWidth="1"/>
    <col min="13579" max="13579" width="4" style="2893" customWidth="1"/>
    <col min="13580" max="13580" width="5.08984375" style="2893" customWidth="1"/>
    <col min="13581" max="13581" width="13.81640625" style="2893" customWidth="1"/>
    <col min="13582" max="13824" width="9" style="2893"/>
    <col min="13825" max="13825" width="4.90625" style="2893" customWidth="1"/>
    <col min="13826" max="13826" width="13.1796875" style="2893" customWidth="1"/>
    <col min="13827" max="13827" width="15.6328125" style="2893" customWidth="1"/>
    <col min="13828" max="13828" width="9.36328125" style="2893" bestFit="1" customWidth="1"/>
    <col min="13829" max="13829" width="13.453125" style="2893" customWidth="1"/>
    <col min="13830" max="13830" width="9" style="2893"/>
    <col min="13831" max="13831" width="9.36328125" style="2893" bestFit="1" customWidth="1"/>
    <col min="13832" max="13833" width="9" style="2893"/>
    <col min="13834" max="13834" width="9.36328125" style="2893" bestFit="1" customWidth="1"/>
    <col min="13835" max="13835" width="4" style="2893" customWidth="1"/>
    <col min="13836" max="13836" width="5.08984375" style="2893" customWidth="1"/>
    <col min="13837" max="13837" width="13.81640625" style="2893" customWidth="1"/>
    <col min="13838" max="14080" width="9" style="2893"/>
    <col min="14081" max="14081" width="4.90625" style="2893" customWidth="1"/>
    <col min="14082" max="14082" width="13.1796875" style="2893" customWidth="1"/>
    <col min="14083" max="14083" width="15.6328125" style="2893" customWidth="1"/>
    <col min="14084" max="14084" width="9.36328125" style="2893" bestFit="1" customWidth="1"/>
    <col min="14085" max="14085" width="13.453125" style="2893" customWidth="1"/>
    <col min="14086" max="14086" width="9" style="2893"/>
    <col min="14087" max="14087" width="9.36328125" style="2893" bestFit="1" customWidth="1"/>
    <col min="14088" max="14089" width="9" style="2893"/>
    <col min="14090" max="14090" width="9.36328125" style="2893" bestFit="1" customWidth="1"/>
    <col min="14091" max="14091" width="4" style="2893" customWidth="1"/>
    <col min="14092" max="14092" width="5.08984375" style="2893" customWidth="1"/>
    <col min="14093" max="14093" width="13.81640625" style="2893" customWidth="1"/>
    <col min="14094" max="14336" width="9" style="2893"/>
    <col min="14337" max="14337" width="4.90625" style="2893" customWidth="1"/>
    <col min="14338" max="14338" width="13.1796875" style="2893" customWidth="1"/>
    <col min="14339" max="14339" width="15.6328125" style="2893" customWidth="1"/>
    <col min="14340" max="14340" width="9.36328125" style="2893" bestFit="1" customWidth="1"/>
    <col min="14341" max="14341" width="13.453125" style="2893" customWidth="1"/>
    <col min="14342" max="14342" width="9" style="2893"/>
    <col min="14343" max="14343" width="9.36328125" style="2893" bestFit="1" customWidth="1"/>
    <col min="14344" max="14345" width="9" style="2893"/>
    <col min="14346" max="14346" width="9.36328125" style="2893" bestFit="1" customWidth="1"/>
    <col min="14347" max="14347" width="4" style="2893" customWidth="1"/>
    <col min="14348" max="14348" width="5.08984375" style="2893" customWidth="1"/>
    <col min="14349" max="14349" width="13.81640625" style="2893" customWidth="1"/>
    <col min="14350" max="14592" width="9" style="2893"/>
    <col min="14593" max="14593" width="4.90625" style="2893" customWidth="1"/>
    <col min="14594" max="14594" width="13.1796875" style="2893" customWidth="1"/>
    <col min="14595" max="14595" width="15.6328125" style="2893" customWidth="1"/>
    <col min="14596" max="14596" width="9.36328125" style="2893" bestFit="1" customWidth="1"/>
    <col min="14597" max="14597" width="13.453125" style="2893" customWidth="1"/>
    <col min="14598" max="14598" width="9" style="2893"/>
    <col min="14599" max="14599" width="9.36328125" style="2893" bestFit="1" customWidth="1"/>
    <col min="14600" max="14601" width="9" style="2893"/>
    <col min="14602" max="14602" width="9.36328125" style="2893" bestFit="1" customWidth="1"/>
    <col min="14603" max="14603" width="4" style="2893" customWidth="1"/>
    <col min="14604" max="14604" width="5.08984375" style="2893" customWidth="1"/>
    <col min="14605" max="14605" width="13.81640625" style="2893" customWidth="1"/>
    <col min="14606" max="14848" width="9" style="2893"/>
    <col min="14849" max="14849" width="4.90625" style="2893" customWidth="1"/>
    <col min="14850" max="14850" width="13.1796875" style="2893" customWidth="1"/>
    <col min="14851" max="14851" width="15.6328125" style="2893" customWidth="1"/>
    <col min="14852" max="14852" width="9.36328125" style="2893" bestFit="1" customWidth="1"/>
    <col min="14853" max="14853" width="13.453125" style="2893" customWidth="1"/>
    <col min="14854" max="14854" width="9" style="2893"/>
    <col min="14855" max="14855" width="9.36328125" style="2893" bestFit="1" customWidth="1"/>
    <col min="14856" max="14857" width="9" style="2893"/>
    <col min="14858" max="14858" width="9.36328125" style="2893" bestFit="1" customWidth="1"/>
    <col min="14859" max="14859" width="4" style="2893" customWidth="1"/>
    <col min="14860" max="14860" width="5.08984375" style="2893" customWidth="1"/>
    <col min="14861" max="14861" width="13.81640625" style="2893" customWidth="1"/>
    <col min="14862" max="15104" width="9" style="2893"/>
    <col min="15105" max="15105" width="4.90625" style="2893" customWidth="1"/>
    <col min="15106" max="15106" width="13.1796875" style="2893" customWidth="1"/>
    <col min="15107" max="15107" width="15.6328125" style="2893" customWidth="1"/>
    <col min="15108" max="15108" width="9.36328125" style="2893" bestFit="1" customWidth="1"/>
    <col min="15109" max="15109" width="13.453125" style="2893" customWidth="1"/>
    <col min="15110" max="15110" width="9" style="2893"/>
    <col min="15111" max="15111" width="9.36328125" style="2893" bestFit="1" customWidth="1"/>
    <col min="15112" max="15113" width="9" style="2893"/>
    <col min="15114" max="15114" width="9.36328125" style="2893" bestFit="1" customWidth="1"/>
    <col min="15115" max="15115" width="4" style="2893" customWidth="1"/>
    <col min="15116" max="15116" width="5.08984375" style="2893" customWidth="1"/>
    <col min="15117" max="15117" width="13.81640625" style="2893" customWidth="1"/>
    <col min="15118" max="15360" width="9" style="2893"/>
    <col min="15361" max="15361" width="4.90625" style="2893" customWidth="1"/>
    <col min="15362" max="15362" width="13.1796875" style="2893" customWidth="1"/>
    <col min="15363" max="15363" width="15.6328125" style="2893" customWidth="1"/>
    <col min="15364" max="15364" width="9.36328125" style="2893" bestFit="1" customWidth="1"/>
    <col min="15365" max="15365" width="13.453125" style="2893" customWidth="1"/>
    <col min="15366" max="15366" width="9" style="2893"/>
    <col min="15367" max="15367" width="9.36328125" style="2893" bestFit="1" customWidth="1"/>
    <col min="15368" max="15369" width="9" style="2893"/>
    <col min="15370" max="15370" width="9.36328125" style="2893" bestFit="1" customWidth="1"/>
    <col min="15371" max="15371" width="4" style="2893" customWidth="1"/>
    <col min="15372" max="15372" width="5.08984375" style="2893" customWidth="1"/>
    <col min="15373" max="15373" width="13.81640625" style="2893" customWidth="1"/>
    <col min="15374" max="15616" width="9" style="2893"/>
    <col min="15617" max="15617" width="4.90625" style="2893" customWidth="1"/>
    <col min="15618" max="15618" width="13.1796875" style="2893" customWidth="1"/>
    <col min="15619" max="15619" width="15.6328125" style="2893" customWidth="1"/>
    <col min="15620" max="15620" width="9.36328125" style="2893" bestFit="1" customWidth="1"/>
    <col min="15621" max="15621" width="13.453125" style="2893" customWidth="1"/>
    <col min="15622" max="15622" width="9" style="2893"/>
    <col min="15623" max="15623" width="9.36328125" style="2893" bestFit="1" customWidth="1"/>
    <col min="15624" max="15625" width="9" style="2893"/>
    <col min="15626" max="15626" width="9.36328125" style="2893" bestFit="1" customWidth="1"/>
    <col min="15627" max="15627" width="4" style="2893" customWidth="1"/>
    <col min="15628" max="15628" width="5.08984375" style="2893" customWidth="1"/>
    <col min="15629" max="15629" width="13.81640625" style="2893" customWidth="1"/>
    <col min="15630" max="15872" width="9" style="2893"/>
    <col min="15873" max="15873" width="4.90625" style="2893" customWidth="1"/>
    <col min="15874" max="15874" width="13.1796875" style="2893" customWidth="1"/>
    <col min="15875" max="15875" width="15.6328125" style="2893" customWidth="1"/>
    <col min="15876" max="15876" width="9.36328125" style="2893" bestFit="1" customWidth="1"/>
    <col min="15877" max="15877" width="13.453125" style="2893" customWidth="1"/>
    <col min="15878" max="15878" width="9" style="2893"/>
    <col min="15879" max="15879" width="9.36328125" style="2893" bestFit="1" customWidth="1"/>
    <col min="15880" max="15881" width="9" style="2893"/>
    <col min="15882" max="15882" width="9.36328125" style="2893" bestFit="1" customWidth="1"/>
    <col min="15883" max="15883" width="4" style="2893" customWidth="1"/>
    <col min="15884" max="15884" width="5.08984375" style="2893" customWidth="1"/>
    <col min="15885" max="15885" width="13.81640625" style="2893" customWidth="1"/>
    <col min="15886" max="16128" width="9" style="2893"/>
    <col min="16129" max="16129" width="4.90625" style="2893" customWidth="1"/>
    <col min="16130" max="16130" width="13.1796875" style="2893" customWidth="1"/>
    <col min="16131" max="16131" width="15.6328125" style="2893" customWidth="1"/>
    <col min="16132" max="16132" width="9.36328125" style="2893" bestFit="1" customWidth="1"/>
    <col min="16133" max="16133" width="13.453125" style="2893" customWidth="1"/>
    <col min="16134" max="16134" width="9" style="2893"/>
    <col min="16135" max="16135" width="9.36328125" style="2893" bestFit="1" customWidth="1"/>
    <col min="16136" max="16137" width="9" style="2893"/>
    <col min="16138" max="16138" width="9.36328125" style="2893" bestFit="1" customWidth="1"/>
    <col min="16139" max="16139" width="4" style="2893" customWidth="1"/>
    <col min="16140" max="16140" width="5.08984375" style="2893" customWidth="1"/>
    <col min="16141" max="16141" width="13.81640625" style="2893" customWidth="1"/>
    <col min="16142" max="16384" width="9" style="2893"/>
  </cols>
  <sheetData>
    <row r="1" spans="1:257" s="2953" customFormat="1" ht="14.5" thickBot="1">
      <c r="A1" s="2952"/>
      <c r="B1" s="2954" t="s">
        <v>2784</v>
      </c>
      <c r="C1" s="2958">
        <f>项目基本情况!D3</f>
        <v>43873</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3</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1">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3">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0">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211" t="s">
        <v>2036</v>
      </c>
      <c r="B1" s="3211"/>
      <c r="C1" s="3211"/>
      <c r="D1" s="3211"/>
      <c r="E1" s="3211"/>
      <c r="F1" s="3211"/>
      <c r="G1" s="3211"/>
      <c r="H1" s="3211"/>
      <c r="I1" s="3211"/>
      <c r="J1" s="3211"/>
      <c r="K1" s="3211"/>
      <c r="L1" s="3211"/>
      <c r="M1" s="3211"/>
      <c r="N1" s="3211"/>
      <c r="O1" s="3211"/>
      <c r="P1" s="3211"/>
      <c r="Q1" s="3211"/>
      <c r="R1" s="3211"/>
    </row>
    <row r="2" spans="1:18">
      <c r="A2" s="1791" t="s">
        <v>2038</v>
      </c>
      <c r="B2" s="1791"/>
      <c r="C2" s="1791"/>
      <c r="D2" s="1791"/>
      <c r="E2" s="1791"/>
      <c r="F2" s="1791"/>
      <c r="G2" s="1791"/>
      <c r="H2" s="1791"/>
      <c r="I2" s="1792"/>
      <c r="J2" s="1792"/>
      <c r="K2" s="1793" t="str">
        <f>"估价期日："&amp;TEXT(项目基本情况!D3,"yyyy年m月d日;;")</f>
        <v>估价期日：2020年2月12日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2" t="s">
        <v>2027</v>
      </c>
      <c r="B3" s="3212" t="s">
        <v>2728</v>
      </c>
      <c r="C3" s="3213" t="s">
        <v>2028</v>
      </c>
      <c r="D3" s="3212" t="s">
        <v>2732</v>
      </c>
      <c r="E3" s="3207" t="s">
        <v>2029</v>
      </c>
      <c r="F3" s="3207"/>
      <c r="G3" s="3207"/>
      <c r="H3" s="3207" t="s">
        <v>2030</v>
      </c>
      <c r="I3" s="3207"/>
      <c r="J3" s="3207"/>
      <c r="K3" s="3213" t="s">
        <v>2031</v>
      </c>
      <c r="L3" s="3213" t="s">
        <v>2032</v>
      </c>
      <c r="M3" s="3212" t="s">
        <v>2729</v>
      </c>
      <c r="N3" s="3214" t="str">
        <f>"（分摊）"&amp;项目基本情况!B16&amp;"国有建设用地使用权面积/㎡"</f>
        <v>（分摊）出让国有建设用地使用权面积/㎡</v>
      </c>
      <c r="O3" s="3212" t="s">
        <v>2061</v>
      </c>
      <c r="P3" s="3213" t="s">
        <v>2041</v>
      </c>
      <c r="Q3" s="3213" t="s">
        <v>2062</v>
      </c>
      <c r="R3" s="3213" t="s">
        <v>2033</v>
      </c>
    </row>
    <row r="4" spans="1:18" ht="36.75" customHeight="1">
      <c r="A4" s="3212"/>
      <c r="B4" s="3212"/>
      <c r="C4" s="3213"/>
      <c r="D4" s="3212"/>
      <c r="E4" s="2612" t="s">
        <v>2040</v>
      </c>
      <c r="F4" s="2612" t="s">
        <v>2741</v>
      </c>
      <c r="G4" s="2612" t="s">
        <v>2034</v>
      </c>
      <c r="H4" s="2612" t="s">
        <v>2035</v>
      </c>
      <c r="I4" s="2612" t="s">
        <v>2742</v>
      </c>
      <c r="J4" s="2612" t="s">
        <v>2034</v>
      </c>
      <c r="K4" s="3213"/>
      <c r="L4" s="3213"/>
      <c r="M4" s="3212"/>
      <c r="N4" s="3214"/>
      <c r="O4" s="3212"/>
      <c r="P4" s="3213"/>
      <c r="Q4" s="3213"/>
      <c r="R4" s="3213"/>
    </row>
    <row r="5" spans="1:18" ht="135" customHeight="1">
      <c r="A5" s="1927" t="s">
        <v>2652</v>
      </c>
      <c r="B5" s="2821" t="s">
        <v>2650</v>
      </c>
      <c r="C5" s="2611">
        <v>22</v>
      </c>
      <c r="D5" s="2610" t="s">
        <v>2651</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f>IF(项目基本情况!B16="出让",项目基本情况!D20,"——")</f>
        <v>0</v>
      </c>
      <c r="N5" s="1794">
        <f>项目基本情况!C22</f>
        <v>97560.5</v>
      </c>
      <c r="O5" s="1794">
        <f>项目基本情况!C21</f>
        <v>189603.41999999995</v>
      </c>
      <c r="P5" s="1794">
        <f ca="1">结果表!E42</f>
        <v>30475</v>
      </c>
      <c r="Q5" s="1794">
        <f ca="1">结果表!D42</f>
        <v>15681</v>
      </c>
      <c r="R5" s="1795">
        <f ca="1">结果表!C42</f>
        <v>297311</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6">
        <f ca="1">结果表!O39</f>
        <v>263425</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6"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81640625" style="1786" customWidth="1"/>
    <col min="2" max="3" width="21.36328125" style="1786" customWidth="1"/>
    <col min="4" max="4" width="19.90625" style="1786" customWidth="1"/>
    <col min="5" max="16384" width="9" style="1786"/>
  </cols>
  <sheetData>
    <row r="1" spans="1:4">
      <c r="A1" s="3216" t="s">
        <v>2063</v>
      </c>
      <c r="B1" s="3216"/>
      <c r="C1" s="3216"/>
      <c r="D1" s="3216"/>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2064</v>
      </c>
      <c r="B5" s="3215"/>
      <c r="C5" s="3215"/>
      <c r="D5" s="3215"/>
    </row>
    <row r="6" spans="1:4">
      <c r="A6" s="3216" t="s">
        <v>2042</v>
      </c>
      <c r="B6" s="3216"/>
      <c r="C6" s="3216"/>
      <c r="D6" s="3216"/>
    </row>
    <row r="7" spans="1:4" ht="33" customHeight="1">
      <c r="A7" s="3216" t="s">
        <v>2572</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2066</v>
      </c>
      <c r="B12" s="3215"/>
      <c r="C12" s="3215"/>
      <c r="D12" s="3215"/>
    </row>
    <row r="13" spans="1:4">
      <c r="A13" s="3219" t="s">
        <v>2743</v>
      </c>
      <c r="B13" s="3219"/>
      <c r="C13" s="3219"/>
      <c r="D13" s="3219"/>
    </row>
    <row r="14" spans="1:4">
      <c r="A14" s="3218" t="str">
        <f>IF(项目基本情况!B8="抵押","综上，"&amp;结果表!K47,"——")</f>
        <v>综上，本次评估估价师知悉的法定优先受偿款为人民币33886万元整。</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2699</v>
      </c>
      <c r="B17" s="3216"/>
      <c r="C17" s="3216"/>
      <c r="D17" s="3216"/>
    </row>
    <row r="18" spans="1:4">
      <c r="A18" s="3216" t="s">
        <v>2691</v>
      </c>
      <c r="B18" s="3216"/>
      <c r="C18" s="3216"/>
      <c r="D18" s="3216"/>
    </row>
    <row r="19" spans="1:4">
      <c r="A19" s="2822" t="s">
        <v>2692</v>
      </c>
      <c r="B19" s="2822" t="s">
        <v>2693</v>
      </c>
      <c r="C19" s="2822" t="s">
        <v>2694</v>
      </c>
      <c r="D19" s="2822" t="s">
        <v>2695</v>
      </c>
    </row>
    <row r="20" spans="1:4">
      <c r="A20" s="2822" t="str">
        <f>项目基本情况!B4</f>
        <v>土地估价师</v>
      </c>
      <c r="B20" s="2822">
        <f>项目基本情况!C4</f>
        <v>0</v>
      </c>
      <c r="C20" s="2824"/>
      <c r="D20" s="1784" t="s">
        <v>2700</v>
      </c>
    </row>
    <row r="21" spans="1:4">
      <c r="A21" s="2822" t="str">
        <f>项目基本情况!D4</f>
        <v>土地估价师</v>
      </c>
      <c r="B21" s="2822">
        <f>项目基本情况!E4</f>
        <v>0</v>
      </c>
      <c r="C21" s="2824"/>
      <c r="D21" s="1784" t="s">
        <v>2701</v>
      </c>
    </row>
    <row r="23" spans="1:4">
      <c r="A23" s="3216" t="s">
        <v>2696</v>
      </c>
      <c r="B23" s="3216"/>
      <c r="C23" s="3216"/>
      <c r="D23" s="3216"/>
    </row>
    <row r="24" spans="1:4">
      <c r="A24" s="2822" t="s">
        <v>2692</v>
      </c>
      <c r="B24" s="2822" t="s">
        <v>2697</v>
      </c>
      <c r="C24" s="2822" t="s">
        <v>2694</v>
      </c>
      <c r="D24" s="2822" t="s">
        <v>2695</v>
      </c>
    </row>
    <row r="25" spans="1:4">
      <c r="A25" s="2825" t="s">
        <v>2698</v>
      </c>
      <c r="B25" s="2822" t="s">
        <v>952</v>
      </c>
      <c r="C25" s="2824"/>
      <c r="D25" s="1784" t="s">
        <v>2701</v>
      </c>
    </row>
    <row r="29" spans="1:4">
      <c r="D29" s="2823" t="s">
        <v>2037</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
      <selection pane="bottomLeft" activeCell="A76" sqref="A76"/>
    </sheetView>
  </sheetViews>
  <sheetFormatPr defaultColWidth="14.453125" defaultRowHeight="15.5"/>
  <cols>
    <col min="1" max="1" width="14.453125" style="1160" customWidth="1"/>
    <col min="2" max="16384" width="14.453125" style="1158"/>
  </cols>
  <sheetData>
    <row r="1" spans="1:7" s="1156" customFormat="1" ht="18">
      <c r="A1" s="1155" t="s">
        <v>65</v>
      </c>
    </row>
    <row r="3" spans="1:7" ht="15">
      <c r="A3" s="1157" t="s">
        <v>66</v>
      </c>
      <c r="B3" s="1158" t="s">
        <v>67</v>
      </c>
      <c r="G3" s="1159"/>
    </row>
    <row r="4" spans="1:7">
      <c r="G4" s="1159"/>
    </row>
    <row r="5" spans="1:7" ht="15">
      <c r="A5" s="1161" t="s">
        <v>45</v>
      </c>
      <c r="B5" s="1158" t="s">
        <v>46</v>
      </c>
      <c r="G5" s="1159"/>
    </row>
    <row r="6" spans="1:7">
      <c r="G6" s="1159"/>
    </row>
    <row r="7" spans="1:7" ht="1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
      <c r="A15" s="3227" t="s">
        <v>53</v>
      </c>
      <c r="B15" s="3228" t="s">
        <v>846</v>
      </c>
      <c r="C15" s="3224"/>
    </row>
    <row r="16" spans="1:7" ht="14">
      <c r="A16" s="3227"/>
      <c r="B16" s="3225" t="s">
        <v>54</v>
      </c>
      <c r="C16" s="1167" t="s">
        <v>53</v>
      </c>
    </row>
    <row r="17" spans="1:3" ht="14">
      <c r="A17" s="3227"/>
      <c r="B17" s="3225"/>
      <c r="C17" s="1167" t="s">
        <v>55</v>
      </c>
    </row>
    <row r="18" spans="1:3" ht="14">
      <c r="A18" s="3227"/>
      <c r="B18" s="3225"/>
      <c r="C18" s="1167" t="s">
        <v>56</v>
      </c>
    </row>
    <row r="19" spans="1:3" ht="14">
      <c r="A19" s="3227"/>
      <c r="B19" s="3223" t="s">
        <v>57</v>
      </c>
      <c r="C19" s="3224"/>
    </row>
    <row r="20" spans="1:3" ht="14">
      <c r="A20" s="1168" t="s">
        <v>58</v>
      </c>
      <c r="B20" s="1169"/>
      <c r="C20" s="1170"/>
    </row>
    <row r="21" spans="1:3" ht="14">
      <c r="A21" s="3226" t="s">
        <v>59</v>
      </c>
      <c r="B21" s="3223" t="s">
        <v>60</v>
      </c>
      <c r="C21" s="3224"/>
    </row>
    <row r="22" spans="1:3" ht="14">
      <c r="A22" s="3226"/>
      <c r="B22" s="3223" t="s">
        <v>61</v>
      </c>
      <c r="C22" s="3224"/>
    </row>
    <row r="23" spans="1:3" ht="14">
      <c r="A23" s="3226"/>
      <c r="B23" s="3223" t="s">
        <v>62</v>
      </c>
      <c r="C23" s="3224"/>
    </row>
    <row r="24" spans="1:3" ht="14">
      <c r="A24" s="3226"/>
      <c r="B24" s="3229" t="s">
        <v>63</v>
      </c>
      <c r="C24" s="1171" t="s">
        <v>837</v>
      </c>
    </row>
    <row r="25" spans="1:3" ht="14">
      <c r="A25" s="3226"/>
      <c r="B25" s="3230"/>
      <c r="C25" s="1171" t="s">
        <v>838</v>
      </c>
    </row>
    <row r="26" spans="1:3" ht="14">
      <c r="A26" s="3226"/>
      <c r="B26" s="3230"/>
      <c r="C26" s="1171" t="s">
        <v>839</v>
      </c>
    </row>
    <row r="27" spans="1:3" ht="14">
      <c r="A27" s="3226"/>
      <c r="B27" s="3230"/>
      <c r="C27" s="1171" t="s">
        <v>840</v>
      </c>
    </row>
    <row r="28" spans="1:3" ht="14">
      <c r="A28" s="3226"/>
      <c r="B28" s="3230"/>
      <c r="C28" s="1171" t="s">
        <v>841</v>
      </c>
    </row>
    <row r="29" spans="1:3" ht="14">
      <c r="A29" s="3226"/>
      <c r="B29" s="3230"/>
      <c r="C29" s="1171" t="s">
        <v>842</v>
      </c>
    </row>
    <row r="30" spans="1:3" ht="14">
      <c r="A30" s="3226"/>
      <c r="B30" s="3230"/>
      <c r="C30" s="1171" t="s">
        <v>843</v>
      </c>
    </row>
    <row r="31" spans="1:3" ht="14">
      <c r="A31" s="3226"/>
      <c r="B31" s="3230"/>
      <c r="C31" s="1171" t="s">
        <v>844</v>
      </c>
    </row>
    <row r="32" spans="1:3" ht="14">
      <c r="A32" s="3226"/>
      <c r="B32" s="3230"/>
      <c r="C32" s="1171" t="s">
        <v>1646</v>
      </c>
    </row>
    <row r="33" spans="1:3" ht="14">
      <c r="A33" s="3226"/>
      <c r="B33" s="3220" t="s">
        <v>1652</v>
      </c>
      <c r="C33" s="1171" t="s">
        <v>1647</v>
      </c>
    </row>
    <row r="34" spans="1:3" ht="14">
      <c r="A34" s="3226"/>
      <c r="B34" s="3221"/>
      <c r="C34" s="1176" t="s">
        <v>1648</v>
      </c>
    </row>
    <row r="35" spans="1:3" ht="14">
      <c r="A35" s="3226"/>
      <c r="B35" s="3221"/>
      <c r="C35" s="1177" t="s">
        <v>1649</v>
      </c>
    </row>
    <row r="36" spans="1:3" ht="14">
      <c r="A36" s="3226"/>
      <c r="B36" s="3221"/>
      <c r="C36" s="1177" t="s">
        <v>1650</v>
      </c>
    </row>
    <row r="37" spans="1:3" ht="14">
      <c r="A37" s="3226"/>
      <c r="B37" s="3222"/>
      <c r="C37" s="1178" t="s">
        <v>1651</v>
      </c>
    </row>
    <row r="38" spans="1:3">
      <c r="A38" s="1172" t="s">
        <v>845</v>
      </c>
    </row>
    <row r="41" spans="1:3">
      <c r="A41" s="1172" t="s">
        <v>68</v>
      </c>
    </row>
    <row r="42" spans="1:3" ht="14">
      <c r="A42" s="1173" t="s">
        <v>853</v>
      </c>
    </row>
    <row r="43" spans="1:3" ht="14">
      <c r="A43" s="1174" t="s">
        <v>69</v>
      </c>
    </row>
    <row r="44" spans="1:3" ht="14">
      <c r="A44" s="1173" t="s">
        <v>852</v>
      </c>
    </row>
    <row r="45" spans="1:3" ht="14">
      <c r="A45" s="1175" t="s">
        <v>854</v>
      </c>
    </row>
    <row r="46" spans="1:3" ht="1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
    </sheetView>
  </sheetViews>
  <sheetFormatPr defaultColWidth="22.6328125" defaultRowHeight="20.25" customHeight="1"/>
  <cols>
    <col min="1" max="1" width="24.81640625" style="3128" customWidth="1"/>
    <col min="2" max="5" width="22.6328125" style="3128"/>
    <col min="6" max="6" width="25.6328125" style="3128" customWidth="1"/>
    <col min="7" max="16384" width="22.6328125" style="3128"/>
  </cols>
  <sheetData>
    <row r="2" spans="1:6" ht="20.25" customHeight="1">
      <c r="A2" s="3125" t="s">
        <v>1907</v>
      </c>
      <c r="B2" s="3126">
        <f ca="1">TODAY()</f>
        <v>43873</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t="str">
        <f ca="1">IF(C4&lt;B2,"已过期",1119970066)</f>
        <v>已过期</v>
      </c>
      <c r="C4" s="3132">
        <v>43849</v>
      </c>
      <c r="D4" s="3130" t="s">
        <v>1914</v>
      </c>
      <c r="E4" s="3130">
        <f ca="1">IF(F4&lt;B2,"已过期",96010014)</f>
        <v>96010014</v>
      </c>
      <c r="F4" s="3133">
        <v>47118</v>
      </c>
    </row>
    <row r="5" spans="1:6" ht="20.25" customHeight="1">
      <c r="A5" s="3130"/>
      <c r="B5" s="3130"/>
      <c r="C5" s="3132"/>
      <c r="D5" s="3130"/>
      <c r="E5" s="3130"/>
      <c r="F5" s="3133"/>
    </row>
    <row r="6" spans="1:6" ht="20.25" customHeight="1">
      <c r="A6" s="3130" t="s">
        <v>1915</v>
      </c>
      <c r="B6" s="3130">
        <f ca="1">IF(C6&lt;B2,"已过期",1119970111)</f>
        <v>1119970111</v>
      </c>
      <c r="C6" s="3132">
        <v>44876</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t="str">
        <f ca="1">IF(C8&lt;B2,"已过期",1120000080)</f>
        <v>已过期</v>
      </c>
      <c r="C8" s="3132">
        <v>43849</v>
      </c>
      <c r="D8" s="3130" t="s">
        <v>1917</v>
      </c>
      <c r="E8" s="3130">
        <f ca="1">IF(F8&lt;B2,"已过期",2000110082)</f>
        <v>2000110082</v>
      </c>
      <c r="F8" s="3133">
        <v>46387</v>
      </c>
    </row>
    <row r="9" spans="1:6" ht="20.25" customHeight="1">
      <c r="A9" s="3130" t="s">
        <v>1918</v>
      </c>
      <c r="B9" s="3130" t="str">
        <f ca="1">IF(C9&lt;B2,"已过期",1419970001)</f>
        <v>已过期</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44849</v>
      </c>
      <c r="D13" s="3130" t="s">
        <v>1921</v>
      </c>
      <c r="E13" s="3130">
        <f ca="1">IF(F13&lt;B2,"已过期",2014110011)</f>
        <v>2014110011</v>
      </c>
      <c r="F13" s="3133">
        <v>49302</v>
      </c>
    </row>
    <row r="14" spans="1:6" ht="20.25" customHeight="1">
      <c r="A14" s="3130" t="s">
        <v>2978</v>
      </c>
      <c r="B14" s="3130">
        <f ca="1">IF(C14&lt;B2,"已过期",1120040230)</f>
        <v>1120040230</v>
      </c>
      <c r="C14" s="3134">
        <v>44864</v>
      </c>
      <c r="D14" s="3135" t="s">
        <v>2979</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2992</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t="s">
        <v>2994</v>
      </c>
      <c r="B23" s="3130">
        <v>1119980106</v>
      </c>
      <c r="C23" s="3132">
        <v>43916</v>
      </c>
      <c r="D23" s="3130"/>
      <c r="E23" s="3130"/>
      <c r="F23" s="3130"/>
    </row>
    <row r="24" spans="1:7" s="3138" customFormat="1" ht="20.25" customHeight="1">
      <c r="A24" s="3129" t="s">
        <v>2051</v>
      </c>
      <c r="B24" s="3129" t="s">
        <v>2051</v>
      </c>
      <c r="C24" s="3132"/>
      <c r="D24" s="3137" t="s">
        <v>2051</v>
      </c>
      <c r="E24" s="3129" t="s">
        <v>2051</v>
      </c>
      <c r="F24" s="3136"/>
    </row>
    <row r="25" spans="1:7" ht="20.25" customHeight="1">
      <c r="A25" s="3231" t="s">
        <v>1924</v>
      </c>
      <c r="B25" s="3231"/>
      <c r="C25" s="3231"/>
      <c r="D25" s="3231"/>
      <c r="E25" s="3231"/>
      <c r="F25" s="3231"/>
      <c r="G25" s="3231"/>
    </row>
    <row r="26" spans="1:7" ht="20.25" customHeight="1">
      <c r="A26" s="3232" t="s">
        <v>1925</v>
      </c>
      <c r="B26" s="3232"/>
      <c r="C26" s="3232"/>
      <c r="D26" s="3232" t="s">
        <v>1926</v>
      </c>
      <c r="E26" s="3232"/>
      <c r="F26" s="3232"/>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44820</v>
      </c>
      <c r="D28" s="3141" t="s">
        <v>1932</v>
      </c>
      <c r="E28" s="3141" t="s">
        <v>1933</v>
      </c>
      <c r="F28" s="3142">
        <v>44377</v>
      </c>
    </row>
    <row r="29" spans="1:7" s="3125" customFormat="1" ht="20.25" customHeight="1">
      <c r="A29" s="3141"/>
      <c r="B29" s="3141"/>
      <c r="C29" s="3143"/>
      <c r="D29" s="3141" t="s">
        <v>1934</v>
      </c>
      <c r="E29" s="3141" t="s">
        <v>2993</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Z19" sqref="Z19"/>
    </sheetView>
  </sheetViews>
  <sheetFormatPr defaultColWidth="9" defaultRowHeight="14"/>
  <cols>
    <col min="1" max="1" width="10.36328125" style="1180" customWidth="1"/>
    <col min="2" max="2" width="18.90625" style="115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58" customWidth="1"/>
    <col min="25" max="25" width="7.1796875" style="1158" customWidth="1"/>
    <col min="26" max="16384" width="9" style="1158"/>
  </cols>
  <sheetData>
    <row r="1" spans="1:23" s="1179" customFormat="1" ht="2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2952</v>
      </c>
      <c r="C18" s="1539"/>
    </row>
    <row r="19" spans="1:3">
      <c r="A19" s="8" t="s">
        <v>120</v>
      </c>
      <c r="B19" s="3063" t="s">
        <v>2960</v>
      </c>
      <c r="C19" s="1539"/>
    </row>
    <row r="20" spans="1:3">
      <c r="A20" s="8" t="s">
        <v>121</v>
      </c>
      <c r="B20" s="3198" t="s">
        <v>3138</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33"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12日，在规划利用条件下、设定土地开发程度为红线外“七通”、宗地内场地平整，设定用途为，剩余土地使用年限为的出让国有建设用地使用权价格。</v>
      </c>
      <c r="D53" s="1751"/>
      <c r="E53" s="1751"/>
    </row>
    <row r="54" spans="1:5">
      <c r="A54" s="3233"/>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3"/>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3"/>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3"/>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Sheet1</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比较法-工业</vt:lpstr>
      <vt:lpstr>剩余法-待开发</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不动产收益法 (车库)</vt:lpstr>
      <vt:lpstr>不动产比较法-工业</vt:lpstr>
      <vt:lpstr>不动产比较法-车位</vt:lpstr>
      <vt:lpstr>不动产比较法-仓储</vt:lpstr>
      <vt:lpstr>Sheet3</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2017-03-09T08:11:21Z</cp:lastPrinted>
  <dcterms:created xsi:type="dcterms:W3CDTF">2015-07-13T07:17:23Z</dcterms:created>
  <dcterms:modified xsi:type="dcterms:W3CDTF">2020-02-12T17:26:57Z</dcterms:modified>
</cp:coreProperties>
</file>