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40" windowWidth="11565" windowHeight="940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I48" i="39" l="1"/>
  <c r="G48" i="39"/>
  <c r="E48" i="39"/>
  <c r="I40" i="39"/>
  <c r="G40" i="39"/>
  <c r="E40" i="39"/>
  <c r="P72" i="39"/>
  <c r="P70" i="39"/>
  <c r="I9" i="39"/>
  <c r="G9" i="39"/>
  <c r="E9" i="39"/>
  <c r="I7" i="39"/>
  <c r="G7" i="39"/>
  <c r="E7" i="39"/>
  <c r="O72" i="39"/>
  <c r="O70" i="39"/>
  <c r="C40" i="39"/>
  <c r="C13" i="39"/>
  <c r="C10" i="12" l="1"/>
  <c r="F19" i="6" l="1"/>
  <c r="AN13" i="3"/>
  <c r="AL13" i="3"/>
  <c r="I13" i="3"/>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J51" i="15"/>
  <c r="D15" i="59"/>
  <c r="AH13" i="59"/>
  <c r="AG13" i="59"/>
  <c r="AE13" i="59"/>
  <c r="AF13" i="59" s="1"/>
  <c r="AD13" i="59"/>
  <c r="AE14" i="59"/>
  <c r="AF14" i="59"/>
  <c r="AG14" i="59"/>
  <c r="AH14" i="59"/>
  <c r="AD14" i="59"/>
  <c r="Q14" i="59"/>
  <c r="P14" i="59"/>
  <c r="O14" i="59"/>
  <c r="N14" i="59"/>
  <c r="N15" i="59"/>
  <c r="Q15" i="59"/>
  <c r="P15" i="59"/>
  <c r="O15" i="59"/>
  <c r="K59" i="15"/>
  <c r="P62" i="15"/>
  <c r="P75" i="15"/>
  <c r="Q74" i="44"/>
  <c r="Q61" i="44"/>
  <c r="Q60" i="44"/>
  <c r="Q53" i="44"/>
  <c r="J51" i="44"/>
  <c r="J52" i="44" s="1"/>
  <c r="M48" i="44"/>
  <c r="A16" i="55"/>
  <c r="A15" i="55"/>
  <c r="B66" i="63" s="1"/>
  <c r="A10" i="55"/>
  <c r="B61" i="63" s="1"/>
  <c r="A9" i="55"/>
  <c r="B60" i="63" s="1"/>
  <c r="A8" i="55"/>
  <c r="A6" i="54"/>
  <c r="A8" i="54"/>
  <c r="A7" i="54"/>
  <c r="B51" i="63" s="1"/>
  <c r="A27" i="51"/>
  <c r="B20" i="63"/>
  <c r="Q16" i="59"/>
  <c r="O16" i="59"/>
  <c r="N17" i="59"/>
  <c r="O17" i="59"/>
  <c r="P17" i="59"/>
  <c r="Q17" i="59"/>
  <c r="N16" i="59"/>
  <c r="P16" i="59"/>
  <c r="K75" i="9"/>
  <c r="K6" i="4"/>
  <c r="O76" i="9"/>
  <c r="L76" i="9"/>
  <c r="K76" i="9"/>
  <c r="B22" i="31"/>
  <c r="E15" i="66"/>
  <c r="F15" i="66"/>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3" i="65"/>
  <c r="C1" i="65"/>
  <c r="N1" i="65"/>
  <c r="D14" i="59"/>
  <c r="B76" i="63"/>
  <c r="M5" i="54"/>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c r="B40" i="50"/>
  <c r="B3" i="63"/>
  <c r="B67" i="63"/>
  <c r="I19" i="46"/>
  <c r="Q18" i="59"/>
  <c r="F18" i="59" s="1"/>
  <c r="F17" i="59" s="1"/>
  <c r="F16" i="59" s="1"/>
  <c r="P18" i="59"/>
  <c r="E18" i="59" s="1"/>
  <c r="O18" i="59"/>
  <c r="C18" i="59" s="1"/>
  <c r="N18" i="59"/>
  <c r="B18" i="59" s="1"/>
  <c r="D79" i="59"/>
  <c r="F78" i="59"/>
  <c r="F77" i="59" s="1"/>
  <c r="E78" i="59"/>
  <c r="E77" i="59"/>
  <c r="E76" i="59" s="1"/>
  <c r="C78" i="59"/>
  <c r="D78" i="59" s="1"/>
  <c r="B78" i="59"/>
  <c r="B77" i="59" s="1"/>
  <c r="F76" i="59"/>
  <c r="B76" i="59"/>
  <c r="D75" i="59"/>
  <c r="F74" i="59"/>
  <c r="F73" i="59" s="1"/>
  <c r="E74" i="59"/>
  <c r="E73" i="59"/>
  <c r="E72" i="59" s="1"/>
  <c r="C74" i="59"/>
  <c r="D74" i="59" s="1"/>
  <c r="B74" i="59"/>
  <c r="B73" i="59" s="1"/>
  <c r="F72" i="59"/>
  <c r="B72"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V58" i="59"/>
  <c r="E58" i="59"/>
  <c r="E57" i="59"/>
  <c r="P57" i="59" s="1"/>
  <c r="C58" i="59"/>
  <c r="B58" i="59"/>
  <c r="N58" i="59"/>
  <c r="F57" i="59"/>
  <c r="F56" i="59"/>
  <c r="B57" i="59"/>
  <c r="D55" i="59"/>
  <c r="Q54" i="59"/>
  <c r="P54" i="59"/>
  <c r="O54" i="59"/>
  <c r="N54" i="59"/>
  <c r="Q53" i="59"/>
  <c r="P53" i="59"/>
  <c r="O53" i="59"/>
  <c r="N53" i="59"/>
  <c r="Q52" i="59"/>
  <c r="P52" i="59"/>
  <c r="O52" i="59"/>
  <c r="N52" i="59"/>
  <c r="Q51" i="59"/>
  <c r="F52" i="59"/>
  <c r="P51" i="59"/>
  <c r="E52" i="59"/>
  <c r="E53" i="59" s="1"/>
  <c r="E54" i="59" s="1"/>
  <c r="U54" i="59" s="1"/>
  <c r="O51" i="59"/>
  <c r="C52" i="59" s="1"/>
  <c r="N51" i="59"/>
  <c r="B52" i="59" s="1"/>
  <c r="B53" i="59"/>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c r="B46" i="59" s="1"/>
  <c r="S46" i="59" s="1"/>
  <c r="D43" i="59"/>
  <c r="Q42" i="59"/>
  <c r="P42" i="59"/>
  <c r="O42" i="59"/>
  <c r="N42" i="59"/>
  <c r="Q41" i="59"/>
  <c r="P41" i="59"/>
  <c r="O41" i="59"/>
  <c r="N41" i="59"/>
  <c r="Q40" i="59"/>
  <c r="P40" i="59"/>
  <c r="O40" i="59"/>
  <c r="N40" i="59"/>
  <c r="Q39" i="59"/>
  <c r="F40" i="59" s="1"/>
  <c r="F41" i="59"/>
  <c r="F42" i="59" s="1"/>
  <c r="V42" i="59" s="1"/>
  <c r="P39" i="59"/>
  <c r="E40" i="59"/>
  <c r="O39" i="59"/>
  <c r="C40" i="59"/>
  <c r="N39" i="59"/>
  <c r="B40" i="59"/>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P31" i="59"/>
  <c r="E32" i="59"/>
  <c r="E33" i="59" s="1"/>
  <c r="E34" i="59" s="1"/>
  <c r="U34" i="59" s="1"/>
  <c r="O31" i="59"/>
  <c r="C32" i="59" s="1"/>
  <c r="N31" i="59"/>
  <c r="B32" i="59" s="1"/>
  <c r="B33" i="59" s="1"/>
  <c r="B34" i="59" s="1"/>
  <c r="S34" i="59" s="1"/>
  <c r="D31" i="59"/>
  <c r="Q30" i="59"/>
  <c r="P30" i="59"/>
  <c r="O30" i="59"/>
  <c r="N30" i="59"/>
  <c r="Q29" i="59"/>
  <c r="AB29" i="59" s="1"/>
  <c r="P29" i="59"/>
  <c r="O29" i="59"/>
  <c r="Y29" i="59"/>
  <c r="Z29" i="59" s="1"/>
  <c r="N29" i="59"/>
  <c r="X29" i="59" s="1"/>
  <c r="Q28" i="59"/>
  <c r="AB28" i="59" s="1"/>
  <c r="P28" i="59"/>
  <c r="O28" i="59"/>
  <c r="Y28" i="59" s="1"/>
  <c r="N28" i="59"/>
  <c r="Q27" i="59"/>
  <c r="AB27" i="59" s="1"/>
  <c r="P27" i="59"/>
  <c r="AA27" i="59" s="1"/>
  <c r="O27" i="59"/>
  <c r="C28" i="59"/>
  <c r="N27" i="59"/>
  <c r="B28" i="59"/>
  <c r="B29" i="59" s="1"/>
  <c r="B30" i="59" s="1"/>
  <c r="S30" i="59" s="1"/>
  <c r="D27" i="59"/>
  <c r="Q26" i="59"/>
  <c r="P26" i="59"/>
  <c r="AA26" i="59" s="1"/>
  <c r="O26" i="59"/>
  <c r="N26" i="59"/>
  <c r="X26" i="59" s="1"/>
  <c r="Q25" i="59"/>
  <c r="P25" i="59"/>
  <c r="AA25" i="59" s="1"/>
  <c r="O25" i="59"/>
  <c r="N25" i="59"/>
  <c r="X25" i="59" s="1"/>
  <c r="Q24" i="59"/>
  <c r="P24" i="59"/>
  <c r="AA24" i="59" s="1"/>
  <c r="O24" i="59"/>
  <c r="N24" i="59"/>
  <c r="X24" i="59" s="1"/>
  <c r="Q23" i="59"/>
  <c r="F24" i="59"/>
  <c r="P23" i="59"/>
  <c r="E24" i="59"/>
  <c r="E25" i="59" s="1"/>
  <c r="E26" i="59" s="1"/>
  <c r="U26" i="59" s="1"/>
  <c r="O23" i="59"/>
  <c r="Y23" i="59" s="1"/>
  <c r="Z23" i="59" s="1"/>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AA19" i="59" s="1"/>
  <c r="O19" i="59"/>
  <c r="C20" i="59"/>
  <c r="C21" i="59" s="1"/>
  <c r="N19" i="59"/>
  <c r="B20" i="59"/>
  <c r="B21" i="59" s="1"/>
  <c r="B22" i="59" s="1"/>
  <c r="S22" i="59" s="1"/>
  <c r="D19" i="59"/>
  <c r="X3" i="59"/>
  <c r="X16" i="59"/>
  <c r="X18" i="59"/>
  <c r="AA15" i="59"/>
  <c r="AA17" i="59"/>
  <c r="Y15" i="59"/>
  <c r="Z15" i="59" s="1"/>
  <c r="Y16" i="59"/>
  <c r="Z16" i="59" s="1"/>
  <c r="Y17" i="59"/>
  <c r="Z17" i="59" s="1"/>
  <c r="Y18" i="59"/>
  <c r="Z18" i="59" s="1"/>
  <c r="AB18" i="59"/>
  <c r="AB15" i="59"/>
  <c r="AB17" i="59"/>
  <c r="E20" i="59"/>
  <c r="E21" i="59" s="1"/>
  <c r="E22" i="59" s="1"/>
  <c r="U22" i="59" s="1"/>
  <c r="B41" i="59"/>
  <c r="B42" i="59" s="1"/>
  <c r="S42" i="59" s="1"/>
  <c r="E41" i="59"/>
  <c r="E42" i="59"/>
  <c r="U42" i="59" s="1"/>
  <c r="S58" i="59"/>
  <c r="Z28" i="59"/>
  <c r="AA29" i="59"/>
  <c r="F25" i="59"/>
  <c r="F26" i="59" s="1"/>
  <c r="V26" i="59" s="1"/>
  <c r="F33" i="59"/>
  <c r="F34" i="59" s="1"/>
  <c r="V34" i="59" s="1"/>
  <c r="F37" i="59"/>
  <c r="F38" i="59"/>
  <c r="V38" i="59" s="1"/>
  <c r="F45" i="59"/>
  <c r="F46" i="59" s="1"/>
  <c r="V46" i="59" s="1"/>
  <c r="F49" i="59"/>
  <c r="F50" i="59"/>
  <c r="V50" i="59" s="1"/>
  <c r="F53" i="59"/>
  <c r="F54" i="59" s="1"/>
  <c r="V54" i="59" s="1"/>
  <c r="D20" i="59"/>
  <c r="C29" i="59"/>
  <c r="D28" i="59"/>
  <c r="C37" i="59"/>
  <c r="D37" i="59"/>
  <c r="D36" i="59"/>
  <c r="C41" i="59"/>
  <c r="C42" i="59" s="1"/>
  <c r="D40" i="59"/>
  <c r="C45" i="59"/>
  <c r="C46" i="59" s="1"/>
  <c r="D44" i="59"/>
  <c r="C49" i="59"/>
  <c r="D49" i="59" s="1"/>
  <c r="D48" i="59"/>
  <c r="C53" i="59"/>
  <c r="C54" i="59" s="1"/>
  <c r="D52" i="59"/>
  <c r="E56" i="59"/>
  <c r="P55" i="59" s="1"/>
  <c r="N57" i="59"/>
  <c r="B56" i="59"/>
  <c r="N55" i="59" s="1"/>
  <c r="Q57" i="59"/>
  <c r="T58" i="59"/>
  <c r="O58" i="59"/>
  <c r="D58" i="59"/>
  <c r="C57" i="59"/>
  <c r="P58" i="59"/>
  <c r="U58" i="59"/>
  <c r="Q58" i="59"/>
  <c r="C61" i="59"/>
  <c r="E61" i="59"/>
  <c r="E60" i="59" s="1"/>
  <c r="D62" i="59"/>
  <c r="C65" i="59"/>
  <c r="E65" i="59"/>
  <c r="E64" i="59" s="1"/>
  <c r="D66" i="59"/>
  <c r="C69" i="59"/>
  <c r="E69" i="59"/>
  <c r="E68" i="59" s="1"/>
  <c r="D70" i="59"/>
  <c r="C73" i="59"/>
  <c r="C77" i="59"/>
  <c r="D77" i="59" s="1"/>
  <c r="U16" i="4"/>
  <c r="S16" i="4"/>
  <c r="Q16" i="4"/>
  <c r="O16" i="4"/>
  <c r="M16" i="4"/>
  <c r="K16" i="4"/>
  <c r="P56" i="59"/>
  <c r="C76" i="59"/>
  <c r="D76" i="59" s="1"/>
  <c r="D69" i="59"/>
  <c r="C68" i="59"/>
  <c r="D68" i="59"/>
  <c r="D61" i="59"/>
  <c r="C60" i="59"/>
  <c r="D60" i="59" s="1"/>
  <c r="C56" i="59"/>
  <c r="O56" i="59" s="1"/>
  <c r="O57" i="59"/>
  <c r="D57" i="59"/>
  <c r="D73" i="59"/>
  <c r="C72" i="59"/>
  <c r="D72" i="59" s="1"/>
  <c r="D65" i="59"/>
  <c r="C64" i="59"/>
  <c r="D64" i="59"/>
  <c r="N56" i="59"/>
  <c r="D53" i="59"/>
  <c r="C50" i="59"/>
  <c r="T50" i="59" s="1"/>
  <c r="D45" i="59"/>
  <c r="D41" i="59"/>
  <c r="C30" i="59"/>
  <c r="D29" i="59"/>
  <c r="L16" i="4"/>
  <c r="D50" i="59"/>
  <c r="T30" i="59"/>
  <c r="D30" i="59"/>
  <c r="D56"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c r="H36" i="39"/>
  <c r="AB36" i="39"/>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AC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s="1"/>
  <c r="F32" i="21"/>
  <c r="F38" i="21"/>
  <c r="S38" i="21"/>
  <c r="F36" i="21"/>
  <c r="S36" i="21"/>
  <c r="F39" i="21"/>
  <c r="AA39" i="21"/>
  <c r="J40" i="21"/>
  <c r="W40" i="21"/>
  <c r="H35" i="21"/>
  <c r="AB35" i="2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W35" i="40"/>
  <c r="AB32" i="40"/>
  <c r="AC47" i="39"/>
  <c r="S47" i="39"/>
  <c r="U37" i="34"/>
  <c r="AC41" i="40"/>
  <c r="W41" i="40"/>
  <c r="U41" i="40"/>
  <c r="J23" i="40"/>
  <c r="AC23" i="40"/>
  <c r="F23" i="40"/>
  <c r="S23" i="40" s="1"/>
  <c r="AC15" i="40"/>
  <c r="W27"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J37" i="34"/>
  <c r="AC37" i="34" s="1"/>
  <c r="J36" i="33"/>
  <c r="W36" i="33" s="1"/>
  <c r="S41" i="40"/>
  <c r="AB23" i="40"/>
  <c r="U27" i="39"/>
  <c r="H23" i="39"/>
  <c r="AB23" i="39"/>
  <c r="J23" i="39"/>
  <c r="AC23" i="39" s="1"/>
  <c r="F97" i="39"/>
  <c r="G97"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c r="K9" i="1"/>
  <c r="M9" i="1" s="1"/>
  <c r="B7" i="1"/>
  <c r="E7" i="1"/>
  <c r="K7" i="1"/>
  <c r="M7" i="1" s="1"/>
  <c r="C20" i="43"/>
  <c r="F6" i="1"/>
  <c r="AP6" i="1" s="1"/>
  <c r="G11"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38" i="39"/>
  <c r="W29" i="39"/>
  <c r="S29" i="39"/>
  <c r="S14" i="39"/>
  <c r="U11" i="39"/>
  <c r="U41" i="39"/>
  <c r="U23" i="39"/>
  <c r="AB38" i="39"/>
  <c r="U31" i="39"/>
  <c r="AB31" i="39"/>
  <c r="S38" i="39"/>
  <c r="S22" i="31"/>
  <c r="M20" i="15"/>
  <c r="D96" i="9"/>
  <c r="A18" i="64"/>
  <c r="B74" i="63"/>
  <c r="C53" i="10"/>
  <c r="A25" i="64" s="1"/>
  <c r="A18" i="51"/>
  <c r="B14" i="63"/>
  <c r="BA16" i="3"/>
  <c r="BA17" i="3"/>
  <c r="AZ17" i="3" s="1"/>
  <c r="C24" i="12"/>
  <c r="F3" i="35"/>
  <c r="K1" i="43"/>
  <c r="K1" i="12"/>
  <c r="G1" i="44"/>
  <c r="I4" i="6"/>
  <c r="G3" i="46"/>
  <c r="AZ15" i="3"/>
  <c r="BK5" i="3"/>
  <c r="BO5" i="3"/>
  <c r="BP5" i="3"/>
  <c r="BN5" i="3"/>
  <c r="BL18" i="3"/>
  <c r="AZ18" i="3" s="1"/>
  <c r="BC5" i="3"/>
  <c r="E8" i="6"/>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D46" i="36" s="1"/>
  <c r="E46" i="36" s="1"/>
  <c r="F46" i="36" s="1"/>
  <c r="G46" i="36" s="1"/>
  <c r="H46" i="36" s="1"/>
  <c r="C48" i="35"/>
  <c r="D48" i="35" s="1"/>
  <c r="E48" i="35" s="1"/>
  <c r="F48" i="35" s="1"/>
  <c r="G48" i="35" s="1"/>
  <c r="H48" i="35" s="1"/>
  <c r="I48" i="35" s="1"/>
  <c r="J48" i="35" s="1"/>
  <c r="C52" i="37"/>
  <c r="D52" i="37" s="1"/>
  <c r="E52" i="37" s="1"/>
  <c r="F52" i="37" s="1"/>
  <c r="G52" i="37" s="1"/>
  <c r="H52" i="37" s="1"/>
  <c r="I52" i="37" s="1"/>
  <c r="J52" i="37" s="1"/>
  <c r="K52" i="37" s="1"/>
  <c r="O19" i="46"/>
  <c r="H86" i="46"/>
  <c r="H82" i="46"/>
  <c r="H10" i="48"/>
  <c r="H87" i="46"/>
  <c r="H85" i="46"/>
  <c r="H83" i="46"/>
  <c r="K10" i="1"/>
  <c r="M10" i="1" s="1"/>
  <c r="O10" i="1" s="1"/>
  <c r="S11" i="1"/>
  <c r="R11" i="1"/>
  <c r="S13" i="1"/>
  <c r="R13" i="1"/>
  <c r="B6" i="1"/>
  <c r="E6" i="1" s="1"/>
  <c r="B10" i="1"/>
  <c r="E10" i="1" s="1"/>
  <c r="S10" i="1"/>
  <c r="B8" i="1"/>
  <c r="E8" i="1"/>
  <c r="B12" i="1"/>
  <c r="E12" i="1"/>
  <c r="S12" i="1"/>
  <c r="K6" i="1"/>
  <c r="H1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E53" i="40"/>
  <c r="F27" i="6"/>
  <c r="E5" i="6"/>
  <c r="D21" i="12" s="1"/>
  <c r="C21" i="12" s="1"/>
  <c r="AT6" i="3"/>
  <c r="G29" i="6"/>
  <c r="AZ16" i="3"/>
  <c r="A9" i="64"/>
  <c r="A9" i="51"/>
  <c r="B9" i="63" s="1"/>
  <c r="A3" i="55"/>
  <c r="B56" i="63" s="1"/>
  <c r="E4" i="4"/>
  <c r="C4" i="4"/>
  <c r="G66" i="36"/>
  <c r="J18" i="36"/>
  <c r="AE8" i="1"/>
  <c r="AE7" i="1"/>
  <c r="AE6" i="1"/>
  <c r="W18" i="36"/>
  <c r="AC18" i="36"/>
  <c r="AG6" i="1"/>
  <c r="L20" i="6"/>
  <c r="L19" i="6"/>
  <c r="B21" i="55"/>
  <c r="B72" i="63" s="1"/>
  <c r="B20" i="55"/>
  <c r="B70" i="63" s="1"/>
  <c r="S7" i="1"/>
  <c r="S8" i="1"/>
  <c r="S9" i="1"/>
  <c r="R9" i="1"/>
  <c r="R7" i="1"/>
  <c r="R8" i="1"/>
  <c r="C45" i="9"/>
  <c r="H14" i="66"/>
  <c r="B7" i="66" s="1"/>
  <c r="O40" i="9"/>
  <c r="N76" i="9"/>
  <c r="C46" i="9"/>
  <c r="K33" i="9" s="1"/>
  <c r="A25" i="51"/>
  <c r="B18" i="63" s="1"/>
  <c r="D58" i="21"/>
  <c r="E58" i="21" s="1"/>
  <c r="F58" i="21" s="1"/>
  <c r="H58" i="46"/>
  <c r="J17" i="46"/>
  <c r="C17" i="46"/>
  <c r="F34" i="46"/>
  <c r="F38" i="46"/>
  <c r="F37" i="46"/>
  <c r="H113" i="46"/>
  <c r="H49" i="46"/>
  <c r="H53" i="46"/>
  <c r="Y12" i="59"/>
  <c r="Z12" i="59"/>
  <c r="AA12" i="59"/>
  <c r="AB12" i="59"/>
  <c r="Y11" i="59"/>
  <c r="Z11" i="59"/>
  <c r="Y10" i="59"/>
  <c r="Z10" i="59" s="1"/>
  <c r="Y9" i="59"/>
  <c r="Z9" i="59" s="1"/>
  <c r="AB11" i="59"/>
  <c r="AB10" i="59"/>
  <c r="AB9" i="59"/>
  <c r="AA14" i="59"/>
  <c r="X12" i="59"/>
  <c r="X10" i="59"/>
  <c r="X9" i="59"/>
  <c r="AA10" i="59"/>
  <c r="AA9" i="59"/>
  <c r="H1" i="65"/>
  <c r="H51" i="46"/>
  <c r="X7" i="46"/>
  <c r="E17" i="46"/>
  <c r="N17" i="46"/>
  <c r="O17" i="46"/>
  <c r="M17" i="46"/>
  <c r="L17" i="46"/>
  <c r="H22" i="46"/>
  <c r="Y11" i="46"/>
  <c r="Y13" i="46" s="1"/>
  <c r="H101" i="46"/>
  <c r="H103" i="46" s="1"/>
  <c r="G22" i="46"/>
  <c r="J22" i="46"/>
  <c r="F101" i="46"/>
  <c r="F103" i="46" s="1"/>
  <c r="D101" i="46"/>
  <c r="D105" i="46" s="1"/>
  <c r="O13" i="1"/>
  <c r="P13" i="1" s="1"/>
  <c r="E15" i="6"/>
  <c r="E67" i="39" s="1"/>
  <c r="E12" i="6"/>
  <c r="E64" i="39" s="1"/>
  <c r="E11" i="6"/>
  <c r="E63" i="39" s="1"/>
  <c r="O12" i="1"/>
  <c r="P12" i="1" s="1"/>
  <c r="AP7" i="1"/>
  <c r="G13" i="1"/>
  <c r="D59" i="34"/>
  <c r="E59" i="34" s="1"/>
  <c r="F59" i="34" s="1"/>
  <c r="G59" i="34" s="1"/>
  <c r="H70" i="46"/>
  <c r="H73" i="46"/>
  <c r="H50" i="46"/>
  <c r="H48" i="46"/>
  <c r="F35" i="46"/>
  <c r="I17" i="46"/>
  <c r="G17" i="46" s="1"/>
  <c r="C16" i="46" s="1"/>
  <c r="H63" i="46"/>
  <c r="I101" i="46"/>
  <c r="I104" i="46" s="1"/>
  <c r="M101" i="46"/>
  <c r="M104" i="46" s="1"/>
  <c r="N101" i="46"/>
  <c r="N102" i="46" s="1"/>
  <c r="AC11" i="46"/>
  <c r="AD11" i="46"/>
  <c r="AJ11" i="46"/>
  <c r="AJ13" i="46" s="1"/>
  <c r="H64" i="46"/>
  <c r="H66" i="46"/>
  <c r="D100" i="46"/>
  <c r="F109" i="46"/>
  <c r="H62" i="46"/>
  <c r="AF12" i="46"/>
  <c r="K100" i="46"/>
  <c r="AB12" i="46"/>
  <c r="AJ12" i="46"/>
  <c r="F102" i="46"/>
  <c r="C101" i="46"/>
  <c r="C109" i="46" s="1"/>
  <c r="G101" i="46"/>
  <c r="G106" i="46" s="1"/>
  <c r="J101" i="46"/>
  <c r="J107" i="46" s="1"/>
  <c r="B113" i="46"/>
  <c r="I116" i="46" s="1"/>
  <c r="J116" i="46" s="1"/>
  <c r="K116" i="46" s="1"/>
  <c r="L116" i="46" s="1"/>
  <c r="M116" i="46" s="1"/>
  <c r="N104" i="45"/>
  <c r="L101" i="46"/>
  <c r="L102" i="46" s="1"/>
  <c r="F22" i="46"/>
  <c r="E101" i="46"/>
  <c r="E104" i="46" s="1"/>
  <c r="Z7" i="46"/>
  <c r="K101" i="46"/>
  <c r="K107" i="46" s="1"/>
  <c r="E22" i="46"/>
  <c r="D22" i="46" s="1"/>
  <c r="AG11" i="46"/>
  <c r="AG13" i="46" s="1"/>
  <c r="Z11" i="46"/>
  <c r="AH11" i="46"/>
  <c r="AH13" i="46" s="1"/>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D13" i="46" s="1"/>
  <c r="AH12" i="46"/>
  <c r="B11" i="59"/>
  <c r="B10" i="59" s="1"/>
  <c r="B9" i="59" s="1"/>
  <c r="B8" i="59" s="1"/>
  <c r="B7" i="59" s="1"/>
  <c r="N107" i="46"/>
  <c r="I107" i="46"/>
  <c r="K103" i="46"/>
  <c r="K106" i="46"/>
  <c r="K105" i="46"/>
  <c r="E106" i="46"/>
  <c r="E103" i="46"/>
  <c r="E107" i="46"/>
  <c r="L105" i="46"/>
  <c r="L106" i="46"/>
  <c r="C23" i="46"/>
  <c r="C21" i="46" s="1"/>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C103" i="46"/>
  <c r="E109" i="46"/>
  <c r="C7" i="46"/>
  <c r="G20" i="46"/>
  <c r="E41" i="46"/>
  <c r="C41" i="46" s="1"/>
  <c r="S5" i="46"/>
  <c r="S2" i="46"/>
  <c r="S3" i="46"/>
  <c r="S7" i="46"/>
  <c r="S6" i="46"/>
  <c r="S4" i="46"/>
  <c r="M31" i="44"/>
  <c r="M29" i="44"/>
  <c r="F9" i="44"/>
  <c r="L48" i="44"/>
  <c r="M21" i="15"/>
  <c r="F41" i="15"/>
  <c r="I5" i="65"/>
  <c r="B8" i="67"/>
  <c r="F11" i="44"/>
  <c r="F8" i="67"/>
  <c r="E9" i="67"/>
  <c r="F40" i="15"/>
  <c r="M11" i="44"/>
  <c r="M25" i="44"/>
  <c r="F16" i="15"/>
  <c r="F12" i="67"/>
  <c r="M23" i="44"/>
  <c r="F8" i="15"/>
  <c r="F15" i="44"/>
  <c r="F42" i="15"/>
  <c r="F9" i="15"/>
  <c r="F40" i="44"/>
  <c r="E10" i="67"/>
  <c r="F38" i="15"/>
  <c r="M6" i="15"/>
  <c r="B13" i="67"/>
  <c r="M22" i="15"/>
  <c r="F11" i="67"/>
  <c r="F9" i="67"/>
  <c r="F39" i="44"/>
  <c r="F10" i="67"/>
  <c r="N6" i="65"/>
  <c r="E8" i="67"/>
  <c r="M8" i="15"/>
  <c r="I3" i="65"/>
  <c r="F18" i="44"/>
  <c r="I7" i="65"/>
  <c r="F37" i="15"/>
  <c r="F45" i="44"/>
  <c r="E11" i="67"/>
  <c r="N4" i="65"/>
  <c r="J3" i="65"/>
  <c r="M9" i="15"/>
  <c r="J7" i="65"/>
  <c r="F35" i="15"/>
  <c r="F26" i="15"/>
  <c r="L47" i="15"/>
  <c r="M28" i="44"/>
  <c r="J36" i="15"/>
  <c r="F43" i="15"/>
  <c r="J4" i="65"/>
  <c r="B14" i="67"/>
  <c r="F8" i="44"/>
  <c r="E14" i="67"/>
  <c r="J17" i="44"/>
  <c r="B11" i="67"/>
  <c r="B10" i="67"/>
  <c r="M24" i="44"/>
  <c r="F43" i="44"/>
  <c r="J15" i="15"/>
  <c r="F37" i="44"/>
  <c r="F28" i="44"/>
  <c r="N5" i="65"/>
  <c r="E13" i="67"/>
  <c r="I6" i="65"/>
  <c r="L49" i="44"/>
  <c r="M29" i="15"/>
  <c r="L48" i="15"/>
  <c r="J5" i="65"/>
  <c r="M8" i="44"/>
  <c r="E12" i="67"/>
  <c r="I4" i="65"/>
  <c r="M23" i="15"/>
  <c r="F14" i="67"/>
  <c r="M10" i="44"/>
  <c r="B12" i="67"/>
  <c r="F13" i="67"/>
  <c r="F6" i="15"/>
  <c r="J6" i="65"/>
  <c r="M24" i="15"/>
  <c r="F36" i="15"/>
  <c r="M27" i="15"/>
  <c r="F46" i="44"/>
  <c r="F7" i="15"/>
  <c r="N7" i="65"/>
  <c r="B9" i="67"/>
  <c r="M26" i="44"/>
  <c r="M28" i="15"/>
  <c r="F10" i="44"/>
  <c r="N3" i="65"/>
  <c r="C19" i="44"/>
  <c r="M30" i="44"/>
  <c r="F13" i="15"/>
  <c r="M26" i="15"/>
  <c r="F38" i="44"/>
  <c r="AA19" i="39" l="1"/>
  <c r="AB15" i="39"/>
  <c r="S15" i="39"/>
  <c r="W15" i="39"/>
  <c r="M43" i="9"/>
  <c r="D18" i="9"/>
  <c r="M44" i="9" s="1"/>
  <c r="S25" i="39"/>
  <c r="AB25" i="39"/>
  <c r="S23" i="39"/>
  <c r="W23" i="39"/>
  <c r="AC21" i="39"/>
  <c r="AC19" i="39"/>
  <c r="AC17" i="39"/>
  <c r="C106" i="46"/>
  <c r="C104" i="46"/>
  <c r="N106" i="46"/>
  <c r="I109" i="46"/>
  <c r="B41" i="1"/>
  <c r="C105" i="46"/>
  <c r="C102" i="46"/>
  <c r="C107"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3" i="46"/>
  <c r="H107" i="46"/>
  <c r="AB13" i="46"/>
  <c r="F31" i="6"/>
  <c r="BL13" i="3"/>
  <c r="AZ13" i="3" s="1"/>
  <c r="E59" i="40"/>
  <c r="O9" i="1"/>
  <c r="P9" i="1" s="1"/>
  <c r="O7" i="1"/>
  <c r="P7" i="1" s="1"/>
  <c r="O11" i="1"/>
  <c r="P11" i="1" s="1"/>
  <c r="E62" i="40"/>
  <c r="E58" i="40"/>
  <c r="L27" i="6"/>
  <c r="D12" i="11"/>
  <c r="C12" i="11" s="1"/>
  <c r="G28" i="6"/>
  <c r="E28" i="6" s="1"/>
  <c r="K14" i="1" s="1"/>
  <c r="M14" i="1" s="1"/>
  <c r="O14" i="1" s="1"/>
  <c r="P14" i="1" s="1"/>
  <c r="J102" i="46"/>
  <c r="D104" i="46"/>
  <c r="D102" i="46"/>
  <c r="D107" i="46"/>
  <c r="J103" i="46"/>
  <c r="H106" i="46"/>
  <c r="H109" i="46"/>
  <c r="D65" i="40"/>
  <c r="C67" i="40"/>
  <c r="G6" i="1"/>
  <c r="AP16" i="1"/>
  <c r="F22" i="11" s="1"/>
  <c r="N16" i="4"/>
  <c r="K17" i="4" s="1"/>
  <c r="A22" i="51" s="1"/>
  <c r="B16" i="63" s="1"/>
  <c r="K34" i="9"/>
  <c r="O41" i="9"/>
  <c r="R8" i="54" s="1"/>
  <c r="B54" i="63" s="1"/>
  <c r="I14" i="66"/>
  <c r="B8" i="66" s="1"/>
  <c r="C72" i="39"/>
  <c r="D70" i="39"/>
  <c r="C25" i="12"/>
  <c r="C15" i="12"/>
  <c r="C15" i="43"/>
  <c r="G16" i="1"/>
  <c r="H12" i="40" s="1"/>
  <c r="L52" i="37"/>
  <c r="M52" i="37" s="1"/>
  <c r="N52" i="37" s="1"/>
  <c r="O52" i="37" s="1"/>
  <c r="J7" i="37"/>
  <c r="F7" i="37"/>
  <c r="H7" i="37"/>
  <c r="H7" i="35"/>
  <c r="K48" i="35"/>
  <c r="L48" i="35" s="1"/>
  <c r="M48" i="35" s="1"/>
  <c r="N48" i="35" s="1"/>
  <c r="O48" i="35" s="1"/>
  <c r="I46" i="36"/>
  <c r="J46" i="36" s="1"/>
  <c r="K46" i="36" s="1"/>
  <c r="L46" i="36" s="1"/>
  <c r="M46" i="36" s="1"/>
  <c r="N46" i="36" s="1"/>
  <c r="O46" i="36" s="1"/>
  <c r="H7" i="36"/>
  <c r="J7" i="36"/>
  <c r="F7" i="35"/>
  <c r="H59" i="34"/>
  <c r="D5" i="46"/>
  <c r="C5" i="46"/>
  <c r="G58" i="21"/>
  <c r="H58" i="21" s="1"/>
  <c r="I58" i="21" s="1"/>
  <c r="J58" i="21" s="1"/>
  <c r="K58" i="21" s="1"/>
  <c r="L58" i="21" s="1"/>
  <c r="M58" i="21" s="1"/>
  <c r="N58" i="21" s="1"/>
  <c r="O58" i="21" s="1"/>
  <c r="H7" i="21"/>
  <c r="S10" i="59"/>
  <c r="J106" i="46"/>
  <c r="J104" i="46"/>
  <c r="J105" i="46"/>
  <c r="J109" i="46"/>
  <c r="N105" i="46"/>
  <c r="N104" i="46"/>
  <c r="N109" i="46"/>
  <c r="N103" i="46"/>
  <c r="I102" i="46"/>
  <c r="I106" i="46"/>
  <c r="I105" i="46"/>
  <c r="H12" i="39"/>
  <c r="D106" i="46"/>
  <c r="D103" i="46"/>
  <c r="D109" i="46"/>
  <c r="H102" i="46"/>
  <c r="H105" i="46"/>
  <c r="H104" i="46"/>
  <c r="K31" i="9"/>
  <c r="K32" i="9" s="1"/>
  <c r="R7" i="54"/>
  <c r="B52" i="63" s="1"/>
  <c r="U18" i="36"/>
  <c r="G5" i="3"/>
  <c r="B3" i="3" s="1"/>
  <c r="AZ520" i="3"/>
  <c r="E572" i="3"/>
  <c r="E14" i="6"/>
  <c r="E13" i="6"/>
  <c r="E10" i="6"/>
  <c r="D58" i="33"/>
  <c r="M107" i="46"/>
  <c r="M103" i="46"/>
  <c r="M109" i="46"/>
  <c r="M106" i="46"/>
  <c r="M102" i="46"/>
  <c r="M105" i="46"/>
  <c r="F106" i="46"/>
  <c r="F107" i="46"/>
  <c r="F104" i="46"/>
  <c r="F105" i="46"/>
  <c r="E29" i="6"/>
  <c r="K15" i="1" s="1"/>
  <c r="K16" i="1" s="1"/>
  <c r="M6" i="1"/>
  <c r="Q16" i="1"/>
  <c r="P10" i="1"/>
  <c r="AZ488" i="3"/>
  <c r="BL5" i="3"/>
  <c r="AZ558" i="3"/>
  <c r="AZ570" i="3"/>
  <c r="BA5" i="3"/>
  <c r="E27" i="6" s="1"/>
  <c r="K26" i="6" s="1"/>
  <c r="M26" i="6" s="1"/>
  <c r="I26" i="6" s="1"/>
  <c r="S26" i="6" s="1"/>
  <c r="G30" i="6"/>
  <c r="G31" i="6" s="1"/>
  <c r="J7" i="21"/>
  <c r="F7" i="21"/>
  <c r="AA12" i="21"/>
  <c r="S12" i="21"/>
  <c r="U25" i="3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AZ392" i="3"/>
  <c r="AZ397" i="3"/>
  <c r="AZ408" i="3"/>
  <c r="AZ413" i="3"/>
  <c r="AZ424" i="3"/>
  <c r="AZ437" i="3"/>
  <c r="AZ457" i="3"/>
  <c r="AZ350" i="3"/>
  <c r="AZ447" i="3"/>
  <c r="AZ465" i="3"/>
  <c r="AZ478" i="3"/>
  <c r="F9" i="36"/>
  <c r="H9" i="36"/>
  <c r="H24" i="36"/>
  <c r="AZ206" i="3"/>
  <c r="AZ210" i="3"/>
  <c r="AZ222" i="3"/>
  <c r="AZ226" i="3"/>
  <c r="AZ238" i="3"/>
  <c r="AZ242" i="3"/>
  <c r="AZ254" i="3"/>
  <c r="AZ258" i="3"/>
  <c r="AZ269" i="3"/>
  <c r="AZ272" i="3"/>
  <c r="AZ285" i="3"/>
  <c r="AZ288" i="3"/>
  <c r="AZ296" i="3"/>
  <c r="AZ125" i="3"/>
  <c r="AZ128" i="3"/>
  <c r="AZ141" i="3"/>
  <c r="AZ144" i="3"/>
  <c r="AZ155" i="3"/>
  <c r="AZ168" i="3"/>
  <c r="AZ171" i="3"/>
  <c r="AZ33" i="3"/>
  <c r="A30" i="64"/>
  <c r="A30" i="51"/>
  <c r="B22" i="63" s="1"/>
  <c r="AZ384" i="3"/>
  <c r="AZ176" i="3"/>
  <c r="AZ182" i="3"/>
  <c r="AZ190" i="3"/>
  <c r="AZ198" i="3"/>
  <c r="AZ204" i="3"/>
  <c r="AZ26" i="3"/>
  <c r="AZ29" i="3"/>
  <c r="AZ45" i="3"/>
  <c r="AZ49" i="3"/>
  <c r="AZ52" i="3"/>
  <c r="AZ58" i="3"/>
  <c r="AZ61" i="3"/>
  <c r="AZ67" i="3"/>
  <c r="AZ73" i="3"/>
  <c r="AZ76" i="3"/>
  <c r="AZ83" i="3"/>
  <c r="AZ87" i="3"/>
  <c r="AZ93" i="3"/>
  <c r="AZ96" i="3"/>
  <c r="AZ103" i="3"/>
  <c r="AZ109" i="3"/>
  <c r="I21" i="57"/>
  <c r="D1" i="57" s="1"/>
  <c r="E10" i="57" s="1"/>
  <c r="C22" i="59"/>
  <c r="D21" i="59"/>
  <c r="T54" i="59"/>
  <c r="D54" i="59"/>
  <c r="T46" i="59"/>
  <c r="D46" i="59"/>
  <c r="T42" i="59"/>
  <c r="D42" i="59"/>
  <c r="C33" i="59"/>
  <c r="D32" i="59"/>
  <c r="B54" i="46"/>
  <c r="C27" i="40"/>
  <c r="S27" i="40"/>
  <c r="S21" i="34"/>
  <c r="Q56" i="59"/>
  <c r="Q55" i="59"/>
  <c r="D18" i="59"/>
  <c r="C17" i="59"/>
  <c r="T18" i="59"/>
  <c r="A28" i="64"/>
  <c r="X13" i="59"/>
  <c r="O55" i="59"/>
  <c r="AB16" i="59"/>
  <c r="AB3" i="59"/>
  <c r="AA18" i="59"/>
  <c r="AA16" i="59"/>
  <c r="AA3" i="59"/>
  <c r="X17" i="59"/>
  <c r="X15" i="59"/>
  <c r="X19" i="59"/>
  <c r="Y19" i="59"/>
  <c r="Z19" i="59" s="1"/>
  <c r="F20" i="59"/>
  <c r="F21" i="59" s="1"/>
  <c r="F22" i="59" s="1"/>
  <c r="V22" i="59" s="1"/>
  <c r="X20" i="59"/>
  <c r="AA20" i="59"/>
  <c r="X21" i="59"/>
  <c r="AA21" i="59"/>
  <c r="X22" i="59"/>
  <c r="AA22" i="59"/>
  <c r="B24" i="59"/>
  <c r="B25" i="59" s="1"/>
  <c r="B26" i="59" s="1"/>
  <c r="S26" i="59" s="1"/>
  <c r="C24" i="59"/>
  <c r="AA23" i="59"/>
  <c r="AB23" i="59"/>
  <c r="Y24" i="59"/>
  <c r="Z24" i="59" s="1"/>
  <c r="AB24" i="59"/>
  <c r="Y25" i="59"/>
  <c r="Z25" i="59" s="1"/>
  <c r="AB25" i="59"/>
  <c r="Y26" i="59"/>
  <c r="Z26" i="59" s="1"/>
  <c r="AB26" i="59"/>
  <c r="X27" i="59"/>
  <c r="Y27" i="59"/>
  <c r="Z27" i="59" s="1"/>
  <c r="E28" i="59"/>
  <c r="E29" i="59" s="1"/>
  <c r="E30" i="59" s="1"/>
  <c r="U30" i="59" s="1"/>
  <c r="F28" i="59"/>
  <c r="F29" i="59" s="1"/>
  <c r="F30" i="59" s="1"/>
  <c r="V30" i="59" s="1"/>
  <c r="X28" i="59"/>
  <c r="AA28" i="59"/>
  <c r="S18" i="59"/>
  <c r="B17" i="59"/>
  <c r="B16" i="59" s="1"/>
  <c r="U18" i="59"/>
  <c r="E17" i="59"/>
  <c r="E16" i="59" s="1"/>
  <c r="B21" i="63"/>
  <c r="Z10" i="46"/>
  <c r="Z12" i="46"/>
  <c r="Z13" i="46" s="1"/>
  <c r="AC10" i="46"/>
  <c r="AC12" i="46"/>
  <c r="AC13" i="46" s="1"/>
  <c r="AB14" i="59"/>
  <c r="Y14" i="59"/>
  <c r="Z14" i="59" s="1"/>
  <c r="AA13" i="59"/>
  <c r="E14" i="59"/>
  <c r="X8" i="59"/>
  <c r="AA8" i="59"/>
  <c r="X6" i="59"/>
  <c r="C13" i="59"/>
  <c r="T14" i="59"/>
  <c r="V18" i="59"/>
  <c r="K77" i="9"/>
  <c r="K79" i="9" s="1"/>
  <c r="K81" i="9" s="1"/>
  <c r="X14" i="59"/>
  <c r="Y13" i="59"/>
  <c r="Z13" i="59" s="1"/>
  <c r="AB13" i="59"/>
  <c r="F14" i="59"/>
  <c r="AA11" i="59"/>
  <c r="X11" i="59"/>
  <c r="Y8" i="59"/>
  <c r="Z8" i="59" s="1"/>
  <c r="AB8" i="59"/>
  <c r="X7" i="59"/>
  <c r="Y7" i="59"/>
  <c r="Z7" i="59" s="1"/>
  <c r="AA7" i="59"/>
  <c r="AB7" i="59"/>
  <c r="AB5" i="59"/>
  <c r="AA5" i="59"/>
  <c r="B6" i="59"/>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F31" i="15"/>
  <c r="M19" i="44"/>
  <c r="M17" i="15"/>
  <c r="F33" i="44"/>
  <c r="F58" i="15"/>
  <c r="C16" i="15"/>
  <c r="C17" i="15"/>
  <c r="E3" i="65"/>
  <c r="E2" i="65"/>
  <c r="C18" i="44"/>
  <c r="D113" i="46" l="1"/>
  <c r="F34" i="44"/>
  <c r="F27" i="43"/>
  <c r="C27" i="43" s="1"/>
  <c r="F29" i="12"/>
  <c r="C29" i="12" s="1"/>
  <c r="F31" i="43"/>
  <c r="C31" i="43" s="1"/>
  <c r="F28" i="15"/>
  <c r="C28" i="15" s="1"/>
  <c r="F72" i="9"/>
  <c r="F32" i="15"/>
  <c r="F59" i="15" s="1"/>
  <c r="D86" i="9"/>
  <c r="M18" i="15"/>
  <c r="AZ5" i="3"/>
  <c r="E3" i="6" s="1"/>
  <c r="E16" i="6"/>
  <c r="J12" i="39"/>
  <c r="E65" i="40"/>
  <c r="D67" i="40"/>
  <c r="J12" i="40"/>
  <c r="F12" i="40"/>
  <c r="F12" i="39"/>
  <c r="E70" i="39"/>
  <c r="D72" i="39"/>
  <c r="AY6" i="3"/>
  <c r="C19" i="46"/>
  <c r="B5" i="59"/>
  <c r="S6" i="59"/>
  <c r="V14" i="59"/>
  <c r="F13" i="59"/>
  <c r="F12" i="59" s="1"/>
  <c r="F11" i="59" s="1"/>
  <c r="F10" i="59" s="1"/>
  <c r="D24" i="59"/>
  <c r="C25" i="59"/>
  <c r="D17" i="59"/>
  <c r="C16" i="59"/>
  <c r="D16" i="59" s="1"/>
  <c r="AB9" i="36"/>
  <c r="U9" i="36"/>
  <c r="S7" i="21"/>
  <c r="AA7" i="21"/>
  <c r="R48" i="21" s="1"/>
  <c r="F18" i="11"/>
  <c r="C18" i="11" s="1"/>
  <c r="F24" i="43"/>
  <c r="C26" i="43" s="1"/>
  <c r="D24" i="43" s="1"/>
  <c r="F33" i="12"/>
  <c r="C34" i="12" s="1"/>
  <c r="D33" i="12" s="1"/>
  <c r="K21" i="6"/>
  <c r="M21" i="6" s="1"/>
  <c r="I21" i="6" s="1"/>
  <c r="S21" i="6" s="1"/>
  <c r="K23" i="6"/>
  <c r="M23" i="6" s="1"/>
  <c r="I23" i="6" s="1"/>
  <c r="S23" i="6" s="1"/>
  <c r="K22" i="6"/>
  <c r="M22" i="6" s="1"/>
  <c r="I22" i="6" s="1"/>
  <c r="S22" i="6" s="1"/>
  <c r="E58" i="33"/>
  <c r="E60" i="40"/>
  <c r="E65" i="39"/>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3"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299" i="3"/>
  <c r="E327" i="3"/>
  <c r="E548" i="3"/>
  <c r="Z6" i="3"/>
  <c r="E454" i="3"/>
  <c r="E520" i="3"/>
  <c r="AK6" i="3"/>
  <c r="E561" i="3"/>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192" i="3"/>
  <c r="E114" i="3"/>
  <c r="E348" i="3"/>
  <c r="E93" i="3"/>
  <c r="E394" i="3"/>
  <c r="E55" i="3"/>
  <c r="E282" i="3"/>
  <c r="E570" i="3"/>
  <c r="E375" i="3"/>
  <c r="E409" i="3"/>
  <c r="E83" i="3"/>
  <c r="E124" i="3"/>
  <c r="E266" i="3"/>
  <c r="E215" i="3"/>
  <c r="I6" i="3"/>
  <c r="H6" i="3" s="1"/>
  <c r="E103" i="3"/>
  <c r="E200" i="3"/>
  <c r="E62" i="3"/>
  <c r="E389" i="3"/>
  <c r="E230" i="3"/>
  <c r="E143" i="3"/>
  <c r="U12" i="40"/>
  <c r="AB12" i="40"/>
  <c r="I59" i="34"/>
  <c r="AB7" i="36"/>
  <c r="T36" i="36" s="1"/>
  <c r="G36" i="36" s="1"/>
  <c r="U7" i="36"/>
  <c r="U7" i="35"/>
  <c r="AB7" i="35"/>
  <c r="T38" i="35" s="1"/>
  <c r="G38" i="35" s="1"/>
  <c r="AB7" i="37"/>
  <c r="T42" i="37" s="1"/>
  <c r="G42" i="37" s="1"/>
  <c r="U7" i="37"/>
  <c r="W7" i="37"/>
  <c r="AC7" i="37"/>
  <c r="V42" i="37" s="1"/>
  <c r="I42" i="37" s="1"/>
  <c r="D13" i="59"/>
  <c r="C12" i="59"/>
  <c r="U14" i="59"/>
  <c r="E13" i="59"/>
  <c r="E12" i="59" s="1"/>
  <c r="E11" i="59" s="1"/>
  <c r="E10" i="59" s="1"/>
  <c r="C34" i="59"/>
  <c r="D33" i="59"/>
  <c r="T22" i="59"/>
  <c r="D22" i="59"/>
  <c r="AB24" i="36"/>
  <c r="U24" i="36"/>
  <c r="AA9" i="36"/>
  <c r="S9" i="36"/>
  <c r="AC7" i="21"/>
  <c r="V48" i="21" s="1"/>
  <c r="I48" i="21" s="1"/>
  <c r="W7" i="21"/>
  <c r="K20" i="6"/>
  <c r="M20" i="6" s="1"/>
  <c r="I20" i="6" s="1"/>
  <c r="S20" i="6" s="1"/>
  <c r="O6" i="1"/>
  <c r="O16" i="1" s="1"/>
  <c r="M16" i="1"/>
  <c r="K25" i="6"/>
  <c r="M25" i="6" s="1"/>
  <c r="I25" i="6" s="1"/>
  <c r="S25" i="6" s="1"/>
  <c r="E30" i="6"/>
  <c r="E31" i="6" s="1"/>
  <c r="K24" i="6"/>
  <c r="M24" i="6" s="1"/>
  <c r="I24" i="6" s="1"/>
  <c r="S24" i="6" s="1"/>
  <c r="K19" i="6"/>
  <c r="S6" i="1" s="1"/>
  <c r="S16" i="1" s="1"/>
  <c r="T10" i="1" s="1"/>
  <c r="E61" i="40"/>
  <c r="E66" i="39"/>
  <c r="W12" i="39"/>
  <c r="AC12" i="39"/>
  <c r="AB12" i="39"/>
  <c r="U12" i="39"/>
  <c r="U7" i="21"/>
  <c r="AB7" i="21"/>
  <c r="T48" i="21" s="1"/>
  <c r="G48" i="21" s="1"/>
  <c r="AA7" i="35"/>
  <c r="R38" i="35" s="1"/>
  <c r="S7" i="35"/>
  <c r="AC7" i="36"/>
  <c r="V36" i="36" s="1"/>
  <c r="I36" i="36" s="1"/>
  <c r="W7" i="36"/>
  <c r="F7" i="36"/>
  <c r="J7" i="35"/>
  <c r="AA7" i="37"/>
  <c r="R42" i="37" s="1"/>
  <c r="S7" i="37"/>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T7" i="1" l="1"/>
  <c r="T9" i="1"/>
  <c r="T8" i="1"/>
  <c r="T11" i="1"/>
  <c r="T6" i="1"/>
  <c r="T12" i="1"/>
  <c r="T13" i="1"/>
  <c r="T16" i="1" s="1"/>
  <c r="E6" i="3"/>
  <c r="AC6" i="3"/>
  <c r="E67" i="40"/>
  <c r="F65" i="40"/>
  <c r="E72" i="39"/>
  <c r="F70" i="39"/>
  <c r="AA12" i="40"/>
  <c r="S12" i="40"/>
  <c r="S12" i="39"/>
  <c r="AA12" i="39"/>
  <c r="W12" i="40"/>
  <c r="AC12" i="40"/>
  <c r="E42" i="37"/>
  <c r="I47" i="37" s="1"/>
  <c r="J47" i="37" s="1"/>
  <c r="R43" i="37"/>
  <c r="AC7" i="35"/>
  <c r="V38" i="35" s="1"/>
  <c r="I38" i="35" s="1"/>
  <c r="W7" i="35"/>
  <c r="G52" i="21"/>
  <c r="H52" i="21" s="1"/>
  <c r="G53" i="21"/>
  <c r="H53" i="21" s="1"/>
  <c r="K27" i="6"/>
  <c r="M19" i="6"/>
  <c r="C13" i="43"/>
  <c r="L16" i="1"/>
  <c r="N16" i="1"/>
  <c r="C29" i="43" s="1"/>
  <c r="P6" i="1"/>
  <c r="P16" i="1" s="1"/>
  <c r="C13" i="12" s="1"/>
  <c r="I52" i="21"/>
  <c r="J52" i="21" s="1"/>
  <c r="T34" i="59"/>
  <c r="D34" i="59"/>
  <c r="G46" i="37"/>
  <c r="H46" i="37" s="1"/>
  <c r="G47" i="37"/>
  <c r="H47" i="37" s="1"/>
  <c r="G42" i="35"/>
  <c r="H42" i="35" s="1"/>
  <c r="G43" i="35"/>
  <c r="H43" i="35" s="1"/>
  <c r="J59" i="34"/>
  <c r="D16" i="43"/>
  <c r="C16" i="43" s="1"/>
  <c r="E6" i="6"/>
  <c r="L38" i="9"/>
  <c r="B14" i="66" s="1"/>
  <c r="B1" i="66" s="1"/>
  <c r="D45" i="9"/>
  <c r="D10" i="11"/>
  <c r="C21" i="4"/>
  <c r="O5" i="54" s="1"/>
  <c r="B45" i="63" s="1"/>
  <c r="D16" i="12"/>
  <c r="D46" i="9"/>
  <c r="AA7" i="36"/>
  <c r="R36" i="36" s="1"/>
  <c r="S7" i="36"/>
  <c r="I40" i="36"/>
  <c r="J40" i="36" s="1"/>
  <c r="R39" i="35"/>
  <c r="E38" i="35"/>
  <c r="E9" i="59"/>
  <c r="E8" i="59" s="1"/>
  <c r="E7" i="59" s="1"/>
  <c r="E6" i="59" s="1"/>
  <c r="U10" i="59"/>
  <c r="D12" i="59"/>
  <c r="C11" i="59"/>
  <c r="I46" i="37"/>
  <c r="J46" i="37" s="1"/>
  <c r="G41" i="36"/>
  <c r="H41" i="36" s="1"/>
  <c r="G40" i="36"/>
  <c r="H40" i="36" s="1"/>
  <c r="F58" i="33"/>
  <c r="G58" i="33" s="1"/>
  <c r="H58" i="33" s="1"/>
  <c r="I58" i="33" s="1"/>
  <c r="J58" i="33" s="1"/>
  <c r="K58" i="33" s="1"/>
  <c r="L58" i="33" s="1"/>
  <c r="M58" i="33" s="1"/>
  <c r="N58" i="33" s="1"/>
  <c r="O58" i="33" s="1"/>
  <c r="F7" i="33"/>
  <c r="E48" i="21"/>
  <c r="R49" i="21"/>
  <c r="C26" i="59"/>
  <c r="D25" i="59"/>
  <c r="F9" i="59"/>
  <c r="F8" i="59" s="1"/>
  <c r="F7" i="59" s="1"/>
  <c r="F6" i="59" s="1"/>
  <c r="V10" i="59"/>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6" i="44"/>
  <c r="C14" i="15"/>
  <c r="F7" i="67"/>
  <c r="C18" i="15" l="1"/>
  <c r="C15" i="15"/>
  <c r="C17" i="44"/>
  <c r="C20" i="44"/>
  <c r="G65" i="40"/>
  <c r="F67" i="40"/>
  <c r="G70" i="39"/>
  <c r="F72" i="39"/>
  <c r="C22" i="4"/>
  <c r="D21" i="6"/>
  <c r="D10" i="6"/>
  <c r="H21" i="6"/>
  <c r="D6" i="6"/>
  <c r="D14" i="6"/>
  <c r="D20" i="6"/>
  <c r="H23" i="6"/>
  <c r="F45" i="9"/>
  <c r="E68" i="39"/>
  <c r="D24" i="6"/>
  <c r="D11" i="6"/>
  <c r="H20" i="6"/>
  <c r="D9" i="6"/>
  <c r="D29" i="6"/>
  <c r="D15" i="6"/>
  <c r="E46" i="9"/>
  <c r="E63" i="40"/>
  <c r="D25" i="6"/>
  <c r="H24" i="6"/>
  <c r="D28" i="6"/>
  <c r="E45" i="9"/>
  <c r="K38" i="9"/>
  <c r="C14" i="66" s="1"/>
  <c r="B2" i="66" s="1"/>
  <c r="D26" i="6"/>
  <c r="R26" i="6" s="1"/>
  <c r="D12" i="6"/>
  <c r="D5" i="6"/>
  <c r="H26" i="6"/>
  <c r="D19" i="6"/>
  <c r="D13" i="6"/>
  <c r="D23" i="6"/>
  <c r="R23" i="6" s="1"/>
  <c r="D8" i="6"/>
  <c r="D22" i="6"/>
  <c r="H25" i="6"/>
  <c r="H22" i="6"/>
  <c r="F46" i="9"/>
  <c r="F5" i="59"/>
  <c r="V6" i="59"/>
  <c r="T26" i="59"/>
  <c r="D26" i="59"/>
  <c r="E53" i="21"/>
  <c r="F53" i="21" s="1"/>
  <c r="E52" i="21"/>
  <c r="F52" i="21" s="1"/>
  <c r="J7" i="33"/>
  <c r="D11" i="59"/>
  <c r="C10" i="59"/>
  <c r="C38" i="35"/>
  <c r="C39" i="35"/>
  <c r="B3" i="35" s="1"/>
  <c r="B2" i="35" s="1"/>
  <c r="R37" i="36"/>
  <c r="E36" i="36"/>
  <c r="C8" i="66"/>
  <c r="C7" i="66"/>
  <c r="K59" i="34"/>
  <c r="I53" i="21"/>
  <c r="J53" i="21" s="1"/>
  <c r="C17" i="12"/>
  <c r="C14" i="12"/>
  <c r="I19" i="6"/>
  <c r="M27" i="6"/>
  <c r="C43" i="37"/>
  <c r="B3" i="37" s="1"/>
  <c r="B2" i="37" s="1"/>
  <c r="C42" i="37"/>
  <c r="C49" i="21"/>
  <c r="B3" i="21" s="1"/>
  <c r="B2" i="21" s="1"/>
  <c r="C48" i="21"/>
  <c r="AA7" i="33"/>
  <c r="R48" i="33" s="1"/>
  <c r="S7" i="33"/>
  <c r="E5" i="59"/>
  <c r="U6" i="59"/>
  <c r="E43" i="35"/>
  <c r="F43" i="35" s="1"/>
  <c r="E42" i="35"/>
  <c r="F42" i="35" s="1"/>
  <c r="D19" i="12"/>
  <c r="C19" i="12" s="1"/>
  <c r="C16" i="12"/>
  <c r="D22" i="12"/>
  <c r="C22" i="12" s="1"/>
  <c r="C20" i="12" s="1"/>
  <c r="D13" i="11"/>
  <c r="C13" i="11" s="1"/>
  <c r="C14" i="43"/>
  <c r="C17" i="43"/>
  <c r="I42" i="35"/>
  <c r="J42" i="35" s="1"/>
  <c r="I43" i="35"/>
  <c r="J43" i="35" s="1"/>
  <c r="E47" i="37"/>
  <c r="F47" i="37" s="1"/>
  <c r="E46" i="37"/>
  <c r="F46" i="37" s="1"/>
  <c r="H7" i="33"/>
  <c r="E4" i="67"/>
  <c r="C26" i="46"/>
  <c r="C27" i="46"/>
  <c r="C65" i="15"/>
  <c r="C59" i="15"/>
  <c r="B5" i="11"/>
  <c r="B3" i="11"/>
  <c r="B4" i="11"/>
  <c r="C27" i="12"/>
  <c r="D26" i="12" s="1"/>
  <c r="C32" i="12" s="1"/>
  <c r="D30" i="12" s="1"/>
  <c r="J26" i="15"/>
  <c r="J29" i="15" s="1"/>
  <c r="J24" i="15"/>
  <c r="C38" i="15"/>
  <c r="Q58" i="44"/>
  <c r="Q67" i="44"/>
  <c r="Q49" i="44"/>
  <c r="Q55" i="44" s="1"/>
  <c r="E7" i="67"/>
  <c r="C21" i="44" l="1"/>
  <c r="C22" i="44" s="1"/>
  <c r="C28" i="44" s="1"/>
  <c r="C19" i="15"/>
  <c r="C20" i="15" s="1"/>
  <c r="C23" i="15" s="1"/>
  <c r="D16" i="6"/>
  <c r="D30" i="6"/>
  <c r="G67" i="40"/>
  <c r="H65" i="40"/>
  <c r="G72" i="39"/>
  <c r="H70" i="39"/>
  <c r="C18" i="43"/>
  <c r="C18" i="12"/>
  <c r="C37" i="36"/>
  <c r="B3" i="36" s="1"/>
  <c r="B2" i="36" s="1"/>
  <c r="C36" i="36"/>
  <c r="R22" i="6"/>
  <c r="D7" i="66"/>
  <c r="D8" i="66"/>
  <c r="R25" i="6"/>
  <c r="R21" i="6"/>
  <c r="AB7" i="33"/>
  <c r="T48" i="33" s="1"/>
  <c r="G48" i="33" s="1"/>
  <c r="U7" i="33"/>
  <c r="R49" i="33"/>
  <c r="E48" i="33"/>
  <c r="S19" i="6"/>
  <c r="S27" i="6" s="1"/>
  <c r="I27" i="6"/>
  <c r="L59" i="34"/>
  <c r="E40" i="36"/>
  <c r="F40" i="36" s="1"/>
  <c r="E41" i="36"/>
  <c r="F41" i="36" s="1"/>
  <c r="I41" i="36"/>
  <c r="J41" i="36" s="1"/>
  <c r="C9" i="59"/>
  <c r="T10" i="59"/>
  <c r="D10" i="59"/>
  <c r="AC7" i="33"/>
  <c r="V48" i="33" s="1"/>
  <c r="I48" i="33" s="1"/>
  <c r="W7" i="33"/>
  <c r="D27" i="6"/>
  <c r="D31" i="6" s="1"/>
  <c r="H19" i="6"/>
  <c r="H27" i="6" s="1"/>
  <c r="R24" i="6"/>
  <c r="R20" i="6"/>
  <c r="A20" i="64"/>
  <c r="A6" i="51"/>
  <c r="B7" i="63" s="1"/>
  <c r="A6" i="64"/>
  <c r="A20" i="51"/>
  <c r="B15" i="63" s="1"/>
  <c r="N5" i="54"/>
  <c r="B43" i="63" s="1"/>
  <c r="E3" i="67"/>
  <c r="B2" i="46"/>
  <c r="B7" i="67"/>
  <c r="C25" i="44" l="1"/>
  <c r="C31" i="44" s="1"/>
  <c r="C15" i="44" s="1"/>
  <c r="Q72" i="44" s="1"/>
  <c r="C26" i="15"/>
  <c r="C29" i="15" s="1"/>
  <c r="H67" i="40"/>
  <c r="I65" i="40"/>
  <c r="H72" i="39"/>
  <c r="I70" i="39"/>
  <c r="I52" i="33"/>
  <c r="J52" i="33" s="1"/>
  <c r="I53" i="33"/>
  <c r="J53" i="33" s="1"/>
  <c r="R19" i="6"/>
  <c r="C8" i="59"/>
  <c r="D9" i="59"/>
  <c r="E52" i="33"/>
  <c r="F52" i="33" s="1"/>
  <c r="E53" i="33"/>
  <c r="F53" i="33" s="1"/>
  <c r="C23" i="12"/>
  <c r="C35" i="12" s="1"/>
  <c r="C33" i="12" s="1"/>
  <c r="C19" i="43"/>
  <c r="C25" i="43" s="1"/>
  <c r="C24" i="43" s="1"/>
  <c r="I6" i="6"/>
  <c r="I5" i="6"/>
  <c r="M59" i="34"/>
  <c r="N59" i="34" s="1"/>
  <c r="O59" i="34" s="1"/>
  <c r="H7" i="34" s="1"/>
  <c r="C48" i="33"/>
  <c r="C49" i="33"/>
  <c r="B3" i="33" s="1"/>
  <c r="B2" i="33" s="1"/>
  <c r="G52" i="33"/>
  <c r="H52" i="33" s="1"/>
  <c r="G53" i="33"/>
  <c r="H53" i="33" s="1"/>
  <c r="J7" i="34"/>
  <c r="B2" i="67"/>
  <c r="D4" i="46"/>
  <c r="B3" i="46"/>
  <c r="B4" i="46"/>
  <c r="C39" i="44" l="1"/>
  <c r="C43" i="44"/>
  <c r="C38" i="44"/>
  <c r="Q51" i="44"/>
  <c r="J16" i="44"/>
  <c r="J24" i="44" s="1"/>
  <c r="C35" i="44"/>
  <c r="C33" i="44" s="1"/>
  <c r="J21" i="44"/>
  <c r="J19" i="44" s="1"/>
  <c r="Q50" i="15"/>
  <c r="J14" i="15"/>
  <c r="J22" i="15" s="1"/>
  <c r="J59" i="15"/>
  <c r="J60" i="15" s="1"/>
  <c r="Q49" i="15" s="1"/>
  <c r="C36" i="15"/>
  <c r="C33" i="15"/>
  <c r="C31" i="15" s="1"/>
  <c r="C56" i="15"/>
  <c r="C60" i="15" s="1"/>
  <c r="C58" i="15" s="1"/>
  <c r="J19" i="15"/>
  <c r="J17" i="15" s="1"/>
  <c r="C13" i="15"/>
  <c r="C37" i="15" s="1"/>
  <c r="R27" i="6"/>
  <c r="R6" i="1"/>
  <c r="R16" i="1" s="1"/>
  <c r="J65" i="40"/>
  <c r="I67" i="40"/>
  <c r="I72" i="39"/>
  <c r="J70" i="39"/>
  <c r="U7" i="34"/>
  <c r="AB7" i="34"/>
  <c r="T49" i="34" s="1"/>
  <c r="G49" i="34" s="1"/>
  <c r="F7" i="34"/>
  <c r="C22" i="43"/>
  <c r="C21" i="43" s="1"/>
  <c r="C28" i="43" s="1"/>
  <c r="C30" i="43" s="1"/>
  <c r="C32" i="43" s="1"/>
  <c r="B2" i="43" s="1"/>
  <c r="C28" i="12"/>
  <c r="C26" i="12" s="1"/>
  <c r="C31" i="12" s="1"/>
  <c r="C30" i="12" s="1"/>
  <c r="C36" i="12" s="1"/>
  <c r="B2" i="12" s="1"/>
  <c r="AC7" i="34"/>
  <c r="V49" i="34" s="1"/>
  <c r="I49" i="34" s="1"/>
  <c r="W7" i="34"/>
  <c r="C7" i="59"/>
  <c r="D8" i="59"/>
  <c r="B3" i="67"/>
  <c r="B4" i="67"/>
  <c r="D19" i="9"/>
  <c r="L44" i="9" l="1"/>
  <c r="J15" i="44"/>
  <c r="J25" i="44" s="1"/>
  <c r="J18" i="44" s="1"/>
  <c r="J27" i="44" s="1"/>
  <c r="Q71" i="15"/>
  <c r="C32" i="44"/>
  <c r="C42" i="44" s="1"/>
  <c r="Q71" i="44" s="1"/>
  <c r="Q70" i="44" s="1"/>
  <c r="C63" i="15"/>
  <c r="J13" i="15"/>
  <c r="J23" i="15" s="1"/>
  <c r="J16" i="15" s="1"/>
  <c r="J25" i="15" s="1"/>
  <c r="C55" i="15"/>
  <c r="C64" i="15" s="1"/>
  <c r="J35" i="15"/>
  <c r="C30" i="15"/>
  <c r="C39" i="15" s="1"/>
  <c r="Q70" i="15" s="1"/>
  <c r="Q69" i="15" s="1"/>
  <c r="L46" i="15"/>
  <c r="K65" i="40"/>
  <c r="J67" i="40"/>
  <c r="K70" i="39"/>
  <c r="J72" i="39"/>
  <c r="B3" i="12"/>
  <c r="B4" i="12"/>
  <c r="B5" i="12"/>
  <c r="C6" i="59"/>
  <c r="D7" i="59"/>
  <c r="I53" i="34"/>
  <c r="J53" i="34" s="1"/>
  <c r="B4" i="43"/>
  <c r="B5" i="43"/>
  <c r="B3" i="43"/>
  <c r="G54" i="34"/>
  <c r="H54" i="34" s="1"/>
  <c r="G53" i="34"/>
  <c r="H53" i="34" s="1"/>
  <c r="AA7" i="34"/>
  <c r="R49" i="34" s="1"/>
  <c r="S7" i="34"/>
  <c r="C57" i="15"/>
  <c r="C66" i="15" s="1"/>
  <c r="C67" i="15" s="1"/>
  <c r="C70" i="15" s="1"/>
  <c r="D21" i="9"/>
  <c r="D20" i="9"/>
  <c r="L51" i="15"/>
  <c r="C44" i="44" l="1"/>
  <c r="C45" i="44" s="1"/>
  <c r="B2" i="44" s="1"/>
  <c r="B3" i="44" s="1"/>
  <c r="C40" i="15"/>
  <c r="Q57" i="15" s="1"/>
  <c r="J39" i="15"/>
  <c r="J40" i="15" s="1"/>
  <c r="K67" i="40"/>
  <c r="L65" i="40"/>
  <c r="K72" i="39"/>
  <c r="L70" i="39"/>
  <c r="C5" i="59"/>
  <c r="D5" i="59" s="1"/>
  <c r="T6" i="59"/>
  <c r="D6" i="59"/>
  <c r="M20" i="46" s="1"/>
  <c r="R50" i="34"/>
  <c r="E49" i="34"/>
  <c r="Q68" i="15"/>
  <c r="L57" i="15"/>
  <c r="L60" i="15" s="1"/>
  <c r="Q67" i="15" s="1"/>
  <c r="B2" i="15" l="1"/>
  <c r="B3" i="15" s="1"/>
  <c r="Q48" i="15"/>
  <c r="Q54" i="15" s="1"/>
  <c r="L52" i="44"/>
  <c r="Q69" i="44" s="1"/>
  <c r="C46" i="15"/>
  <c r="J42" i="15"/>
  <c r="J43" i="15" s="1"/>
  <c r="C43" i="15"/>
  <c r="Q66" i="15"/>
  <c r="Q76" i="15" s="1"/>
  <c r="B4" i="44"/>
  <c r="L67" i="40"/>
  <c r="M65" i="40"/>
  <c r="M70" i="39"/>
  <c r="L72" i="39"/>
  <c r="E54" i="34"/>
  <c r="F54" i="34" s="1"/>
  <c r="E53" i="34"/>
  <c r="F53" i="34" s="1"/>
  <c r="I54" i="34"/>
  <c r="J54" i="34" s="1"/>
  <c r="C50" i="34"/>
  <c r="B3" i="34" s="1"/>
  <c r="B2" i="34" s="1"/>
  <c r="C49" i="34"/>
  <c r="B5" i="44"/>
  <c r="L58" i="44"/>
  <c r="L61" i="44" s="1"/>
  <c r="Q58" i="15"/>
  <c r="Q63" i="15" s="1"/>
  <c r="M67" i="40" l="1"/>
  <c r="H9" i="40" s="1"/>
  <c r="N65" i="40"/>
  <c r="N67" i="40" s="1"/>
  <c r="J9" i="40"/>
  <c r="F9" i="40"/>
  <c r="M72" i="39"/>
  <c r="F9" i="39" s="1"/>
  <c r="N70" i="39"/>
  <c r="N72" i="39" s="1"/>
  <c r="Q68" i="44"/>
  <c r="Q77" i="44" s="1"/>
  <c r="Q59" i="44"/>
  <c r="Q64" i="44" s="1"/>
  <c r="AC9" i="40" l="1"/>
  <c r="V44" i="40" s="1"/>
  <c r="I44" i="40" s="1"/>
  <c r="I48" i="40" s="1"/>
  <c r="J48" i="40" s="1"/>
  <c r="W9" i="40"/>
  <c r="AA9" i="40"/>
  <c r="R44" i="40" s="1"/>
  <c r="S9" i="40"/>
  <c r="AB9" i="40"/>
  <c r="T44" i="40" s="1"/>
  <c r="G44" i="40" s="1"/>
  <c r="U9" i="40"/>
  <c r="S9" i="39"/>
  <c r="AA9" i="39"/>
  <c r="R49" i="39" s="1"/>
  <c r="J9" i="39"/>
  <c r="H9" i="39"/>
  <c r="G49" i="40" l="1"/>
  <c r="H49" i="40" s="1"/>
  <c r="G48" i="40"/>
  <c r="H48" i="40" s="1"/>
  <c r="E44" i="40"/>
  <c r="R45" i="40"/>
  <c r="W9" i="39"/>
  <c r="AC9" i="39"/>
  <c r="V49" i="39" s="1"/>
  <c r="I49" i="39" s="1"/>
  <c r="E49" i="39"/>
  <c r="U9" i="39"/>
  <c r="AB9" i="39"/>
  <c r="T49" i="39" s="1"/>
  <c r="G49" i="39" s="1"/>
  <c r="R50" i="39" l="1"/>
  <c r="C49" i="39" s="1"/>
  <c r="I49" i="40"/>
  <c r="J49" i="40" s="1"/>
  <c r="E49" i="40"/>
  <c r="F49" i="40" s="1"/>
  <c r="E48" i="40"/>
  <c r="F48" i="40" s="1"/>
  <c r="C44" i="40"/>
  <c r="C45" i="40"/>
  <c r="G53" i="39"/>
  <c r="H53" i="39" s="1"/>
  <c r="G54" i="39"/>
  <c r="H54" i="39" s="1"/>
  <c r="E54" i="39"/>
  <c r="F54" i="39" s="1"/>
  <c r="E53" i="39"/>
  <c r="F53" i="39" s="1"/>
  <c r="I54" i="39"/>
  <c r="J54" i="39" s="1"/>
  <c r="I53" i="39"/>
  <c r="J53" i="39" s="1"/>
  <c r="C50" i="39" l="1"/>
  <c r="B65" i="39" s="1"/>
  <c r="F65" i="39" s="1"/>
  <c r="B58" i="40"/>
  <c r="F58" i="40" s="1"/>
  <c r="B53" i="40"/>
  <c r="F53" i="40" s="1"/>
  <c r="F63" i="40"/>
  <c r="B2" i="40" s="1"/>
  <c r="B55" i="40"/>
  <c r="F55" i="40" s="1"/>
  <c r="B60" i="40"/>
  <c r="F60" i="40" s="1"/>
  <c r="B57" i="40"/>
  <c r="F57" i="40" s="1"/>
  <c r="B56" i="40"/>
  <c r="F56" i="40" s="1"/>
  <c r="B54" i="40"/>
  <c r="F54" i="40" s="1"/>
  <c r="B62" i="40"/>
  <c r="F62" i="40" s="1"/>
  <c r="B59" i="40"/>
  <c r="F59" i="40" s="1"/>
  <c r="B61" i="40"/>
  <c r="F61" i="40" s="1"/>
  <c r="B66" i="39"/>
  <c r="F66" i="39" s="1"/>
  <c r="B60" i="39" l="1"/>
  <c r="F60" i="39" s="1"/>
  <c r="B62" i="39"/>
  <c r="F62" i="39" s="1"/>
  <c r="B59" i="39"/>
  <c r="F59" i="39" s="1"/>
  <c r="B64" i="39"/>
  <c r="F64" i="39" s="1"/>
  <c r="B67" i="39"/>
  <c r="F67" i="39" s="1"/>
  <c r="B63" i="39"/>
  <c r="F63" i="39" s="1"/>
  <c r="B58" i="39"/>
  <c r="F58" i="39" s="1"/>
  <c r="B61" i="39"/>
  <c r="F61" i="39" s="1"/>
  <c r="B4" i="40"/>
  <c r="B3" i="40"/>
  <c r="B5" i="40"/>
  <c r="F68" i="39" l="1"/>
  <c r="B2" i="39" s="1"/>
  <c r="B5" i="39" s="1"/>
  <c r="C19" i="9"/>
  <c r="L43" i="9" l="1"/>
  <c r="G19" i="9"/>
  <c r="C32" i="9" s="1"/>
  <c r="C33" i="9" s="1"/>
  <c r="D22" i="9"/>
  <c r="B3" i="39"/>
  <c r="B4" i="39"/>
  <c r="G22" i="9"/>
  <c r="C42" i="9"/>
  <c r="O38" i="9"/>
  <c r="C34" i="9"/>
  <c r="C21" i="9"/>
  <c r="C20" i="9"/>
  <c r="O43" i="9" l="1"/>
  <c r="C35" i="9"/>
  <c r="F42" i="9" s="1"/>
  <c r="N43" i="9"/>
  <c r="G20" i="9"/>
  <c r="G21" i="9"/>
  <c r="N38" i="9"/>
  <c r="K28" i="9" s="1"/>
  <c r="D42" i="9"/>
  <c r="Q5" i="54" s="1"/>
  <c r="B47" i="63" s="1"/>
  <c r="M38" i="9"/>
  <c r="K27" i="9" s="1"/>
  <c r="E42" i="9"/>
  <c r="P5" i="54" s="1"/>
  <c r="B46" i="63" s="1"/>
  <c r="K26" i="9"/>
  <c r="K25" i="9"/>
  <c r="D14" i="66"/>
  <c r="R5" i="54"/>
  <c r="B48" i="63" s="1"/>
  <c r="C44" i="9"/>
  <c r="N68" i="9"/>
  <c r="D63" i="9"/>
  <c r="C103" i="9" l="1"/>
  <c r="D71" i="9"/>
  <c r="D66" i="9" s="1"/>
  <c r="N72" i="9" s="1"/>
  <c r="C82" i="9"/>
  <c r="C81" i="9" s="1"/>
  <c r="C85" i="9" s="1"/>
  <c r="C86" i="9" s="1"/>
  <c r="D72" i="9" s="1"/>
  <c r="D77" i="9"/>
  <c r="N75" i="9" s="1"/>
  <c r="C96" i="9"/>
  <c r="C91" i="9" s="1"/>
  <c r="C90" i="9"/>
  <c r="C111" i="9"/>
  <c r="C104" i="9" s="1"/>
  <c r="D70" i="9"/>
  <c r="G14" i="66"/>
  <c r="B6" i="66" s="1"/>
  <c r="F44" i="9"/>
  <c r="D44" i="9"/>
  <c r="O39" i="9"/>
  <c r="E44" i="9"/>
  <c r="N69" i="9"/>
  <c r="B5" i="66"/>
  <c r="E14" i="66"/>
  <c r="F14" i="66"/>
  <c r="C97" i="9" l="1"/>
  <c r="C98" i="9" s="1"/>
  <c r="E98" i="9" s="1"/>
  <c r="E99" i="9" s="1"/>
  <c r="M86" i="9"/>
  <c r="N86" i="9" s="1"/>
  <c r="M84" i="9"/>
  <c r="N84" i="9" s="1"/>
  <c r="M88" i="9"/>
  <c r="N88" i="9" s="1"/>
  <c r="M87" i="9"/>
  <c r="N87" i="9" s="1"/>
  <c r="M85" i="9"/>
  <c r="N85" i="9" s="1"/>
  <c r="M83" i="9"/>
  <c r="N83" i="9" s="1"/>
  <c r="R6" i="54"/>
  <c r="B50" i="63" s="1"/>
  <c r="K29" i="9"/>
  <c r="K30" i="9" s="1"/>
  <c r="D5" i="66"/>
  <c r="C5" i="66"/>
  <c r="C6" i="66"/>
  <c r="D6" i="66"/>
  <c r="C113" i="9"/>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<sst xmlns="http://schemas.openxmlformats.org/spreadsheetml/2006/main" count="7062" uniqueCount="3134">
  <si>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</si>
  <si>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</si>
  <si>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</si>
  <si>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</si>
  <si>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</si>
  <si>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</si>
  <si>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</si>
  <si>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</si>
  <si>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</si>
  <si>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</si>
  <si>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</si>
  <si>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</si>
  <si>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</si>
  <si>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</si>
  <si>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</si>
  <si>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</si>
  <si>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</si>
  <si>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</si>
  <si>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</si>
  <si>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</si>
  <si>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</si>
  <si>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</si>
  <si>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</si>
  <si>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</si>
  <si>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</si>
  <si>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</si>
  <si>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</si>
  <si>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</si>
  <si>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</si>
  <si>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</si>
  <si>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</si>
  <si>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</si>
  <si>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</si>
  <si>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</si>
  <si>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</si>
  <si>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</si>
  <si>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</si>
  <si>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</si>
  <si>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</si>
  <si>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</si>
  <si>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</si>
  <si>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</si>
  <si>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</si>
  <si>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</si>
  <si>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</si>
  <si>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</si>
  <si>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</si>
  <si>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</si>
  <si>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</si>
  <si>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</si>
  <si>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</si>
  <si>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</si>
  <si>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</si>
  <si>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</si>
  <si>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</si>
  <si>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</si>
  <si>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</si>
  <si>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</si>
  <si>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</si>
  <si>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</si>
  <si>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</si>
  <si>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</si>
  <si>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</si>
  <si>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</si>
  <si>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</si>
  <si>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</si>
  <si>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</si>
  <si>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</si>
  <si>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</si>
  <si>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</si>
  <si>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</si>
  <si>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</si>
  <si>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</si>
  <si>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</si>
  <si>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</si>
  <si>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</si>
  <si>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</si>
  <si>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</si>
  <si>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</si>
  <si>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</si>
  <si>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</si>
  <si>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</si>
  <si>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</si>
  <si>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</si>
  <si>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</si>
  <si>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</si>
  <si>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</si>
  <si>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</si>
  <si>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</si>
  <si>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</si>
  <si>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</si>
  <si>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</si>
  <si>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</si>
  <si>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</si>
  <si>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</si>
  <si>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</si>
  <si>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</si>
  <si>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</si>
  <si>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</si>
  <si>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</si>
  <si>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</si>
  <si>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</si>
  <si>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</si>
  <si>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</si>
  <si>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</si>
  <si>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</si>
  <si>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</si>
  <si>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</si>
  <si>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</si>
  <si>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</si>
  <si>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</si>
  <si>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</si>
  <si>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</si>
  <si>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</si>
  <si>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</si>
  <si>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</si>
  <si>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</si>
  <si>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</si>
  <si>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</si>
  <si>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</si>
  <si>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</si>
  <si>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</si>
  <si>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</si>
  <si>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</si>
  <si>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</si>
  <si>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</si>
  <si>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</si>
  <si>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</si>
  <si>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</si>
  <si>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</si>
  <si>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</si>
  <si>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</si>
  <si>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</si>
  <si>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</si>
  <si>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</si>
  <si>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</si>
  <si>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</si>
  <si>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</si>
  <si>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</si>
  <si>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</si>
  <si>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</si>
  <si>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</si>
  <si>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</si>
  <si>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</si>
  <si>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</si>
  <si>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</si>
  <si>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</si>
  <si>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</si>
  <si>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</si>
  <si>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</si>
  <si>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</si>
  <si>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</si>
  <si>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</si>
  <si>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</si>
  <si>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</si>
  <si>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</si>
  <si>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</si>
  <si>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</si>
  <si>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</si>
  <si>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</si>
  <si>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</si>
  <si>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</si>
  <si>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</si>
  <si>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</si>
  <si>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</si>
  <si>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</si>
  <si>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</si>
  <si>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</si>
  <si>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</si>
  <si>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</si>
  <si>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</si>
  <si>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</si>
  <si>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</si>
  <si>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</si>
  <si>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</si>
  <si>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</si>
  <si>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</si>
  <si>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</si>
  <si>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</si>
  <si>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</si>
  <si>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</si>
  <si>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</si>
  <si>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</si>
  <si>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</si>
  <si>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</si>
  <si>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</si>
  <si>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</si>
  <si>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</si>
  <si>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</si>
  <si>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</si>
  <si>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</si>
  <si>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</si>
  <si>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</si>
  <si>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</si>
  <si>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</si>
  <si>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</si>
  <si>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</si>
  <si>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</si>
  <si>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</si>
  <si>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</si>
  <si>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</si>
  <si>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</si>
  <si>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</si>
  <si>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</si>
  <si>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</si>
  <si>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</si>
  <si>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</si>
  <si>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</si>
  <si>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</si>
  <si>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</si>
  <si>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</si>
  <si>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</si>
  <si>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</si>
  <si>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</si>
  <si>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</si>
  <si>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</si>
  <si>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</si>
  <si>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</si>
  <si>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</si>
  <si>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</si>
  <si>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</si>
  <si>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</si>
  <si>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</si>
  <si>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</si>
  <si>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</si>
  <si>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</si>
  <si>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</si>
  <si>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</si>
  <si>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</si>
  <si>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</si>
  <si>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</si>
  <si>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</si>
  <si>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</si>
  <si>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</si>
  <si>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</si>
  <si>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</si>
  <si>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</si>
  <si>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</si>
  <si>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</si>
  <si>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</si>
  <si>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</si>
  <si>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</si>
  <si>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</si>
  <si>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</si>
  <si>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</si>
  <si>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</si>
  <si>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</si>
  <si>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</si>
  <si>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</si>
  <si>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</si>
  <si>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</si>
  <si>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</si>
  <si>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</si>
  <si>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</si>
  <si>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</si>
  <si>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</si>
  <si>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</si>
  <si>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</si>
  <si>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</si>
  <si>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</si>
  <si>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</si>
  <si>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</si>
  <si>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</si>
  <si>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</si>
  <si>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</si>
  <si>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</si>
  <si>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</si>
  <si>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</si>
  <si>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</si>
  <si>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</si>
  <si>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</si>
  <si>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</si>
  <si>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</si>
  <si>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</si>
  <si>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</si>
  <si>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</si>
  <si>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</si>
  <si>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</si>
  <si>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</si>
  <si>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</si>
  <si>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</si>
  <si>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</si>
  <si>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</si>
  <si>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</si>
  <si>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</si>
  <si>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</si>
  <si>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</si>
  <si>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</si>
  <si>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</si>
  <si>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</si>
  <si>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</si>
  <si>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</si>
  <si>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</si>
  <si>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</si>
  <si>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</si>
  <si>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</si>
  <si>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</si>
  <si>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</si>
  <si>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</si>
  <si>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</si>
  <si>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</si>
  <si>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</si>
  <si>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</si>
  <si>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</si>
  <si>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</si>
  <si>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</si>
  <si>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</si>
  <si>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</si>
  <si>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</si>
  <si>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</si>
  <si>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</si>
  <si>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</si>
  <si>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</si>
  <si>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</si>
  <si>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</si>
  <si>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</si>
  <si>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</si>
  <si>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</si>
  <si>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</si>
  <si>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</si>
  <si>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</si>
  <si>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</si>
  <si>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</si>
  <si>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</si>
  <si>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</si>
  <si>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</si>
  <si>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</si>
  <si>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</si>
  <si>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</si>
  <si>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</si>
  <si>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</si>
  <si>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</si>
  <si>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</si>
  <si>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</si>
  <si>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</si>
  <si>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</si>
  <si>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</si>
  <si>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</si>
  <si>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</si>
  <si>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</si>
  <si>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</si>
  <si>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</si>
  <si>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</si>
  <si>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</si>
  <si>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</si>
  <si>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</si>
  <si>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</si>
  <si>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</si>
  <si>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</si>
  <si>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</si>
  <si>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</si>
  <si>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</si>
  <si>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</si>
  <si>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</si>
  <si>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</si>
  <si>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</si>
  <si>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</si>
  <si>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</si>
  <si>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</si>
  <si>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</si>
  <si>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</si>
  <si>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</si>
  <si>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</si>
  <si>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</si>
  <si>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</si>
  <si>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</si>
  <si>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</si>
  <si>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</si>
  <si>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</si>
  <si>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</si>
  <si>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</si>
  <si>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</si>
  <si>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</si>
  <si>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</si>
  <si>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</si>
  <si>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</si>
  <si>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</si>
  <si>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</si>
  <si>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</si>
  <si>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</si>
  <si>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</si>
  <si>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</si>
  <si>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</si>
  <si>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</si>
  <si>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</si>
  <si>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</si>
  <si>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</si>
  <si>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</si>
  <si>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</si>
  <si>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</si>
  <si>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</si>
  <si>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</si>
  <si>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</si>
  <si>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</si>
  <si>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</si>
  <si>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</si>
  <si>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</si>
  <si>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</si>
  <si>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</si>
  <si>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</si>
  <si>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</si>
  <si>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</si>
  <si>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</si>
  <si>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</si>
  <si>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</si>
  <si>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</si>
  <si>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</si>
  <si>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</si>
  <si>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</si>
  <si>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</si>
  <si>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</si>
  <si>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</si>
  <si>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</si>
  <si>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</si>
  <si>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</si>
  <si>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</si>
  <si>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</si>
  <si>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</si>
  <si>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</si>
  <si>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</si>
  <si>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</si>
  <si>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</si>
  <si>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</si>
  <si>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</si>
  <si>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</si>
  <si>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</si>
  <si>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</si>
  <si>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</si>
  <si>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</si>
  <si>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</si>
  <si>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</si>
  <si>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</si>
  <si>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</si>
  <si>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</si>
  <si>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</si>
  <si>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</si>
  <si>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</si>
  <si>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</si>
  <si>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</si>
  <si>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</si>
  <si>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</si>
  <si>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</si>
  <si>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</si>
  <si>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</si>
  <si>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</si>
  <si>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</si>
  <si>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</si>
  <si>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</si>
  <si>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</si>
  <si>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</si>
  <si>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</si>
  <si>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</si>
  <si>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</si>
  <si>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</si>
  <si>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</si>
  <si>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</si>
  <si>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</si>
  <si>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</si>
  <si>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</si>
  <si>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</si>
  <si>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</si>
  <si>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</si>
  <si>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</si>
  <si>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</si>
  <si>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</si>
  <si>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</si>
  <si>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</si>
  <si>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</si>
  <si>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</si>
  <si>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</si>
  <si>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</si>
  <si>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</si>
  <si>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</si>
  <si>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</si>
  <si>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</si>
  <si>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</si>
  <si>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</si>
  <si>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</si>
  <si>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</si>
  <si>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</si>
  <si>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</si>
  <si>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</si>
  <si>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</si>
  <si>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</si>
  <si>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</si>
  <si>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</si>
  <si>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</si>
  <si>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</si>
  <si>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</si>
  <si>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</si>
  <si>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</si>
  <si>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</si>
  <si>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</si>
  <si>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</si>
  <si>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</si>
  <si>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</si>
  <si>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</si>
  <si>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</si>
  <si>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</si>
  <si>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</si>
  <si>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</si>
  <si>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</si>
  <si>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</si>
  <si>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</si>
  <si>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</si>
  <si>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</si>
  <si>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</si>
  <si>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</si>
  <si>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</si>
  <si>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</si>
  <si>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</si>
  <si>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</si>
  <si>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</si>
  <si>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</si>
  <si>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</si>
  <si>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</si>
  <si>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</si>
  <si>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</si>
  <si>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</si>
  <si>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</si>
  <si>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</si>
  <si>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</si>
  <si>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</si>
  <si>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</si>
  <si>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</si>
  <si>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</si>
  <si>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</si>
  <si>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</si>
  <si>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</si>
  <si>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</si>
  <si>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</si>
  <si>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</si>
  <si>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</si>
  <si>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</si>
  <si>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</si>
  <si>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</si>
  <si>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</si>
  <si>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</si>
  <si>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</si>
  <si>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</si>
  <si>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</si>
  <si>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</si>
  <si>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</si>
  <si>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</si>
  <si>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</si>
  <si>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</si>
  <si>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</si>
  <si>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</si>
  <si>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</si>
  <si>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</si>
  <si>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</si>
  <si>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</si>
  <si>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</si>
  <si>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</si>
  <si>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</si>
  <si>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</si>
  <si>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</si>
  <si>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</si>
  <si>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</si>
  <si>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</si>
  <si>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</si>
  <si>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</si>
  <si>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</si>
  <si>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</si>
  <si>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</si>
  <si>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</si>
  <si>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</si>
  <si>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</si>
  <si>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</si>
  <si>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</si>
  <si>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</si>
  <si>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</si>
  <si>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</si>
  <si>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</si>
  <si>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</si>
  <si>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</si>
  <si>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</si>
  <si>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</si>
  <si>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</si>
  <si>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</si>
  <si>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</si>
  <si>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</si>
  <si>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</si>
  <si>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</si>
  <si>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</si>
  <si>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</si>
  <si>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</si>
  <si>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</si>
  <si>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</si>
  <si>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</si>
  <si>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</si>
  <si>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</si>
  <si>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</si>
  <si>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</si>
  <si>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</si>
  <si>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</si>
  <si>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</si>
  <si>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</si>
  <si>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</si>
  <si>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</si>
  <si>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</si>
  <si>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</si>
  <si>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</si>
  <si>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</si>
  <si>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</si>
  <si>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</si>
  <si>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</si>
  <si>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</si>
  <si>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</si>
  <si>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</si>
  <si>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</si>
  <si>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</si>
  <si>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</si>
  <si>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</si>
  <si>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</si>
  <si>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</si>
  <si>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</si>
  <si>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</si>
  <si>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</si>
  <si>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</si>
  <si>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</si>
  <si>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</si>
  <si>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</si>
  <si>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</si>
  <si>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</si>
  <si>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</si>
  <si>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</si>
  <si>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</si>
  <si>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</si>
  <si>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</si>
  <si>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</si>
  <si>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</si>
  <si>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</si>
  <si>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</si>
  <si>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</si>
  <si>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</si>
  <si>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</si>
  <si>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</si>
  <si>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</si>
  <si>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</si>
  <si>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</si>
  <si>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</si>
  <si>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</si>
  <si>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</si>
  <si>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</si>
  <si>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</si>
  <si>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</si>
  <si>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</si>
  <si>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</si>
  <si>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</si>
  <si>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</si>
  <si>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</si>
  <si>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</si>
  <si>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</si>
  <si>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</si>
  <si>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</si>
  <si>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</si>
  <si>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</si>
  <si>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</si>
  <si>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</si>
  <si>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</si>
  <si>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</si>
  <si>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</si>
  <si>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</si>
  <si>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</si>
  <si>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</si>
  <si>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</si>
  <si>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</si>
  <si>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</si>
  <si>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</si>
  <si>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</si>
  <si>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</si>
  <si>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</si>
  <si>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</si>
  <si>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</si>
  <si>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</si>
  <si>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</si>
  <si>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</si>
  <si>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</si>
  <si>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</si>
  <si>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</si>
  <si>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</si>
  <si>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</si>
  <si>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</si>
  <si>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</si>
  <si>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</si>
  <si>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</si>
  <si>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</si>
  <si>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</si>
  <si>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</si>
  <si>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</si>
  <si>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</si>
  <si>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</si>
  <si>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</si>
  <si>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</si>
  <si>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</si>
  <si>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</si>
  <si>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</si>
  <si>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</si>
  <si>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</si>
  <si>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</si>
  <si>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</si>
  <si>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</si>
  <si>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</si>
  <si>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</si>
  <si>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</si>
  <si>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</si>
  <si>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</si>
  <si>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</si>
  <si>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</si>
  <si>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</si>
  <si>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</si>
  <si>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</si>
  <si>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</si>
  <si>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</si>
  <si>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</si>
  <si>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</si>
  <si>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</si>
  <si>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</si>
  <si>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</si>
  <si>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</si>
  <si>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</si>
  <si>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</si>
  <si>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</si>
  <si>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</si>
  <si>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</si>
  <si>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</si>
  <si>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</si>
  <si>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</si>
  <si>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</si>
  <si>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</si>
  <si>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</si>
  <si>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</si>
  <si>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</si>
  <si>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</si>
  <si>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</si>
  <si>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</si>
  <si>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</si>
  <si>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</si>
  <si>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</si>
  <si>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</si>
  <si>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</si>
  <si>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</si>
  <si>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</si>
  <si>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</si>
  <si>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</si>
  <si>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</si>
  <si>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</si>
  <si>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</si>
  <si>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</si>
  <si>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</si>
  <si>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</si>
  <si>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</si>
  <si>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</si>
  <si>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</si>
  <si>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</si>
  <si>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</si>
  <si>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</si>
  <si>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</si>
  <si>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</si>
  <si>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</si>
  <si>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</si>
  <si>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</si>
  <si>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</si>
  <si>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</si>
  <si>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</si>
  <si>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</si>
  <si>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</si>
  <si>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</si>
  <si>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</si>
  <si>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</si>
  <si>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</si>
  <si>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</si>
  <si>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</si>
  <si>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</si>
  <si>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</si>
  <si>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</si>
  <si>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</si>
  <si>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</si>
  <si>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</si>
  <si>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</si>
  <si>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</si>
  <si>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</si>
  <si>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</si>
  <si>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</si>
  <si>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</si>
  <si>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</si>
  <si>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</si>
  <si>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</si>
  <si>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</si>
  <si>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</si>
  <si>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</si>
  <si>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</si>
  <si>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</si>
  <si>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</si>
  <si>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</si>
  <si>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</si>
  <si>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</si>
  <si>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</si>
  <si>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</si>
  <si>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</si>
  <si>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</si>
  <si>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</si>
  <si>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</si>
  <si>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</si>
  <si>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</si>
  <si>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</si>
  <si>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</si>
  <si>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</si>
  <si>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</si>
  <si>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</si>
  <si>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</si>
  <si>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</si>
  <si>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</si>
  <si>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</si>
  <si>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</si>
  <si>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</si>
  <si>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</si>
  <si>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</si>
  <si>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</si>
  <si>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</si>
  <si>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</si>
  <si>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</si>
  <si>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</si>
  <si>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</si>
  <si>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</si>
  <si>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</si>
  <si>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</si>
  <si>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</si>
  <si>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</si>
  <si>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</si>
  <si>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</si>
  <si>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</si>
  <si>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</si>
  <si>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</si>
  <si>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</si>
  <si>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</si>
  <si>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</si>
  <si>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</si>
  <si>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</si>
  <si>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</si>
  <si>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</si>
  <si>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</si>
  <si>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</si>
  <si>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</si>
  <si>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</si>
  <si>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</si>
  <si>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</si>
  <si>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</si>
  <si>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</si>
  <si>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</si>
  <si>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</si>
  <si>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</si>
  <si>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</si>
  <si>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</si>
  <si>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</si>
  <si>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</si>
  <si>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</si>
  <si>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</si>
  <si>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</si>
  <si>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</si>
  <si>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</si>
  <si>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</si>
  <si>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</si>
  <si>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</si>
  <si>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</si>
  <si>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</si>
  <si>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</si>
  <si>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</si>
  <si>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</si>
  <si>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</si>
  <si>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</si>
  <si>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</si>
  <si>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</si>
  <si>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</si>
  <si>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</si>
  <si>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</si>
  <si>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</si>
  <si>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</si>
  <si>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</si>
  <si>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</si>
  <si>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</si>
  <si>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</si>
  <si>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</si>
  <si>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</si>
  <si>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</si>
  <si>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</si>
  <si>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</si>
  <si>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</si>
  <si>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</si>
  <si>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</si>
  <si>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</si>
  <si>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</si>
  <si>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</si>
  <si>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</si>
  <si>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</si>
  <si>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</si>
  <si>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</si>
  <si>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</si>
  <si>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</si>
  <si>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</si>
  <si>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</si>
  <si>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</si>
  <si>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</si>
  <si>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</si>
  <si>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</si>
  <si>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</si>
  <si>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</si>
  <si>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</si>
  <si>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</si>
  <si>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</si>
  <si>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</si>
  <si>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</si>
  <si>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</si>
  <si>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</si>
  <si>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</si>
  <si>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</si>
  <si>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</si>
  <si>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</si>
  <si>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</si>
  <si>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</si>
  <si>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</si>
  <si>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</si>
  <si>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</si>
  <si>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</si>
  <si>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</si>
  <si>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</si>
  <si>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</si>
  <si>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</si>
  <si>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</si>
  <si>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</si>
  <si>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</si>
  <si>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</si>
  <si>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</si>
  <si>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</si>
  <si>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</si>
  <si>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</si>
  <si>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</si>
  <si>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</si>
  <si>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</si>
  <si>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</si>
  <si>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</si>
  <si>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</si>
  <si>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</si>
  <si>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</si>
  <si>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</si>
  <si>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</si>
  <si>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</si>
  <si>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</si>
  <si>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</si>
  <si>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</si>
  <si>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</si>
  <si>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</si>
  <si>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</si>
  <si>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</si>
  <si>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</si>
  <si>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</si>
  <si>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</si>
  <si>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</si>
  <si>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</si>
  <si>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</si>
  <si>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</si>
  <si>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</si>
  <si>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</si>
  <si>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</si>
  <si>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</si>
  <si>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</si>
  <si>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</si>
  <si>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</si>
  <si>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</si>
  <si>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</si>
  <si>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</si>
  <si>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</si>
  <si>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</si>
  <si>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</si>
  <si>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</si>
  <si>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</si>
  <si>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</si>
  <si>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</si>
  <si>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</si>
  <si>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</si>
  <si>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</si>
  <si>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</si>
  <si>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</si>
  <si>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</si>
  <si>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</si>
  <si>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</si>
  <si>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</si>
  <si>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</si>
  <si>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</si>
  <si>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</si>
  <si>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</si>
  <si>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</si>
  <si>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</si>
  <si>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</si>
  <si>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</si>
  <si>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</si>
  <si>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</si>
  <si>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</si>
  <si>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</si>
  <si>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</si>
  <si>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</si>
  <si>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</si>
  <si>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</si>
  <si>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</si>
  <si>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</si>
  <si>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</si>
  <si>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</si>
  <si>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</si>
  <si>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</si>
  <si>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</si>
  <si>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</si>
  <si>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</si>
  <si>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</si>
  <si>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</si>
  <si>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</si>
  <si>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</si>
  <si>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</si>
  <si>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</si>
  <si>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</si>
  <si>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</si>
  <si>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</si>
  <si>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</si>
  <si>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</si>
  <si>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</si>
  <si>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</si>
  <si>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</si>
  <si>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</si>
  <si>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</si>
  <si>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</si>
  <si>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</si>
  <si>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</si>
  <si>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</si>
  <si>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</si>
  <si>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</si>
  <si>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</si>
  <si>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</si>
  <si>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</si>
  <si>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</si>
  <si>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</si>
  <si>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</si>
  <si>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</si>
  <si>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</si>
  <si>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</si>
  <si>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</si>
  <si>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</si>
  <si>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</si>
  <si>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</si>
  <si>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</si>
  <si>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</si>
  <si>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</si>
  <si>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</si>
  <si>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</si>
  <si>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</si>
  <si>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</si>
  <si>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</si>
  <si>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</si>
  <si>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</si>
  <si>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</si>
  <si>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</si>
  <si>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</si>
  <si>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</si>
  <si>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</si>
  <si>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</si>
  <si>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</si>
  <si>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</si>
  <si>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</si>
  <si>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</si>
  <si>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</si>
  <si>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</si>
  <si>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</si>
  <si>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</si>
  <si>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</si>
  <si>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</si>
  <si>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</si>
  <si>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</si>
  <si>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</si>
  <si>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</si>
  <si>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</si>
  <si>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</si>
  <si>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</si>
  <si>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</si>
  <si>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</si>
  <si>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</si>
  <si>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</si>
  <si>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</si>
  <si>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</si>
  <si>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</si>
  <si>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</si>
  <si>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</si>
  <si>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</si>
  <si>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</si>
  <si>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</si>
  <si>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</si>
  <si>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</si>
  <si>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</si>
  <si>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</si>
  <si>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</si>
  <si>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</si>
  <si>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</si>
  <si>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</si>
  <si>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</si>
  <si>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</si>
  <si>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</si>
  <si>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</si>
  <si>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</si>
  <si>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</si>
  <si>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</si>
  <si>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</si>
  <si>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</si>
  <si>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</si>
  <si>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</si>
  <si>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</si>
  <si>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</si>
  <si>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</si>
  <si>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</si>
  <si>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</si>
  <si>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</si>
  <si>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</si>
  <si>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</si>
  <si>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</si>
  <si>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</si>
  <si>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</si>
  <si>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</si>
  <si>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</si>
  <si>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</si>
  <si>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</si>
  <si>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</si>
  <si>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</si>
  <si>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</si>
  <si>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</si>
  <si>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</si>
  <si>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</si>
  <si>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</si>
  <si>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</si>
  <si>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</si>
  <si>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</si>
  <si>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</si>
  <si>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</si>
  <si>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</si>
  <si>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</si>
  <si>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</si>
  <si>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</si>
  <si>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</si>
  <si>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</si>
  <si>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</si>
  <si>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</si>
  <si>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</si>
  <si>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</si>
  <si>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</si>
  <si>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</si>
  <si>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</si>
  <si>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</si>
  <si>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</si>
  <si>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</si>
  <si>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</si>
  <si>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</si>
  <si>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</si>
  <si>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</si>
  <si>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</si>
  <si>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</si>
  <si>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</si>
  <si>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</si>
  <si>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</si>
  <si>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</si>
  <si>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</si>
  <si>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</si>
  <si>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</si>
  <si>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</si>
  <si>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</si>
  <si>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</si>
  <si>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</si>
  <si>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</si>
  <si>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</si>
  <si>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</si>
  <si>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</si>
  <si>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</si>
  <si>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</si>
  <si>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</si>
  <si>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</si>
  <si>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</si>
  <si>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</si>
  <si>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</si>
  <si>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</si>
  <si>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</si>
  <si>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</si>
  <si>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</si>
  <si>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</si>
  <si>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</si>
  <si>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</si>
  <si>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</si>
  <si>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</si>
  <si>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</si>
  <si>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</si>
  <si>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</si>
  <si>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</si>
  <si>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</si>
  <si>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</si>
  <si>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</si>
  <si>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</si>
  <si>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</si>
  <si>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</si>
  <si>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</si>
  <si>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</si>
  <si>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</si>
  <si>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</si>
  <si>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</si>
  <si>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</si>
  <si>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</si>
  <si>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</si>
  <si>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</si>
  <si>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</si>
  <si>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</si>
  <si>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</si>
  <si>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</si>
  <si>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</si>
  <si>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</si>
  <si>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</si>
  <si>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</si>
  <si>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</si>
  <si>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</si>
  <si>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</si>
  <si>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</si>
  <si>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</si>
  <si>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</si>
  <si>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</si>
  <si>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</si>
  <si>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</si>
  <si>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</si>
  <si>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</si>
  <si>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</si>
  <si>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</si>
  <si>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</si>
  <si>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</si>
  <si>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</si>
  <si>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</si>
  <si>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</si>
  <si>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</si>
  <si>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</si>
  <si>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</si>
  <si>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</si>
  <si>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</si>
  <si>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</si>
  <si>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</si>
  <si>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</si>
  <si>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</si>
  <si>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</si>
  <si>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</si>
  <si>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</si>
  <si>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</si>
  <si>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</si>
  <si>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</si>
  <si>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</si>
  <si>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</si>
  <si>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</si>
  <si>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</si>
  <si>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</si>
  <si>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</si>
  <si>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</si>
  <si>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</si>
  <si>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</si>
  <si>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</si>
  <si>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</si>
  <si>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</si>
  <si>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</si>
  <si>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</si>
  <si>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</si>
  <si>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</si>
  <si>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</si>
  <si>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</si>
  <si>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</si>
  <si>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</si>
  <si>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</si>
  <si>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</si>
  <si>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</si>
  <si>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</si>
  <si>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</si>
  <si>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</si>
  <si>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</si>
  <si>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</si>
  <si>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</si>
  <si>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</si>
  <si>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</si>
  <si>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</si>
  <si>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</si>
  <si>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</si>
  <si>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</si>
  <si>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</si>
  <si>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</si>
  <si>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</si>
  <si>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</si>
  <si>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</si>
  <si>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</si>
  <si>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</si>
  <si>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</si>
  <si>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</si>
  <si>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</si>
  <si>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</si>
  <si>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</si>
  <si>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</si>
  <si>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</si>
  <si>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</si>
  <si>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</si>
  <si>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</si>
  <si>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</si>
  <si>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</si>
  <si>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</si>
  <si>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</si>
  <si>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</si>
  <si>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</si>
  <si>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</si>
  <si>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</si>
  <si>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</si>
  <si>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</si>
  <si>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</si>
  <si>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</si>
  <si>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</si>
  <si>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</si>
  <si>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</si>
  <si>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</si>
  <si>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</si>
  <si>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</si>
  <si>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</si>
  <si>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</si>
  <si>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</si>
  <si>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</si>
  <si>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</si>
  <si>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</si>
  <si>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</si>
  <si>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</si>
  <si>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</si>
  <si>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</si>
  <si>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</si>
  <si>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</si>
  <si>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</si>
  <si>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</si>
  <si>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</si>
  <si>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</si>
  <si>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</si>
  <si>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</si>
  <si>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</si>
  <si>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</si>
  <si>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</si>
  <si>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</si>
  <si>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</si>
  <si>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</si>
  <si>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</si>
  <si>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</si>
  <si>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</si>
  <si>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</si>
  <si>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</si>
  <si>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</si>
  <si>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</si>
  <si>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</si>
  <si>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</si>
  <si>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</si>
  <si>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</si>
  <si>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</si>
  <si>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</si>
  <si>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</si>
  <si>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</si>
  <si>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</si>
  <si>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</si>
  <si>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</si>
  <si>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</si>
  <si>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</si>
  <si>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</si>
  <si>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</si>
  <si>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</si>
  <si>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</si>
  <si>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</si>
  <si>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</si>
  <si>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</si>
  <si>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</si>
  <si>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</si>
  <si>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</si>
  <si>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</si>
  <si>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</si>
  <si>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</si>
  <si>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</si>
  <si>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</si>
  <si>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</si>
  <si>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</si>
  <si>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</si>
  <si>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</si>
  <si>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</si>
  <si>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</si>
  <si>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</si>
  <si>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</si>
  <si>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</si>
  <si>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</si>
  <si>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</si>
  <si>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</si>
  <si>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</si>
  <si>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</si>
  <si>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</si>
  <si>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</si>
  <si>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</si>
  <si>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</si>
  <si>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</si>
  <si>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</si>
  <si>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</si>
  <si>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</si>
  <si>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</si>
  <si>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</si>
  <si>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</si>
  <si>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</si>
  <si>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</si>
  <si>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</si>
  <si>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</si>
  <si>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</si>
  <si>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</si>
  <si>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</si>
  <si>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</si>
  <si>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</si>
  <si>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</si>
  <si>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</si>
  <si>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</si>
  <si>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</si>
  <si>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</si>
  <si>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</si>
  <si>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</si>
  <si>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</si>
  <si>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</si>
  <si>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</si>
  <si>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</si>
  <si>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</si>
  <si>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</si>
  <si>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</si>
  <si>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</si>
  <si>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</si>
  <si>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</si>
  <si>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</si>
  <si>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</si>
  <si>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</si>
  <si>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</si>
  <si>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</si>
  <si>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</si>
  <si>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</si>
  <si>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</si>
  <si>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</si>
  <si>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</si>
  <si>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</si>
  <si>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</si>
  <si>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</si>
  <si>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</si>
  <si>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</si>
  <si>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</si>
  <si>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</si>
  <si>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</si>
  <si>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</si>
  <si>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</si>
  <si>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</si>
  <si>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</si>
  <si>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</si>
  <si>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</si>
  <si>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</si>
  <si>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</si>
  <si>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</si>
  <si>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</si>
  <si>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</si>
  <si>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</si>
  <si>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</si>
  <si>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</si>
  <si>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</si>
  <si>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</si>
  <si>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</si>
  <si>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</si>
  <si>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</si>
  <si>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</si>
  <si>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</si>
  <si>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</si>
  <si>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</si>
  <si>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</si>
  <si>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</si>
  <si>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</si>
  <si>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</si>
  <si>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</si>
  <si>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</si>
  <si>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</si>
  <si>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</si>
  <si>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</si>
  <si>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</si>
  <si>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</si>
  <si>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</si>
  <si>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</si>
  <si>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</si>
  <si>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</si>
  <si>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</si>
  <si>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</si>
  <si>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</si>
  <si>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</si>
  <si>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</si>
  <si>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</si>
  <si>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</si>
  <si>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</si>
  <si>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</si>
  <si>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</si>
  <si>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</si>
  <si>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</si>
  <si>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</si>
  <si>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</si>
  <si>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</si>
  <si>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</si>
  <si>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</si>
  <si>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</si>
  <si>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</si>
  <si>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</si>
  <si>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</si>
  <si>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</si>
  <si>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</si>
  <si>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</si>
  <si>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</si>
  <si>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</si>
  <si>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</si>
  <si>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</si>
  <si>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</si>
  <si>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</si>
  <si>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</si>
  <si>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</si>
  <si>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</si>
  <si>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</si>
  <si>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</si>
  <si>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</si>
  <si>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</si>
  <si>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</si>
  <si>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</si>
  <si>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</si>
  <si>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</si>
  <si>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</si>
  <si>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</si>
  <si>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</si>
  <si>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</si>
  <si>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</si>
  <si>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</si>
  <si>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</si>
  <si>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</si>
  <si>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</si>
  <si>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</si>
  <si>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</si>
  <si>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</si>
  <si>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</si>
  <si>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</si>
  <si>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</si>
  <si>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</si>
  <si>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</si>
  <si>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</si>
  <si>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</si>
  <si>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</si>
  <si>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</si>
  <si>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</si>
  <si>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</si>
  <si>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</si>
  <si>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</si>
  <si>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</si>
  <si>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</si>
  <si>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</si>
  <si>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</si>
  <si>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</si>
  <si>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</si>
  <si>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</si>
  <si>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</si>
  <si>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</si>
  <si>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</si>
  <si>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</si>
  <si>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</si>
  <si>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</si>
  <si>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</si>
  <si>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</si>
  <si>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</si>
  <si>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</si>
  <si>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</si>
  <si>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</si>
  <si>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</si>
  <si>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</si>
  <si>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</si>
  <si>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</si>
  <si>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</si>
  <si>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</si>
  <si>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</si>
  <si>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</si>
  <si>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</si>
  <si>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</si>
  <si>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</si>
  <si>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</si>
  <si>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</si>
  <si>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</si>
  <si>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</si>
  <si>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</si>
  <si>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</si>
  <si>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</si>
  <si>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</si>
  <si>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</si>
  <si>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</si>
  <si>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</si>
  <si>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</si>
  <si>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</si>
  <si>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</si>
  <si>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</si>
  <si>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</si>
  <si>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</si>
  <si>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</si>
  <si>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</si>
  <si>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</si>
  <si>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</si>
  <si>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</si>
  <si>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</si>
  <si>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</si>
  <si>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</si>
  <si>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</si>
  <si>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</si>
  <si>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</si>
  <si>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</si>
  <si>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</si>
  <si>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</si>
  <si>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</si>
  <si>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</si>
  <si>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</si>
  <si>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</si>
  <si>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</si>
  <si>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</si>
  <si>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</si>
  <si>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</si>
  <si>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</si>
  <si>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</si>
  <si>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</si>
  <si>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</si>
  <si>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</si>
  <si>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</si>
  <si>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</si>
  <si>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</si>
  <si>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</si>
  <si>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</si>
  <si>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</si>
  <si>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</si>
  <si>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</si>
  <si>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</si>
  <si>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</si>
  <si>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</si>
  <si>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</si>
  <si>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</si>
  <si>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</si>
  <si>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</si>
  <si>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</si>
  <si>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</si>
  <si>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</si>
  <si>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</si>
  <si>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</si>
  <si>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</si>
  <si>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</si>
  <si>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</si>
  <si>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</si>
  <si>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</si>
  <si>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</si>
  <si>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</si>
  <si>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</si>
  <si>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</si>
  <si>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</si>
  <si>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</si>
  <si>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</si>
  <si>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</si>
  <si>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</si>
  <si>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</si>
  <si>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</si>
  <si>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</si>
  <si>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</si>
  <si>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</si>
  <si>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</si>
  <si>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</si>
  <si>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</si>
  <si>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</si>
  <si>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</si>
  <si>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</si>
  <si>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</si>
  <si>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</si>
  <si>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</si>
  <si>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</si>
  <si>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</si>
  <si>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</si>
  <si>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</si>
  <si>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</si>
  <si>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</si>
  <si>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</si>
  <si>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</si>
  <si>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</si>
  <si>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</si>
  <si>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</si>
  <si>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</si>
  <si>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</si>
  <si>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</si>
  <si>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</si>
  <si>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</si>
  <si>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</si>
  <si>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</si>
  <si>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</si>
  <si>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</si>
  <si>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</si>
  <si>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</si>
  <si>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</si>
  <si>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</si>
  <si>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</si>
  <si>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</si>
  <si>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</si>
  <si>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</si>
  <si>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</si>
  <si>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</si>
  <si>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</si>
  <si>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</si>
  <si>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</si>
  <si>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</si>
  <si>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</si>
  <si>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</si>
  <si>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</si>
  <si>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</si>
  <si>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</si>
  <si>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</si>
  <si>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</si>
  <si>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</si>
  <si>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</si>
  <si>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</si>
  <si>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</si>
  <si>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</si>
  <si>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</si>
  <si>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</si>
  <si>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</si>
  <si>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</si>
  <si>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</si>
  <si>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</si>
  <si>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</si>
  <si>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</si>
  <si>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</si>
  <si>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</si>
  <si>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</si>
  <si>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</si>
  <si>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</si>
  <si>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</si>
  <si>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</si>
  <si>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</si>
  <si>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</si>
  <si>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</si>
  <si>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</si>
  <si>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</si>
  <si>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</si>
  <si>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</si>
  <si>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</si>
  <si>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</si>
  <si>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</si>
  <si>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</si>
  <si>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</si>
  <si>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</si>
  <si>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</si>
  <si>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</si>
  <si>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</si>
  <si>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</si>
  <si>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</si>
  <si>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</si>
  <si>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</si>
  <si>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</si>
  <si>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</si>
  <si>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</si>
  <si>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</si>
  <si>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</si>
  <si>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</si>
  <si>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</si>
  <si>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</si>
  <si>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</si>
  <si>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</si>
  <si>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</si>
  <si>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</si>
  <si>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</si>
  <si>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</si>
  <si>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</si>
  <si>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</si>
  <si>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</si>
  <si>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</si>
  <si>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</si>
  <si>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</si>
  <si>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</si>
  <si>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</si>
  <si>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</si>
  <si>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</si>
  <si>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</si>
  <si>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</si>
  <si>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</si>
  <si>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</si>
  <si>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</si>
  <si>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</si>
  <si>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</si>
  <si>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</si>
  <si>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</si>
  <si>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</si>
  <si>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</si>
  <si>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</si>
  <si>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</si>
  <si>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</si>
  <si>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</si>
  <si>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</si>
  <si>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</si>
  <si>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</si>
  <si>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</si>
  <si>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</si>
  <si>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</si>
  <si>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</si>
  <si>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</si>
  <si>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</si>
  <si>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</si>
  <si>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</si>
  <si>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</si>
  <si>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</si>
  <si>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</si>
  <si>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</si>
  <si>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</si>
  <si>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</si>
  <si>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</si>
  <si>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</si>
  <si>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</si>
  <si>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</si>
  <si>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</si>
  <si>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</si>
  <si>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</si>
  <si>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</si>
  <si>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</si>
  <si>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</si>
  <si>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</si>
  <si>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</si>
  <si>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</si>
  <si>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</si>
  <si>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</si>
  <si>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</si>
  <si>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</si>
  <si>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</si>
  <si>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</si>
  <si>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</si>
  <si>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</si>
  <si>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</si>
  <si>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</si>
  <si>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</si>
  <si>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</si>
  <si>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</si>
  <si>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</si>
  <si>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</si>
  <si>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</si>
  <si>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</si>
  <si>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</si>
  <si>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</si>
  <si>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</si>
  <si>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</si>
  <si>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</si>
  <si>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</si>
  <si>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</si>
  <si>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</si>
  <si>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</si>
  <si>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</si>
  <si>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</si>
  <si>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</si>
  <si>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</si>
  <si>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</si>
  <si>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</si>
  <si>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</si>
  <si>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</si>
  <si>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</si>
  <si>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</si>
  <si>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</si>
  <si>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</si>
  <si>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</si>
  <si>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</si>
  <si>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</si>
  <si>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</si>
  <si>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</si>
  <si>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</si>
  <si>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</si>
  <si>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</si>
  <si>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</si>
  <si>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</si>
  <si>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</si>
  <si>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</si>
  <si>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</si>
  <si>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</si>
  <si>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</si>
  <si>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</si>
  <si>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</si>
  <si>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</si>
  <si>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</si>
  <si>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</si>
  <si>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</si>
  <si>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</si>
  <si>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</si>
  <si>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</si>
  <si>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</si>
  <si>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</si>
  <si>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</si>
  <si>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</si>
  <si>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</si>
  <si>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</si>
  <si>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</si>
  <si>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</si>
  <si>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</si>
  <si>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</si>
  <si>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</si>
  <si>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</si>
  <si>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</si>
  <si>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</si>
  <si>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</si>
  <si>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</si>
  <si>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</si>
  <si>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</si>
  <si>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</si>
  <si>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</si>
  <si>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</si>
  <si>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</si>
  <si>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</si>
  <si>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</si>
  <si>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</si>
  <si>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</si>
  <si>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</si>
  <si>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</si>
  <si>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</si>
  <si>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</si>
  <si>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</si>
  <si>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</si>
  <si>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</si>
  <si>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</si>
  <si>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</si>
  <si>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</si>
  <si>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</si>
  <si>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</si>
  <si>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</si>
  <si>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</si>
  <si>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</si>
  <si>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</si>
  <si>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</si>
  <si>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</si>
  <si>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</si>
  <si>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</si>
  <si>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</si>
  <si>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</si>
  <si>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</si>
  <si>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</si>
  <si>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</si>
  <si>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</si>
  <si>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</si>
  <si>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</si>
  <si>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</si>
  <si>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</si>
  <si>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</si>
  <si>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</si>
  <si>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</si>
  <si>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</si>
  <si>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</si>
  <si>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</si>
  <si>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</si>
  <si>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</si>
  <si>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</si>
  <si>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</si>
  <si>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</si>
  <si>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</si>
  <si>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</si>
  <si>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</si>
  <si>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</si>
  <si>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</si>
  <si>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</si>
  <si>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</si>
  <si>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</si>
  <si>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</si>
  <si>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</si>
  <si>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</si>
  <si>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</si>
  <si>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</si>
  <si>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</si>
  <si>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</si>
  <si>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</si>
  <si>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</si>
  <si>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</si>
  <si>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</si>
  <si>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</si>
  <si>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</si>
  <si>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</si>
  <si>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</si>
  <si>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</si>
  <si>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</si>
  <si>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</si>
  <si>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</si>
  <si>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</si>
  <si>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</si>
  <si>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</si>
  <si>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</si>
  <si>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</si>
  <si>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</si>
  <si>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</si>
  <si>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</si>
  <si>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</si>
  <si>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</si>
  <si>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</si>
  <si>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</si>
  <si>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</si>
  <si>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</si>
  <si>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</si>
  <si>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</si>
  <si>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</si>
  <si>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</si>
  <si>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</si>
  <si>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</si>
  <si>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</si>
  <si>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</si>
  <si>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</si>
  <si>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</si>
  <si>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</si>
  <si>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</si>
  <si>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</si>
  <si>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</si>
  <si>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</si>
  <si>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</si>
  <si>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</si>
  <si>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</si>
  <si>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</si>
  <si>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</si>
  <si>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</si>
  <si>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</si>
  <si>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</si>
  <si>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</si>
  <si>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</si>
  <si>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</si>
  <si>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</si>
  <si>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</si>
  <si>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</si>
  <si>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</si>
  <si>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</si>
  <si>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</si>
  <si>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</si>
  <si>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</si>
  <si>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</si>
  <si>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</si>
  <si>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</si>
  <si>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</si>
  <si>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</si>
  <si>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</si>
  <si>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</si>
  <si>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</si>
  <si>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</si>
  <si>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</si>
  <si>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</si>
  <si>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</si>
  <si>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</si>
  <si>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</si>
  <si>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</si>
  <si>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</si>
  <si>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</si>
  <si>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</si>
  <si>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</si>
  <si>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</si>
  <si>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</si>
  <si>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</si>
  <si>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</si>
  <si>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</si>
  <si>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</si>
  <si>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</si>
  <si>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</si>
  <si>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</si>
  <si>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</si>
  <si>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</si>
  <si>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</si>
  <si>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</si>
  <si>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</si>
  <si>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</si>
  <si>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</si>
  <si>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</si>
  <si>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</si>
  <si>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</si>
  <si>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</si>
  <si>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</si>
  <si>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</si>
  <si>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</si>
  <si>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</si>
  <si>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</si>
  <si>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</si>
  <si>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</si>
  <si>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</si>
  <si>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</si>
  <si>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</si>
  <si>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</si>
  <si>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</si>
  <si>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</si>
  <si>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</si>
  <si>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</si>
  <si>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</si>
  <si>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</si>
  <si>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</si>
  <si>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</si>
  <si>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</si>
  <si>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</si>
  <si>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</si>
  <si>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</si>
  <si>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</si>
  <si>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</si>
  <si>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</si>
  <si>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</si>
  <si>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</si>
  <si>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</si>
  <si>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</si>
  <si>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</si>
  <si>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</si>
  <si>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</si>
  <si>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</si>
  <si>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</si>
  <si>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</si>
  <si>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</si>
  <si>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</si>
  <si>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</si>
  <si>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</si>
  <si>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</si>
  <si>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</si>
  <si>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</si>
  <si>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</si>
  <si>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</si>
  <si>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</si>
  <si>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</si>
  <si>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</si>
  <si>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</si>
  <si>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</si>
  <si>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</si>
  <si>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</si>
  <si>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</si>
  <si>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</si>
  <si>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</si>
  <si>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</si>
  <si>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</si>
  <si>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</si>
  <si>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</si>
  <si>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</si>
  <si>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</si>
  <si>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</si>
  <si>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</si>
  <si>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</si>
  <si>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</si>
  <si>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</si>
  <si>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</si>
  <si>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</si>
  <si>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</si>
  <si>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</si>
  <si>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</si>
  <si>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</si>
  <si>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</si>
  <si>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</si>
  <si>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</si>
  <si>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</si>
  <si>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</si>
  <si>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</si>
  <si>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</si>
  <si>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</si>
  <si>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</si>
  <si>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</si>
  <si>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</si>
  <si>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</si>
  <si>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</si>
  <si>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</si>
  <si>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</si>
  <si>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</si>
  <si>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</si>
  <si>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</si>
  <si>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</si>
  <si>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</si>
  <si>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</si>
  <si>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</si>
  <si>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</si>
  <si>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</si>
  <si>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</si>
  <si>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</si>
  <si>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</si>
  <si>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</si>
  <si>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</si>
  <si>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</si>
  <si>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</si>
  <si>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</si>
  <si>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</si>
  <si>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</si>
  <si>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</si>
  <si>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</si>
  <si>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</si>
  <si>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</si>
  <si>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</si>
  <si>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</si>
  <si>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</si>
  <si>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</si>
  <si>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</si>
  <si>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</si>
  <si>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</si>
  <si>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</si>
  <si>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</si>
  <si>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</si>
  <si>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</si>
  <si>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</si>
  <si>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</si>
  <si>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</si>
  <si>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</si>
  <si>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</si>
  <si>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</si>
  <si>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</si>
  <si>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</si>
  <si>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</si>
  <si>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</si>
  <si>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</si>
  <si>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</si>
  <si>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</si>
  <si>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</si>
  <si>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</si>
  <si>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</si>
  <si>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</si>
  <si>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</si>
  <si>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</si>
  <si>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</si>
  <si>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</si>
  <si>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</si>
  <si>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</si>
  <si>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</si>
  <si>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</si>
  <si>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</si>
  <si>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</si>
  <si>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</si>
  <si>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</si>
  <si>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</si>
  <si>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</si>
  <si>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</si>
  <si>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</si>
  <si>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</si>
  <si>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</si>
  <si>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</si>
  <si>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</si>
  <si>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</si>
  <si>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</si>
  <si>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</si>
  <si>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</si>
  <si>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</si>
  <si>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</si>
  <si>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</si>
  <si>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</si>
  <si>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</si>
  <si>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</si>
  <si>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</si>
  <si>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</si>
  <si>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</si>
  <si>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</si>
  <si>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</si>
  <si>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</si>
  <si>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</si>
  <si>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</si>
  <si>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</si>
  <si>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</si>
  <si>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</si>
  <si>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</si>
  <si>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</si>
  <si>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</si>
  <si>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</si>
  <si>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</si>
  <si>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</si>
  <si>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</si>
  <si>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</si>
  <si>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</si>
  <si>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</si>
  <si>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</si>
  <si>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</si>
  <si>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</si>
  <si>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</si>
  <si>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</si>
  <si>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</si>
  <si>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</si>
  <si>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</si>
  <si>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</si>
  <si>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</si>
  <si>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</si>
  <si>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</si>
  <si>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</si>
  <si>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</si>
  <si>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</si>
  <si>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</si>
  <si>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</si>
  <si>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</si>
  <si>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</si>
  <si>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</si>
  <si>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</si>
  <si>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</si>
  <si>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</si>
  <si>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</si>
  <si>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</si>
  <si>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</si>
  <si>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</si>
  <si>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</si>
  <si>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</si>
  <si>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</si>
  <si>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</si>
  <si>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</si>
  <si>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</si>
  <si>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</si>
  <si>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</si>
  <si>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</si>
  <si>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</si>
  <si>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</si>
  <si>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</si>
  <si>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</si>
  <si>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</si>
  <si>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</si>
  <si>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</si>
  <si>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</si>
  <si>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</si>
  <si>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</si>
  <si>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</si>
  <si>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</si>
  <si>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</si>
  <si>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</si>
  <si>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</si>
  <si>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</si>
  <si>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</si>
  <si>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</si>
  <si>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</si>
  <si>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</si>
  <si>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</si>
  <si>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</si>
  <si>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</si>
  <si>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</si>
  <si>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</si>
  <si>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</si>
  <si>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</si>
  <si>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</si>
  <si>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</si>
  <si>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</si>
  <si>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</si>
  <si>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</si>
  <si>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</si>
  <si>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</si>
  <si>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</si>
  <si>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</si>
  <si>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</si>
  <si>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</si>
  <si>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</si>
  <si>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</si>
  <si>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</si>
  <si>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</si>
  <si>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</si>
  <si>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</si>
  <si>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</si>
  <si>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</si>
  <si>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</si>
  <si>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</si>
  <si>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</si>
  <si>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</si>
  <si>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</si>
  <si>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</si>
  <si>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</si>
  <si>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</si>
  <si>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</si>
  <si>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</si>
  <si>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</si>
  <si>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</si>
  <si>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</si>
  <si>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</si>
  <si>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</si>
  <si>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</si>
  <si>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</si>
  <si>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</si>
  <si>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</si>
  <si>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</si>
  <si>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</si>
  <si>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</si>
  <si>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</si>
  <si>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</si>
  <si>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</si>
  <si>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</si>
  <si>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</si>
  <si>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</si>
  <si>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</si>
  <si>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</si>
  <si>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</si>
  <si>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</si>
  <si>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</si>
  <si>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</si>
  <si>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</si>
  <si>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</si>
  <si>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</si>
  <si>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</si>
  <si>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</si>
  <si>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</si>
  <si>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</si>
  <si>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</si>
  <si>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</si>
  <si>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</si>
  <si>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</si>
  <si>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</si>
  <si>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</si>
  <si>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</si>
  <si>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</si>
  <si>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</si>
  <si>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</si>
  <si>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</si>
  <si>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</si>
  <si>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</si>
  <si>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</si>
  <si>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</si>
  <si>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</si>
  <si>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</si>
  <si>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</si>
  <si>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</si>
  <si>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</si>
  <si>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</si>
  <si>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</si>
  <si>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</si>
  <si>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</si>
  <si>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</si>
  <si>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</si>
  <si>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</si>
  <si>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</si>
  <si>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</si>
  <si>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</si>
  <si>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</si>
  <si>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</si>
  <si>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</si>
  <si>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</si>
  <si>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</si>
  <si>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</si>
  <si>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</si>
  <si>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</si>
  <si>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</si>
  <si>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</si>
  <si>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</si>
  <si>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</si>
  <si>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</si>
  <si>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</si>
  <si>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</si>
  <si>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</si>
  <si>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</si>
  <si>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</si>
  <si>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</si>
  <si>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</si>
  <si>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</si>
  <si>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</si>
  <si>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</si>
  <si>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</si>
  <si>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</si>
  <si>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</si>
  <si>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</si>
  <si>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</si>
  <si>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</si>
  <si>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</si>
  <si>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</si>
  <si>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</si>
  <si>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</si>
  <si>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</si>
  <si>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</si>
  <si>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</si>
  <si>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</si>
  <si>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</si>
  <si>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</si>
  <si>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</si>
  <si>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</si>
  <si>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</si>
  <si>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</si>
  <si>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</si>
  <si>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</si>
  <si>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</si>
  <si>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</si>
  <si>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</si>
  <si>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</si>
  <si>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</si>
  <si>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</si>
  <si>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</si>
  <si>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</si>
  <si>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</si>
  <si>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</si>
  <si>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</si>
  <si>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</si>
  <si>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</si>
  <si>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</si>
  <si>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</si>
  <si>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</si>
  <si>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</si>
  <si>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</si>
  <si>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</si>
  <si>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</si>
  <si>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</si>
  <si>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</si>
  <si>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</si>
  <si>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</si>
  <si>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</si>
  <si>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</si>
  <si>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</si>
  <si>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</si>
  <si>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</si>
  <si>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</si>
  <si>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</si>
  <si>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</si>
  <si>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</si>
  <si>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</si>
  <si>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</si>
  <si>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</si>
  <si>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</si>
  <si>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</si>
  <si>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</si>
  <si>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</si>
  <si>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</si>
  <si>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</si>
  <si>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</si>
  <si>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</si>
  <si>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</si>
  <si>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</si>
  <si>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</si>
  <si>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</si>
  <si>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</si>
  <si>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</si>
  <si>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</si>
  <si>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</si>
  <si>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</si>
  <si>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</si>
  <si>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</si>
  <si>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</si>
  <si>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</si>
  <si>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</si>
  <si>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</si>
  <si>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</si>
  <si>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</si>
  <si>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</si>
  <si>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</si>
  <si>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</si>
  <si>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</si>
  <si>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</si>
  <si>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</si>
  <si>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</si>
  <si>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</si>
  <si>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</si>
  <si>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</si>
  <si>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</si>
  <si>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</si>
  <si>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</si>
  <si>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</si>
  <si>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</si>
  <si>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</si>
  <si>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</si>
  <si>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</si>
  <si>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</si>
  <si>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</si>
  <si>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</si>
  <si>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</si>
  <si>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</si>
  <si>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</si>
  <si>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</si>
  <si>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</si>
  <si>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</si>
  <si>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</si>
  <si>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</si>
  <si>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</si>
  <si>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</si>
  <si>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</si>
  <si>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</si>
  <si>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</si>
  <si>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</si>
  <si>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</si>
  <si>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</si>
  <si>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</si>
  <si>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</si>
  <si>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</si>
  <si>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</si>
  <si>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</si>
  <si>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</si>
  <si>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</si>
  <si>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</si>
  <si>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</si>
  <si>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</si>
  <si>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</si>
  <si>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</si>
  <si>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</si>
  <si>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</si>
  <si>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</si>
  <si>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</si>
  <si>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</si>
  <si>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</si>
  <si>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</si>
  <si>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</si>
  <si>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</si>
  <si>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</si>
  <si>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</si>
  <si>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</si>
  <si>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</si>
  <si>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</si>
  <si>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</si>
  <si>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</si>
  <si>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</si>
  <si>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</si>
  <si>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</si>
  <si>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</si>
  <si>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</si>
  <si>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</si>
  <si>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</si>
  <si>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</si>
  <si>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</si>
  <si>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</si>
  <si>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</si>
  <si>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</si>
  <si>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</si>
  <si>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</si>
  <si>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</si>
  <si>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</si>
  <si>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</si>
  <si>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</si>
  <si>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</si>
  <si>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</si>
  <si>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</si>
  <si>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</si>
  <si>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</si>
  <si>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</si>
  <si>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</si>
  <si>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</si>
  <si>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</si>
  <si>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</si>
  <si>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</si>
  <si>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</si>
  <si>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</si>
  <si>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</si>
  <si>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</si>
  <si>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</si>
  <si>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</si>
  <si>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</si>
  <si>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</si>
  <si>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</si>
  <si>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</si>
  <si>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</si>
  <si>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</si>
  <si>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</si>
  <si>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</si>
  <si>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</si>
  <si>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</si>
  <si>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</si>
  <si>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</si>
  <si>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</si>
  <si>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</si>
  <si>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</si>
  <si>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</si>
  <si>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</si>
  <si>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</si>
  <si>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</si>
  <si>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</si>
  <si>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</si>
  <si>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</si>
  <si>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</si>
  <si>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</si>
  <si>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</si>
  <si>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</si>
  <si>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</si>
  <si>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</si>
  <si>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</si>
  <si>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</si>
  <si>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</si>
  <si>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</si>
  <si>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</si>
  <si>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</si>
  <si>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</si>
  <si>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</si>
  <si>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</si>
  <si>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</si>
  <si>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</si>
  <si>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</si>
  <si>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</si>
  <si>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</si>
  <si>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</si>
  <si>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</si>
  <si>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</si>
  <si>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</si>
  <si>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</si>
  <si>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</si>
  <si>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</si>
  <si>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</si>
  <si>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</si>
  <si>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</si>
  <si>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</si>
  <si>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</si>
  <si>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</si>
  <si>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</si>
  <si>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</si>
  <si>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</si>
  <si>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</si>
  <si>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</si>
  <si>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</si>
  <si>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</si>
  <si>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</si>
  <si>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</si>
  <si>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</si>
  <si>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</si>
  <si>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</si>
  <si>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</si>
  <si>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</si>
  <si>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</si>
  <si>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</si>
  <si>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</si>
  <si>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</si>
  <si>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</si>
  <si>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</si>
  <si>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</si>
  <si>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</si>
  <si>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</si>
  <si>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</si>
  <si>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</si>
  <si>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</si>
  <si>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</si>
  <si>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</si>
  <si>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</si>
  <si>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</si>
  <si>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</si>
  <si>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</si>
  <si>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</si>
  <si>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</si>
  <si>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</si>
  <si>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</si>
  <si>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</si>
  <si>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</si>
  <si>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</si>
  <si>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</si>
  <si>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</si>
  <si>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</si>
  <si>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</si>
  <si>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</si>
  <si>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</si>
  <si>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</si>
  <si>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</si>
  <si>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</si>
  <si>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</si>
  <si>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</si>
  <si>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</si>
  <si>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</si>
  <si>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</si>
  <si>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</si>
  <si>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</si>
  <si>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</si>
  <si>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</si>
  <si>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</si>
  <si>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</si>
  <si>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</si>
  <si>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</si>
  <si>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</si>
  <si>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</si>
  <si>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</si>
  <si>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</si>
  <si>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</si>
  <si>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</si>
  <si>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</si>
  <si>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</si>
  <si>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</si>
  <si>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</si>
  <si>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</si>
  <si>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</si>
  <si>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</si>
  <si>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</si>
  <si>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</si>
  <si>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</si>
  <si>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</si>
  <si>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</si>
  <si>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</si>
  <si>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</si>
  <si>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</si>
  <si>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</si>
  <si>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</si>
  <si>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</si>
  <si>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</si>
  <si>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</si>
  <si>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</si>
  <si>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</si>
  <si>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</si>
  <si>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</si>
  <si>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</si>
  <si>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</si>
  <si>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</si>
  <si>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</si>
  <si>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</si>
  <si>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</si>
  <si>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</si>
  <si>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</si>
  <si>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</si>
  <si>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</si>
  <si>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</si>
  <si>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</si>
  <si>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</si>
  <si>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</si>
  <si>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</si>
  <si>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</si>
  <si>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</si>
  <si>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</si>
  <si>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</si>
  <si>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</si>
  <si>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</si>
  <si>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</si>
  <si>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</si>
  <si>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</si>
  <si>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</si>
  <si>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</si>
  <si>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</si>
  <si>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</si>
  <si>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</si>
  <si>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</si>
  <si>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</si>
  <si>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</si>
  <si>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</si>
  <si>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</si>
  <si>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</si>
  <si>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</si>
  <si>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</si>
  <si>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</si>
  <si>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</si>
  <si>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</si>
  <si>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</si>
  <si>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</si>
  <si>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</si>
  <si>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</si>
  <si>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</si>
  <si>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</si>
  <si>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</si>
  <si>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</si>
  <si>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</si>
  <si>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</si>
  <si>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</si>
  <si>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</si>
  <si>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</si>
  <si>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</si>
  <si>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</si>
  <si>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</si>
  <si>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</si>
  <si>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</si>
  <si>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</si>
  <si>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</si>
  <si>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</si>
  <si>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</si>
  <si>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</si>
  <si>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</si>
  <si>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</si>
  <si>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</si>
  <si>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</si>
  <si>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</si>
  <si>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</si>
  <si>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</si>
  <si>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</si>
  <si>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</si>
  <si>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</si>
  <si>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</si>
  <si>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</si>
  <si>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</si>
  <si>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</si>
  <si>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</si>
  <si>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</si>
  <si>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</si>
  <si>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</si>
  <si>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</si>
  <si>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</si>
  <si>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</si>
  <si>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</si>
  <si>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</si>
  <si>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</si>
  <si>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</si>
  <si>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</si>
  <si>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</si>
  <si>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</si>
  <si>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</si>
  <si>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</si>
  <si>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</si>
  <si>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</si>
  <si>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</si>
  <si>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</si>
  <si>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</si>
  <si>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</si>
  <si>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</si>
  <si>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</si>
  <si>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</si>
  <si>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</si>
  <si>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</si>
  <si>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</si>
  <si>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</si>
  <si>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</si>
  <si>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</si>
  <si>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</si>
  <si>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</si>
  <si>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</si>
  <si>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</si>
  <si>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</si>
  <si>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</si>
  <si>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</si>
  <si>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</si>
  <si>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</si>
  <si>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</si>
  <si>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</si>
  <si>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</si>
  <si>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</si>
  <si>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</si>
  <si>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</si>
  <si>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</si>
  <si>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</si>
  <si>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</si>
  <si>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</si>
  <si>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</si>
  <si>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</si>
  <si>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</si>
  <si>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</si>
  <si>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</si>
  <si>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</si>
  <si>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</si>
  <si>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</si>
  <si>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</si>
  <si>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</si>
  <si>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</si>
  <si>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</si>
  <si>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</si>
  <si>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</si>
  <si>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</si>
  <si>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</si>
  <si>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</si>
  <si>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</si>
  <si>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</si>
  <si>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</si>
  <si>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</si>
  <si>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</si>
  <si>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</si>
  <si>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</si>
  <si>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</si>
  <si>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</si>
  <si>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</si>
  <si>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</si>
  <si>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</si>
  <si>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</si>
  <si>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</si>
  <si>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</si>
  <si>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</si>
  <si>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</si>
  <si>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</si>
  <si>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</si>
  <si>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</si>
  <si>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</si>
  <si>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</si>
  <si>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</si>
  <si>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</si>
  <si>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</si>
  <si>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</si>
  <si>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</si>
  <si>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</si>
  <si>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</si>
  <si>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</si>
  <si>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</si>
  <si>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</si>
  <si>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</si>
  <si>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</si>
  <si>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</si>
  <si>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</si>
  <si>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</si>
  <si>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</si>
  <si>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</si>
  <si>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</si>
  <si>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</si>
  <si>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</si>
  <si>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</si>
  <si>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</si>
  <si>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</si>
  <si>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</si>
  <si>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</si>
  <si>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</si>
  <si>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</si>
  <si>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</si>
  <si>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</si>
  <si>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</si>
  <si>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</si>
  <si>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</si>
  <si>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</si>
  <si>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</si>
  <si>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</si>
  <si>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</si>
  <si>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</si>
  <si>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</si>
  <si>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</si>
  <si>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</si>
  <si>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</si>
  <si>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</si>
  <si>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</si>
  <si>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</si>
  <si>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</si>
  <si>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</si>
  <si>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</si>
  <si>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</si>
  <si>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</si>
  <si>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</si>
  <si>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</si>
  <si>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</si>
  <si>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</si>
  <si>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</si>
  <si>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</si>
  <si>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</si>
  <si>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</si>
  <si>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</si>
  <si>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</si>
  <si>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</si>
  <si>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</si>
  <si>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</si>
  <si>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</si>
  <si>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</si>
  <si>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</si>
  <si>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</si>
  <si>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</si>
  <si>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抵押价格</t>
  </si>
  <si>
    <t>其他：</t>
  </si>
  <si>
    <t>企业</t>
  </si>
  <si>
    <t>一致</t>
  </si>
  <si>
    <t>符合</t>
  </si>
  <si>
    <t>商业</t>
  </si>
  <si>
    <t>建设用地面积</t>
  </si>
  <si>
    <t>建筑占地面积</t>
  </si>
  <si>
    <t>建筑密度</t>
  </si>
  <si>
    <t>绿地率</t>
  </si>
  <si>
    <t>建筑高度</t>
  </si>
  <si>
    <t>总建筑面积</t>
  </si>
  <si>
    <t>其中</t>
  </si>
  <si>
    <t>地上总建筑面积</t>
  </si>
  <si>
    <t>地下总建筑面积</t>
  </si>
  <si>
    <t>计容总建筑面积</t>
  </si>
  <si>
    <t>不计容总建筑面积</t>
  </si>
  <si>
    <t>配套用房</t>
  </si>
  <si>
    <t>设备用房(不计容)</t>
  </si>
  <si>
    <t>物业用房(不计容)</t>
  </si>
  <si>
    <t>地下室(不计容)</t>
  </si>
  <si>
    <t>机动车停车位</t>
  </si>
  <si>
    <t>1900个</t>
  </si>
  <si>
    <t>地面停车位</t>
  </si>
  <si>
    <t>95个</t>
  </si>
  <si>
    <t>地下停车位</t>
  </si>
  <si>
    <t>1805个</t>
  </si>
  <si>
    <t>地上</t>
  </si>
  <si>
    <t>办公楼</t>
  </si>
  <si>
    <t>办公</t>
    <phoneticPr fontId="7" type="noConversion"/>
  </si>
  <si>
    <t>请录依据文件名称：泉州市人民政府关于印发泉州市城市基础设施配套费征收管理规定的通知[泉政文〔2006〕396 号
]</t>
    <phoneticPr fontId="3" type="noConversion"/>
  </si>
  <si>
    <t xml:space="preserve">其他省市请录依据文件名称：《福建省人民政府光羽调整城镇土地使用税税额标准的通知》[泉政文〔2006〕396 号]
</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</si>
  <si>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</si>
  <si>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</si>
  <si>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</si>
  <si>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</si>
  <si>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</si>
  <si>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</si>
  <si>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</si>
  <si>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</si>
  <si>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</si>
  <si>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</si>
  <si>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</si>
  <si>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</si>
  <si>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</si>
  <si>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</si>
  <si>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</si>
  <si>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参洋片区F-05-01地块</t>
  </si>
  <si>
    <t>泉州市</t>
  </si>
  <si>
    <t>商业/办公用地</t>
  </si>
  <si>
    <t>大于0并且小于或等于3</t>
  </si>
  <si>
    <t>拍卖</t>
  </si>
  <si>
    <t>批发市场用地</t>
  </si>
  <si>
    <t>2019-12-27</t>
  </si>
  <si>
    <t>谢伟峰</t>
  </si>
  <si>
    <t>3星</t>
  </si>
  <si>
    <t>安溪县解放路西片区A1-1地块</t>
  </si>
  <si>
    <t>大于1并且小于或等于8.32</t>
  </si>
  <si>
    <t>商务金融用地</t>
  </si>
  <si>
    <t>2019-04-03</t>
  </si>
  <si>
    <t>福建荣德房地产开发有限公司</t>
  </si>
  <si>
    <t>参洋片区A-01-17地块</t>
  </si>
  <si>
    <t>大于0并且小于或等于0.5</t>
  </si>
  <si>
    <t>挂牌</t>
  </si>
  <si>
    <t>批发零售用地</t>
  </si>
  <si>
    <t>2018-09-27</t>
  </si>
  <si>
    <t>福建象屿壳牌石油有限责任公司</t>
  </si>
  <si>
    <t>安溪县参洋片区D-02-07地块</t>
  </si>
  <si>
    <t>大于1并且小于或等于4</t>
  </si>
  <si>
    <t>2018-06-13</t>
  </si>
  <si>
    <t>胡远生</t>
  </si>
  <si>
    <t>南翼新城莲兜美片区D-26地块</t>
  </si>
  <si>
    <t>大于1并且小于或等于2</t>
  </si>
  <si>
    <t>其他商服用地</t>
  </si>
  <si>
    <t>2018-03-12</t>
  </si>
  <si>
    <t>安溪县大同交通服务有限公司</t>
  </si>
  <si>
    <t>参洋片区C-05-02A地块</t>
  </si>
  <si>
    <t>大于1并且小于或等于2.5</t>
  </si>
  <si>
    <t>2018-01-03</t>
  </si>
  <si>
    <t>福建泉州友联汽车发展有限公司</t>
  </si>
  <si>
    <t>安溪县参洋片区D-10-1地块</t>
  </si>
  <si>
    <t>大于1并且小于或等于2.1</t>
  </si>
  <si>
    <t>2017-09-14</t>
  </si>
  <si>
    <t>安溪县小城镇建设投资有限公司</t>
  </si>
  <si>
    <t>参洋片区C-05-02B地块</t>
  </si>
  <si>
    <t>2017-09-06</t>
  </si>
  <si>
    <t>泉州汇京友联汽车销售有限公司</t>
  </si>
  <si>
    <t>350524-04-B-08地块</t>
  </si>
  <si>
    <t>大于或等于1并且小于或等于1.5</t>
  </si>
  <si>
    <t>2017-04-13</t>
  </si>
  <si>
    <t>安溪县安商茂雄农产品物流园有限公司</t>
  </si>
  <si>
    <t>350524-01-B-04-01地块</t>
  </si>
  <si>
    <t>大于1并且小于或等于1.5</t>
  </si>
  <si>
    <t>2016-09-19</t>
  </si>
  <si>
    <t>晋江裕福集团有限公司</t>
  </si>
  <si>
    <t>安溪县350524-02-F-09地块</t>
  </si>
  <si>
    <t>大于1并且小于或等于3.5</t>
  </si>
  <si>
    <t>2016-09-14</t>
  </si>
  <si>
    <t>安溪金泰教育咨询有限公司</t>
  </si>
  <si>
    <t>参洋片区E-02-42地块</t>
  </si>
  <si>
    <t>2016-08-22</t>
  </si>
  <si>
    <t>福建省中科生物股份有限公司</t>
  </si>
  <si>
    <t>安溪县参洋片区参内乡祜水村</t>
  </si>
  <si>
    <t>小于或等于3</t>
  </si>
  <si>
    <t>2015-03-20</t>
  </si>
  <si>
    <t>福建省三净环保科技有限公司</t>
  </si>
  <si>
    <t>印刷产业基地、陶瓷东路以北,东二环路以西,大功山东路以东</t>
  </si>
  <si>
    <t>大于或等于1并且小于或等于2.68</t>
  </si>
  <si>
    <t>商服用地</t>
  </si>
  <si>
    <t>2014-01-29</t>
  </si>
  <si>
    <t>福建磁商投资发展有限责任公司</t>
  </si>
  <si>
    <t>2星</t>
  </si>
  <si>
    <t>安溪县公安局旧址地块</t>
  </si>
  <si>
    <t>小于或等于13</t>
  </si>
  <si>
    <t>2014-01-06</t>
  </si>
  <si>
    <t>福建省安溪集荣矿业有限公司</t>
  </si>
  <si>
    <t>中标片区A-1地块</t>
  </si>
  <si>
    <t>大于或等于1并且小于或等于2.5</t>
  </si>
  <si>
    <t>2012-11-28</t>
  </si>
  <si>
    <t>安溪县亿海汽车销售有限公司</t>
  </si>
  <si>
    <t>金融行政服务中心C地块</t>
  </si>
  <si>
    <t>≤3.3</t>
  </si>
  <si>
    <t>2011-06-07</t>
  </si>
  <si>
    <t>金融行政服务中心A地块</t>
  </si>
  <si>
    <t>≤2.5</t>
  </si>
  <si>
    <t>正常</t>
    <phoneticPr fontId="26" type="noConversion"/>
  </si>
  <si>
    <t>正常</t>
    <phoneticPr fontId="26" type="noConversion"/>
  </si>
  <si>
    <t>较好</t>
    <phoneticPr fontId="26" type="noConversion"/>
  </si>
  <si>
    <t>较好</t>
    <phoneticPr fontId="26" type="noConversion"/>
  </si>
  <si>
    <t>楼面地价</t>
  </si>
  <si>
    <t>比较法-住宅、综合</t>
  </si>
  <si>
    <t>剩余法-待开发</t>
  </si>
  <si>
    <t>溢价率</t>
    <phoneticPr fontId="26" type="noConversion"/>
  </si>
  <si>
    <t>0-25</t>
    <phoneticPr fontId="26" type="noConversion"/>
  </si>
  <si>
    <t>25-50</t>
    <phoneticPr fontId="26" type="noConversion"/>
  </si>
  <si>
    <t>50-75</t>
    <phoneticPr fontId="26" type="noConversion"/>
  </si>
  <si>
    <t>75-100</t>
    <phoneticPr fontId="26" type="noConversion"/>
  </si>
  <si>
    <t>50-75</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</si>
</sst>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2"/>
      <color theme="1"/>
      <name val="宋体"/>
      <family val="3"/>
      <charset val="134"/>
    </font>
    <font>
      <sz val="12"/>
      <color theme="1"/>
      <name val="Times New Roman"/>
      <family val="1"/>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2" xfId="0" applyFont="1" applyBorder="1" applyAlignment="1">
      <alignment horizontal="justify" vertical="center" wrapText="1"/>
    </xf>
    <xf numFmtId="0" fontId="275" fillId="0" borderId="2" xfId="0" applyFont="1" applyBorder="1" applyAlignment="1">
      <alignment horizontal="center" vertical="center" wrapText="1"/>
    </xf>
    <xf numFmtId="10" fontId="275" fillId="0" borderId="2" xfId="0" applyNumberFormat="1" applyFont="1" applyBorder="1" applyAlignment="1">
      <alignment horizontal="center" vertical="center" wrapText="1"/>
    </xf>
    <xf numFmtId="9" fontId="275" fillId="0" borderId="2" xfId="0" applyNumberFormat="1" applyFont="1" applyBorder="1" applyAlignment="1">
      <alignment horizontal="center" vertical="center" wrapText="1"/>
    </xf>
    <xf numFmtId="0" fontId="276"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275" fillId="0" borderId="2" xfId="0" applyFont="1" applyBorder="1" applyAlignment="1">
      <alignment vertical="center" wrapText="1"/>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6" fillId="9" borderId="0" xfId="16" applyFill="1"/>
    <xf numFmtId="0" fontId="0" fillId="9" borderId="0" xfId="0" applyFill="1">
      <alignment vertical="center"/>
    </xf>
    <xf numFmtId="0" fontId="133" fillId="8" borderId="63" xfId="0" applyFont="1" applyFill="1" applyBorder="1" applyAlignment="1" applyProtection="1">
      <alignment horizontal="left"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494251</xdr:colOff>
      <xdr:row>52</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8400001" cy="53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出让国有建设用地使用权抵押价格预评估</v>
      </c>
      <c r="AX2" s="2851"/>
      <c r="AZ2" s="2851"/>
      <c r="BA2" s="2852"/>
      <c r="BC2" s="2852"/>
    </row>
    <row r="3" spans="1:55" s="2853" customFormat="1">
      <c r="A3" s="2832" t="s">
        <v>2654</v>
      </c>
      <c r="B3" s="2835">
        <f>'预评函-封皮'!B40</f>
        <v>0</v>
      </c>
    </row>
    <row r="4" spans="1:55" s="2834" customFormat="1">
      <c r="A4" s="2832" t="s">
        <v>2655</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受贵公司委托，我公司对出让国有建设用地使用权抵押价格进行了预评估。</v>
      </c>
      <c r="AM6" s="2857"/>
    </row>
    <row r="7" spans="1:55" s="2831" customFormat="1">
      <c r="A7" s="2832" t="s">
        <v>2650</v>
      </c>
      <c r="B7" s="2833" t="str">
        <f>'预评函-1'!A6</f>
        <v>估价对象为使用的、位于出让国有建设用地使用权。根据《国有土地使用证》[]，估价对象（分摊）出让国有建设用地使用权面积为133327.24平方米。根据《建设工程规划许可证》[]、《出让合同》[]，估价对象规划建筑面积为324852.64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2652</v>
      </c>
      <c r="B10" s="2833" t="str">
        <f>'预评函-1'!A11</f>
        <v>2020年7月22日</v>
      </c>
    </row>
    <row r="11" spans="1:55" s="2831" customFormat="1">
      <c r="A11" s="2832" t="s">
        <v>2658</v>
      </c>
      <c r="B11" s="2833" t="str">
        <f>'预评函-1'!A14</f>
        <v>根据《国有土地使用证》[]，本次评估估价对象证载（地类）用途为。</v>
      </c>
    </row>
    <row r="12" spans="1:55" s="2831" customFormat="1">
      <c r="A12" s="2832" t="s">
        <v>2659</v>
      </c>
      <c r="B12" s="2833" t="str">
        <f>'预评函-1'!A15</f>
        <v>本次评估设定用途即为证载用途。</v>
      </c>
    </row>
    <row r="13" spans="1:55" s="2831" customFormat="1">
      <c r="A13" s="2832" t="s">
        <v>2660</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2661</v>
      </c>
      <c r="B14" s="2833" t="str">
        <f>'预评函-1'!A18</f>
        <v>。本次评估设定土地开发程度为红线外市政基础设施达“七通”、宗地红线内场地平整。</v>
      </c>
    </row>
    <row r="15" spans="1:55" s="2831" customFormat="1">
      <c r="A15" s="2832" t="s">
        <v>2657</v>
      </c>
      <c r="B15" s="2833" t="str">
        <f>'预评函-1'!A20</f>
        <v>根据《国有土地使用证》[]，估价对象（分摊）出让国有建设用地使用权面积为133327.24平方米。根据《建设工程规划许可证》[]、《出让合同》[]，估价对象规划建筑面积为324852.64平方米。</v>
      </c>
    </row>
    <row r="16" spans="1:55" s="2831" customFormat="1">
      <c r="A16" s="2832" t="s">
        <v>2662</v>
      </c>
      <c r="B16" s="2833" t="str">
        <f>'预评函-1'!A22</f>
        <v>本次估价对象为出让国有建设用地使用权，《国有土地使用证》[]证载土地终止日期为商业2056年1月20日。截至估价期日，出让国有建设用地使用权剩余土地使用年限为。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估价期日：2020年7月22日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f>'预评函-2'!E5</f>
        <v>0</v>
      </c>
      <c r="AV32" s="2837"/>
    </row>
    <row r="33" spans="1:2">
      <c r="A33" s="2832" t="s">
        <v>2706</v>
      </c>
      <c r="B33" s="2833">
        <f>'预评函-2'!F5</f>
        <v>258</v>
      </c>
    </row>
    <row r="34" spans="1:2">
      <c r="A34" s="2832" t="s">
        <v>2707</v>
      </c>
      <c r="B34" s="2833">
        <f>'预评函-2'!G5</f>
        <v>0</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红线外七通、宗地红线内</v>
      </c>
    </row>
    <row r="39" spans="1:2">
      <c r="A39" s="2832" t="s">
        <v>2712</v>
      </c>
      <c r="B39" s="2833" t="str">
        <f>'预评函-2'!L5</f>
        <v>红线外七通、宗地红线内场地</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133327.24</v>
      </c>
    </row>
    <row r="44" spans="1:2">
      <c r="A44" s="2832" t="s">
        <v>2733</v>
      </c>
      <c r="B44" s="2833" t="str">
        <f>'预评函-2'!O3</f>
        <v>规划建筑面积/㎡</v>
      </c>
    </row>
    <row r="45" spans="1:2">
      <c r="A45" s="2832" t="s">
        <v>2715</v>
      </c>
      <c r="B45" s="2833">
        <f>'预评函-2'!O5</f>
        <v>324852.64</v>
      </c>
    </row>
    <row r="46" spans="1:2">
      <c r="A46" s="2832" t="s">
        <v>2716</v>
      </c>
      <c r="B46" s="2833">
        <f ca="1">'预评函-2'!P5</f>
        <v>1801</v>
      </c>
    </row>
    <row r="47" spans="1:2">
      <c r="A47" s="2832" t="s">
        <v>2717</v>
      </c>
      <c r="B47" s="2833">
        <f ca="1">'预评函-2'!Q5</f>
        <v>739</v>
      </c>
    </row>
    <row r="48" spans="1:2">
      <c r="A48" s="2832" t="s">
        <v>2718</v>
      </c>
      <c r="B48" s="2833">
        <f ca="1">'预评函-2'!R5</f>
        <v>24010</v>
      </c>
    </row>
    <row r="49" spans="1:2">
      <c r="A49" s="2832" t="s">
        <v>2734</v>
      </c>
      <c r="B49" s="2833" t="str">
        <f>'预评函-2'!A6</f>
        <v>抵押价格</v>
      </c>
    </row>
    <row r="50" spans="1:2">
      <c r="A50" s="2832" t="s">
        <v>2719</v>
      </c>
      <c r="B50" s="2833">
        <f ca="1">'预评函-2'!R6</f>
        <v>24010</v>
      </c>
    </row>
    <row r="51" spans="1:2">
      <c r="A51" s="2832" t="s">
        <v>2735</v>
      </c>
      <c r="B51" s="2833" t="str">
        <f>'预评函-2'!A7</f>
        <v>——</v>
      </c>
    </row>
    <row r="52" spans="1:2">
      <c r="A52" s="2832" t="s">
        <v>2720</v>
      </c>
      <c r="B52" s="2833" t="str">
        <f>'预评函-2'!R7</f>
        <v>——</v>
      </c>
    </row>
    <row r="53" spans="1:2">
      <c r="A53" s="2832" t="s">
        <v>2736</v>
      </c>
      <c r="B53" s="2833">
        <f>'预评函-2'!A8</f>
        <v>0</v>
      </c>
    </row>
    <row r="54" spans="1:2" s="2847" customFormat="1" ht="15" thickBot="1">
      <c r="A54" s="2854" t="s">
        <v>2721</v>
      </c>
      <c r="B54" s="2855" t="str">
        <f>'预评函-2'!R8</f>
        <v>——</v>
      </c>
    </row>
    <row r="55" spans="1:2" ht="15" thickTop="1">
      <c r="A55" s="2843" t="s">
        <v>2671</v>
      </c>
      <c r="B55" s="2844" t="str">
        <f>'预评函-3'!A2</f>
        <v>1.权利限制：根据估价对象《不动产权证书》原件、《国有土地使用权》复印件，截至估价期日，估价对象抵押权未见登记。未设定租赁等其他他项权利。</v>
      </c>
    </row>
    <row r="56" spans="1:2">
      <c r="A56" s="2832" t="s">
        <v>2672</v>
      </c>
      <c r="B56" s="2833" t="str">
        <f>'预评函-3'!A3</f>
        <v>2.基础设施条件：估价对象实际开发程度为红线外七通、宗地红线内；本次评估设定开发程度为红线外七通、宗地红线内场地。</v>
      </c>
    </row>
    <row r="57" spans="1:2">
      <c r="A57" s="2832" t="s">
        <v>2673</v>
      </c>
      <c r="B57" s="2833" t="str">
        <f>'预评函-3'!A4</f>
        <v>3.估价规划限制条件：详见《建设工程规划许可证》[]、《出让合同》[]。</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土地估价师</v>
      </c>
    </row>
    <row r="70" spans="1:2">
      <c r="A70" s="2832" t="s">
        <v>2683</v>
      </c>
      <c r="B70" s="2839">
        <f>'预评函-3'!B20</f>
        <v>0</v>
      </c>
    </row>
    <row r="71" spans="1:2">
      <c r="A71" s="2832" t="s">
        <v>2684</v>
      </c>
      <c r="B71" s="2833" t="str">
        <f>'预评函-3'!A21</f>
        <v>土地估价师</v>
      </c>
    </row>
    <row r="72" spans="1:2" s="2847" customFormat="1" ht="15" thickBot="1">
      <c r="A72" s="2854" t="s">
        <v>2684</v>
      </c>
      <c r="B72" s="2860">
        <f>'预评函-3'!B21</f>
        <v>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19" t="str">
        <f>IF(B10="北京市","北京市",C10)&amp;F10&amp;B16&amp;"国有建设用地使用权"&amp;B9&amp;"预评估"</f>
        <v>出让国有建设用地使用权抵押价格预评估</v>
      </c>
      <c r="C1" s="3220"/>
      <c r="D1" s="3220"/>
      <c r="E1" s="3220"/>
      <c r="F1" s="3220"/>
      <c r="G1" s="3220"/>
      <c r="H1" s="3220"/>
      <c r="I1" s="3221"/>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1935</v>
      </c>
      <c r="B3" s="1645"/>
      <c r="C3" s="1646" t="s">
        <v>1991</v>
      </c>
      <c r="D3" s="1645">
        <v>44034</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2882</v>
      </c>
      <c r="C4" s="1829">
        <f>SUMIF(土地估价师,B4,估价师及机构信息!E3:E24)</f>
        <v>0</v>
      </c>
      <c r="D4" s="1826" t="s">
        <v>2882</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2700</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2985</v>
      </c>
      <c r="C8" s="1654"/>
      <c r="D8" s="3225" t="s">
        <v>1940</v>
      </c>
      <c r="E8" s="1827" t="s">
        <v>2996</v>
      </c>
      <c r="F8" s="1655"/>
      <c r="G8" s="1643"/>
      <c r="H8" s="1643"/>
      <c r="I8" s="1690"/>
      <c r="J8" s="1677"/>
      <c r="K8" s="1757"/>
      <c r="L8" s="1706"/>
      <c r="M8" s="1706"/>
      <c r="N8" s="1677"/>
      <c r="O8" s="1678"/>
      <c r="P8" s="1677"/>
      <c r="Q8" s="1677"/>
      <c r="R8" s="1677"/>
      <c r="S8" s="1677"/>
      <c r="T8" s="1677"/>
      <c r="U8" s="1677"/>
    </row>
    <row r="9" spans="1:21" ht="15" thickBot="1">
      <c r="A9" s="1656" t="s">
        <v>1939</v>
      </c>
      <c r="B9" s="1657" t="s">
        <v>2996</v>
      </c>
      <c r="C9" s="1658"/>
      <c r="D9" s="3226"/>
      <c r="E9" s="1657"/>
      <c r="F9" s="1730"/>
      <c r="G9" s="1725"/>
      <c r="H9" s="1725"/>
      <c r="I9" s="1726"/>
      <c r="J9" s="1677"/>
      <c r="K9" s="1757"/>
      <c r="L9" s="1706"/>
      <c r="M9" s="1706"/>
      <c r="N9" s="1677"/>
      <c r="O9" s="1678"/>
      <c r="P9" s="1677"/>
      <c r="Q9" s="1677"/>
      <c r="R9" s="1677"/>
      <c r="S9" s="1677"/>
      <c r="T9" s="1677"/>
      <c r="U9" s="1677"/>
    </row>
    <row r="10" spans="1:21" ht="15" thickTop="1">
      <c r="A10" s="1727" t="s">
        <v>1995</v>
      </c>
      <c r="B10" s="1702" t="s">
        <v>2997</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t="s">
        <v>2998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22"/>
      <c r="C12" s="3223"/>
      <c r="D12" s="3224"/>
      <c r="E12" s="1682" t="s">
        <v>2057</v>
      </c>
      <c r="F12" s="3240" t="s">
        <v>2883</v>
      </c>
      <c r="G12" s="3241"/>
      <c r="H12" s="3241"/>
      <c r="I12" s="3242"/>
      <c r="J12" s="1677"/>
      <c r="K12" s="1757"/>
      <c r="L12" s="1706"/>
      <c r="M12" s="1706"/>
      <c r="N12" s="1677"/>
      <c r="O12" s="1678"/>
      <c r="P12" s="1677"/>
      <c r="Q12" s="1677"/>
      <c r="R12" s="1677"/>
      <c r="S12" s="1677"/>
      <c r="T12" s="1677"/>
      <c r="U12" s="1677"/>
    </row>
    <row r="13" spans="1:21">
      <c r="A13" s="1670" t="s">
        <v>2055</v>
      </c>
      <c r="B13" s="3222"/>
      <c r="C13" s="3223"/>
      <c r="D13" s="3224"/>
      <c r="E13" s="1682" t="s">
        <v>2057</v>
      </c>
      <c r="F13" s="3240" t="s">
        <v>2884</v>
      </c>
      <c r="G13" s="3241"/>
      <c r="H13" s="3241"/>
      <c r="I13" s="3242"/>
      <c r="J13" s="1677"/>
      <c r="K13" s="1757"/>
      <c r="L13" s="1706"/>
      <c r="M13" s="1706"/>
      <c r="N13" s="1677"/>
      <c r="O13" s="1678"/>
      <c r="P13" s="1677"/>
      <c r="Q13" s="1677"/>
      <c r="R13" s="1677"/>
      <c r="S13" s="1677"/>
      <c r="T13" s="1677"/>
      <c r="U13" s="1677"/>
    </row>
    <row r="14" spans="1:21">
      <c r="A14" s="1644" t="s">
        <v>2058</v>
      </c>
      <c r="B14" s="1682"/>
      <c r="C14" s="1828" t="s">
        <v>2999</v>
      </c>
      <c r="D14" s="1716" t="str">
        <f>IF(C14="不一致","是否符合证载地类范围","")</f>
        <v/>
      </c>
      <c r="E14" s="1682"/>
      <c r="F14" s="1773" t="s">
        <v>3000</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c r="A16" s="1663" t="s">
        <v>1943</v>
      </c>
      <c r="B16" s="1664" t="s">
        <v>2980</v>
      </c>
      <c r="C16" s="1682" t="s">
        <v>1944</v>
      </c>
      <c r="D16" s="2609" t="s">
        <v>1945</v>
      </c>
      <c r="E16" s="1705" t="s">
        <v>3001</v>
      </c>
      <c r="F16" s="1705"/>
      <c r="G16" s="1705"/>
      <c r="H16" s="1705"/>
      <c r="I16" s="1669" t="s">
        <v>1950</v>
      </c>
      <c r="J16" s="1677"/>
      <c r="K16" s="2419" t="str">
        <f>IF(D17="","",D16&amp;TEXT(D17,"yyyy年m月d日;;"))</f>
        <v/>
      </c>
      <c r="L16" s="1682" t="str">
        <f>IF(OR(K16="",M16=""),"","、")</f>
        <v/>
      </c>
      <c r="M16" s="2419" t="str">
        <f>IF(E17="","",E16&amp;TEXT(E17,"yyyy年m月d日;;"))</f>
        <v>商业2056年1月20日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1951</v>
      </c>
      <c r="D17" s="1683"/>
      <c r="E17" s="1683">
        <v>56999</v>
      </c>
      <c r="F17" s="1683"/>
      <c r="G17" s="1683"/>
      <c r="H17" s="1683"/>
      <c r="I17" s="1683"/>
      <c r="J17" s="1677"/>
      <c r="K17" s="2418" t="str">
        <f>CONCATENATE(K16,L16,M16,N16,O16,P16,Q16,R16,S16,T16,,U16)</f>
        <v>商业2056年1月20日</v>
      </c>
      <c r="L17" s="1706"/>
      <c r="M17" s="1706"/>
      <c r="N17" s="1677"/>
      <c r="O17" s="1678"/>
      <c r="P17" s="1677"/>
      <c r="Q17" s="1677"/>
      <c r="R17" s="1677"/>
      <c r="S17" s="1677"/>
      <c r="T17" s="1677"/>
      <c r="U17" s="1677"/>
    </row>
    <row r="18" spans="1:21">
      <c r="A18" s="1746"/>
      <c r="B18" s="1665"/>
      <c r="C18" s="1666" t="s">
        <v>1952</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f>IF(B16="出让",IF(E17="","",ROUNDDOWN(MIN((E17-$D$3)/365,E18),2)),E18)</f>
        <v>35.520000000000003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37"/>
      <c r="E20" s="3238"/>
      <c r="F20" s="3238"/>
      <c r="G20" s="3238"/>
      <c r="H20" s="3238"/>
      <c r="I20" s="3239"/>
      <c r="J20" s="1677"/>
      <c r="K20" s="1757"/>
      <c r="L20" s="1706"/>
      <c r="M20" s="1706"/>
      <c r="N20" s="1677"/>
      <c r="O20" s="1678"/>
      <c r="P20" s="1677"/>
      <c r="Q20" s="1677"/>
      <c r="R20" s="1677"/>
      <c r="S20" s="1677"/>
      <c r="T20" s="1677"/>
      <c r="U20" s="1677"/>
    </row>
    <row r="21" spans="1:21">
      <c r="A21" s="1746" t="s">
        <v>1954</v>
      </c>
      <c r="B21" s="1747" t="s">
        <v>1955</v>
      </c>
      <c r="C21" s="1742">
        <f>'数据-汇总表'!E3</f>
        <v>324852.64</v>
      </c>
      <c r="D21" s="1743" t="s">
        <v>1956</v>
      </c>
      <c r="E21" s="3227" t="s">
        <v>1994</v>
      </c>
      <c r="F21" s="3228"/>
      <c r="G21" s="3228"/>
      <c r="H21" s="3228"/>
      <c r="I21" s="3229"/>
      <c r="J21" s="1677"/>
      <c r="K21" s="1757"/>
      <c r="L21" s="1706"/>
      <c r="M21" s="1706"/>
      <c r="N21" s="1677"/>
      <c r="O21" s="1678"/>
      <c r="P21" s="1677"/>
      <c r="Q21" s="1677"/>
      <c r="R21" s="1677"/>
      <c r="S21" s="1677"/>
      <c r="T21" s="1677"/>
      <c r="U21" s="1677"/>
    </row>
    <row r="22" spans="1:21">
      <c r="A22" s="3090" t="s">
        <v>950</v>
      </c>
      <c r="B22" s="1644" t="s">
        <v>1957</v>
      </c>
      <c r="C22" s="1669">
        <f>'数据-汇总表'!D3</f>
        <v>133327.24</v>
      </c>
      <c r="D22" s="1670" t="s">
        <v>1956</v>
      </c>
      <c r="E22" s="3227" t="s">
        <v>2885</v>
      </c>
      <c r="F22" s="3228"/>
      <c r="G22" s="3228"/>
      <c r="H22" s="3228"/>
      <c r="I22" s="3229"/>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30" t="s">
        <v>1962</v>
      </c>
      <c r="C24" s="3231"/>
      <c r="D24" s="3232" t="s">
        <v>1963</v>
      </c>
      <c r="E24" s="3233"/>
      <c r="F24" s="1691" t="s">
        <v>1964</v>
      </c>
      <c r="G24" s="1677"/>
      <c r="H24" s="1677"/>
      <c r="I24" s="1690"/>
      <c r="J24" s="1677"/>
      <c r="K24" s="3218"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1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1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45" t="s">
        <v>1997</v>
      </c>
      <c r="B31" s="1747" t="s">
        <v>1998</v>
      </c>
      <c r="C31" s="3243"/>
      <c r="D31" s="3244"/>
      <c r="E31" s="1677"/>
      <c r="F31" s="1677"/>
      <c r="G31" s="1677"/>
      <c r="H31" s="1677"/>
      <c r="I31" s="1690"/>
      <c r="J31" s="1677"/>
      <c r="K31" s="2421"/>
      <c r="L31" s="1677"/>
      <c r="M31" s="1677"/>
      <c r="N31" s="1677"/>
      <c r="O31" s="1677"/>
      <c r="P31" s="1677"/>
      <c r="Q31" s="1677"/>
      <c r="R31" s="1677"/>
      <c r="S31" s="1677"/>
      <c r="T31" s="1677"/>
      <c r="U31" s="1677"/>
    </row>
    <row r="32" spans="1:21">
      <c r="A32" s="3245"/>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5"/>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6"/>
      <c r="B34" s="1644" t="s">
        <v>2001</v>
      </c>
      <c r="C34" s="3247"/>
      <c r="D34" s="3248"/>
      <c r="E34" s="1677"/>
      <c r="F34" s="1677"/>
      <c r="G34" s="1677"/>
      <c r="H34" s="1677"/>
      <c r="I34" s="1690"/>
      <c r="J34" s="1677"/>
      <c r="K34" s="2421"/>
      <c r="L34" s="1677"/>
      <c r="M34" s="1677"/>
      <c r="N34" s="1677"/>
      <c r="O34" s="1677"/>
      <c r="P34" s="1677"/>
      <c r="Q34" s="1677"/>
      <c r="R34" s="1677"/>
      <c r="S34" s="1677"/>
      <c r="T34" s="1677"/>
      <c r="U34" s="1677"/>
    </row>
    <row r="35" spans="1:21">
      <c r="A35" s="3249" t="s">
        <v>845</v>
      </c>
      <c r="B35" s="1705"/>
      <c r="C35" s="1759" t="str">
        <f>IF(B35="场地平整","——","具体情况：")</f>
        <v>具体情况：</v>
      </c>
      <c r="D35" s="3251"/>
      <c r="E35" s="3252"/>
      <c r="F35" s="3252"/>
      <c r="G35" s="3252"/>
      <c r="H35" s="3252"/>
      <c r="I35" s="3253"/>
      <c r="J35" s="1677"/>
      <c r="K35" s="1758"/>
      <c r="L35" s="1706"/>
      <c r="M35" s="1706"/>
      <c r="N35" s="1677"/>
      <c r="O35" s="1678"/>
      <c r="P35" s="1677"/>
      <c r="Q35" s="1677"/>
      <c r="R35" s="1677"/>
      <c r="S35" s="1677"/>
      <c r="T35" s="1677"/>
      <c r="U35" s="1677"/>
    </row>
    <row r="36" spans="1:21">
      <c r="A36" s="3245"/>
      <c r="B36" s="3254" t="s">
        <v>2050</v>
      </c>
      <c r="C36" s="3255"/>
      <c r="D36" s="1775"/>
      <c r="E36" s="3256"/>
      <c r="F36" s="3256"/>
      <c r="G36" s="1670" t="str">
        <f>IF(B35="场地未平整","估价结果处理","")</f>
        <v/>
      </c>
      <c r="H36" s="3257"/>
      <c r="I36" s="3257"/>
      <c r="J36" s="1677"/>
      <c r="K36" s="1758"/>
      <c r="L36" s="1706"/>
      <c r="M36" s="1706"/>
      <c r="N36" s="1677"/>
      <c r="O36" s="1678"/>
      <c r="P36" s="1677"/>
      <c r="Q36" s="1677"/>
      <c r="R36" s="1677"/>
      <c r="S36" s="1677"/>
      <c r="T36" s="1677"/>
      <c r="U36" s="1677"/>
    </row>
    <row r="37" spans="1:21" ht="28.5">
      <c r="A37" s="3245"/>
      <c r="B37" s="3234"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45"/>
      <c r="B38" s="3235"/>
      <c r="C38" s="1652" t="s">
        <v>848</v>
      </c>
      <c r="D38" s="1774">
        <f>ROUNDDOWN(MIN(('数据-取费表'!$B$2-D37)/365,D34),1)</f>
        <v>120.6</v>
      </c>
      <c r="E38" s="1710" t="s">
        <v>849</v>
      </c>
      <c r="F38" s="1677"/>
      <c r="G38" s="1677"/>
      <c r="H38" s="1677"/>
      <c r="I38" s="1690"/>
      <c r="J38" s="1677"/>
      <c r="K38" s="1758"/>
      <c r="L38" s="1677"/>
      <c r="M38" s="1677"/>
      <c r="N38" s="1677"/>
      <c r="O38" s="1677"/>
      <c r="P38" s="1677"/>
      <c r="Q38" s="1677"/>
      <c r="R38" s="1677"/>
      <c r="S38" s="1677"/>
      <c r="T38" s="1677"/>
      <c r="U38" s="1677"/>
    </row>
    <row r="39" spans="1:21">
      <c r="A39" s="3246"/>
      <c r="B39" s="323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17" t="s">
        <v>1981</v>
      </c>
      <c r="T40" s="1714" t="str">
        <f>NUMBERSTRING(7-K40,1)&amp;"通"</f>
        <v>七通</v>
      </c>
      <c r="U40" s="1677"/>
    </row>
    <row r="41" spans="1:21">
      <c r="A41" s="1646"/>
      <c r="B41" s="3250" t="s">
        <v>1719</v>
      </c>
      <c r="C41" s="3250"/>
      <c r="D41" s="3250"/>
      <c r="E41" s="325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17"/>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5" sqref="B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133327.24</v>
      </c>
      <c r="B3" s="22">
        <f>IF(C3="否",G5-AT5,G5)</f>
        <v>324852.64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324852.64</v>
      </c>
      <c r="H5" s="27">
        <f t="shared" ref="H5:AT5" si="0">SUM(H13:H641)</f>
        <v>264622.69</v>
      </c>
      <c r="I5" s="27">
        <f t="shared" si="0"/>
        <v>264622.69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60229.950000000004</v>
      </c>
      <c r="AD5" s="27">
        <f t="shared" si="0"/>
        <v>0</v>
      </c>
      <c r="AE5" s="27">
        <f t="shared" si="0"/>
        <v>0</v>
      </c>
      <c r="AF5" s="27">
        <f t="shared" si="0"/>
        <v>0</v>
      </c>
      <c r="AG5" s="27">
        <f t="shared" si="0"/>
        <v>0</v>
      </c>
      <c r="AH5" s="27">
        <f t="shared" si="0"/>
        <v>0</v>
      </c>
      <c r="AI5" s="27">
        <f t="shared" si="0"/>
        <v>0</v>
      </c>
      <c r="AJ5" s="27">
        <f t="shared" si="0"/>
        <v>0</v>
      </c>
      <c r="AK5" s="27">
        <f t="shared" si="0"/>
        <v>0</v>
      </c>
      <c r="AL5" s="27">
        <f t="shared" si="0"/>
        <v>3292.44</v>
      </c>
      <c r="AM5" s="27">
        <f t="shared" si="0"/>
        <v>0</v>
      </c>
      <c r="AN5" s="27">
        <f t="shared" si="0"/>
        <v>56937.51</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324852.64</v>
      </c>
      <c r="BA5" s="29">
        <f t="shared" si="1"/>
        <v>264622.69</v>
      </c>
      <c r="BB5" s="29">
        <f t="shared" si="1"/>
        <v>264622.69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60229.950000000004</v>
      </c>
      <c r="BM5" s="29">
        <f t="shared" si="1"/>
        <v>0</v>
      </c>
      <c r="BN5" s="29">
        <f t="shared" si="1"/>
        <v>0</v>
      </c>
      <c r="BO5" s="29">
        <f t="shared" si="1"/>
        <v>0</v>
      </c>
      <c r="BP5" s="29">
        <f t="shared" si="1"/>
        <v>0</v>
      </c>
      <c r="BQ5" s="29">
        <f t="shared" si="1"/>
        <v>3292.44</v>
      </c>
      <c r="BR5" s="29">
        <f t="shared" si="1"/>
        <v>56937.51</v>
      </c>
      <c r="BS5" s="29">
        <f t="shared" si="1"/>
        <v>0</v>
      </c>
      <c r="BT5" s="30">
        <f t="shared" si="1"/>
        <v>0</v>
      </c>
    </row>
    <row r="6" spans="1:72" s="37" customFormat="1" ht="12.75">
      <c r="A6" s="26" t="s">
        <v>169</v>
      </c>
      <c r="B6" s="31"/>
      <c r="C6" s="31"/>
      <c r="D6" s="32"/>
      <c r="E6" s="27">
        <f>H6+AC6+AT6</f>
        <v>133327.25</v>
      </c>
      <c r="F6" s="27" t="s">
        <v>1</v>
      </c>
      <c r="G6" s="27" t="s">
        <v>2</v>
      </c>
      <c r="H6" s="33">
        <f>SUMIF(I$12:AB$12,"总值",I6:AB6)</f>
        <v>108607.44</v>
      </c>
      <c r="I6" s="27">
        <f t="shared" ref="I6:AB6" si="2">ROUND($A$3*I5/$B$3,2)</f>
        <v>108607.44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24719.809999999998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1351.3</v>
      </c>
      <c r="AM6" s="27">
        <f t="shared" si="3"/>
        <v>0</v>
      </c>
      <c r="AN6" s="27">
        <f t="shared" si="3"/>
        <v>23368.51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133327.24</v>
      </c>
      <c r="AZ6" s="27" t="s">
        <v>3</v>
      </c>
      <c r="BA6" s="27">
        <f>ROUND($AY$6*BA5/$AZ$5,2)</f>
        <v>108607.44</v>
      </c>
      <c r="BB6" s="27">
        <f>ROUND($AY$6*BB5/$AZ$5,2)</f>
        <v>108607.44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24719.8</v>
      </c>
      <c r="BM6" s="27">
        <f t="shared" si="5"/>
        <v>0</v>
      </c>
      <c r="BN6" s="27">
        <f t="shared" si="5"/>
        <v>0</v>
      </c>
      <c r="BO6" s="27">
        <f t="shared" si="5"/>
        <v>0</v>
      </c>
      <c r="BP6" s="27">
        <f t="shared" si="5"/>
        <v>0</v>
      </c>
      <c r="BQ6" s="27">
        <f t="shared" si="5"/>
        <v>1351.3</v>
      </c>
      <c r="BR6" s="27">
        <f t="shared" si="5"/>
        <v>23368.51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3023</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3001</v>
      </c>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3024</v>
      </c>
      <c r="J11" s="71"/>
      <c r="K11" s="2971"/>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133327.24</v>
      </c>
      <c r="F13" s="81"/>
      <c r="G13" s="82">
        <f t="shared" ref="G13:G20" si="7">H13+AC13+AT13</f>
        <v>324852.64</v>
      </c>
      <c r="H13" s="33">
        <f t="shared" ref="H13:H20" si="8">SUMIF(I$12:AB$12,"总值",I13:AB13)</f>
        <v>264622.69</v>
      </c>
      <c r="I13" s="2969">
        <f>面积指标!F12</f>
        <v>264622.69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60229.950000000004</v>
      </c>
      <c r="AD13" s="2973"/>
      <c r="AE13" s="2973"/>
      <c r="AF13" s="2973"/>
      <c r="AG13" s="2973"/>
      <c r="AH13" s="2973"/>
      <c r="AI13" s="2973"/>
      <c r="AJ13" s="2973"/>
      <c r="AK13" s="2973"/>
      <c r="AL13" s="2973">
        <f>面积指标!F13+面积指标!F14+面积指标!F15</f>
        <v>3292.44</v>
      </c>
      <c r="AM13" s="2973"/>
      <c r="AN13" s="2973">
        <f>面积指标!F9</f>
        <v>56937.51</v>
      </c>
      <c r="AO13" s="2973"/>
      <c r="AP13" s="2973"/>
      <c r="AQ13" s="2973"/>
      <c r="AR13" s="2973"/>
      <c r="AS13" s="2973"/>
      <c r="AT13" s="2974"/>
      <c r="AU13" s="2975"/>
      <c r="AV13" s="17">
        <f t="shared" ref="AV13:AX20" si="10">A13</f>
        <v>0</v>
      </c>
      <c r="AW13" s="17">
        <f t="shared" si="10"/>
        <v>0</v>
      </c>
      <c r="AX13" s="17">
        <f t="shared" si="10"/>
        <v>0</v>
      </c>
      <c r="AY13" s="995">
        <f t="shared" ref="AY13:AY20" si="11">ROUND($AY$6*AZ13/$AZ$5,2)</f>
        <v>133327.24</v>
      </c>
      <c r="AZ13" s="27">
        <f t="shared" ref="AZ13:AZ20" si="12">BA13+BL13</f>
        <v>324852.64</v>
      </c>
      <c r="BA13" s="27">
        <f t="shared" ref="BA13:BA20" si="13">SUM(BB13:BK13)</f>
        <v>264622.69</v>
      </c>
      <c r="BB13" s="27">
        <f t="shared" ref="BB13:BB20" si="14">IF($D13="是",I13-J13,0)</f>
        <v>264622.69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60229.950000000004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3292.44</v>
      </c>
      <c r="BR13" s="27">
        <f t="shared" ref="BR13:BR20" si="30">IF($D13="是",AN13-AO13,0)</f>
        <v>56937.51</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K28" sqref="K28"/>
    </sheetView>
  </sheetViews>
  <sheetFormatPr defaultRowHeight="13.5"/>
  <cols>
    <col min="5" max="5" width="7.375" customWidth="1"/>
    <col min="6" max="6" width="20.5" customWidth="1"/>
    <col min="7" max="7" width="11.5" customWidth="1"/>
  </cols>
  <sheetData>
    <row r="1" spans="1:6" ht="14.25">
      <c r="A1" s="3488" t="s">
        <v>3002</v>
      </c>
      <c r="B1" s="3488"/>
      <c r="C1" s="3488"/>
      <c r="D1" s="3488"/>
      <c r="E1" s="3488"/>
      <c r="F1" s="3489">
        <v>133327.42000000001</v>
      </c>
    </row>
    <row r="2" spans="1:6" ht="14.25">
      <c r="A2" s="3488" t="s">
        <v>3003</v>
      </c>
      <c r="B2" s="3488"/>
      <c r="C2" s="3488"/>
      <c r="D2" s="3488"/>
      <c r="E2" s="3488"/>
      <c r="F2" s="3489">
        <v>26469.200000000001</v>
      </c>
    </row>
    <row r="3" spans="1:6" ht="14.25">
      <c r="A3" s="3488" t="s">
        <v>3004</v>
      </c>
      <c r="B3" s="3488"/>
      <c r="C3" s="3488"/>
      <c r="D3" s="3488"/>
      <c r="E3" s="3488"/>
      <c r="F3" s="3490">
        <v>0.19850000000000001</v>
      </c>
    </row>
    <row r="4" spans="1:6" ht="14.25">
      <c r="A4" s="3488" t="s">
        <v>2028</v>
      </c>
      <c r="B4" s="3488"/>
      <c r="C4" s="3488"/>
      <c r="D4" s="3488"/>
      <c r="E4" s="3488"/>
      <c r="F4" s="3489">
        <v>2</v>
      </c>
    </row>
    <row r="5" spans="1:6" ht="14.25">
      <c r="A5" s="3488" t="s">
        <v>3005</v>
      </c>
      <c r="B5" s="3488"/>
      <c r="C5" s="3488"/>
      <c r="D5" s="3488"/>
      <c r="E5" s="3488"/>
      <c r="F5" s="3491">
        <v>0.3</v>
      </c>
    </row>
    <row r="6" spans="1:6" ht="14.25">
      <c r="A6" s="3488" t="s">
        <v>3006</v>
      </c>
      <c r="B6" s="3488"/>
      <c r="C6" s="3488"/>
      <c r="D6" s="3488"/>
      <c r="E6" s="3488"/>
      <c r="F6" s="3489">
        <v>94.1</v>
      </c>
    </row>
    <row r="7" spans="1:6" ht="14.25">
      <c r="A7" s="3488" t="s">
        <v>3007</v>
      </c>
      <c r="B7" s="3488"/>
      <c r="C7" s="3488"/>
      <c r="D7" s="3488"/>
      <c r="E7" s="3488"/>
      <c r="F7" s="3489">
        <v>324342.65000000002</v>
      </c>
    </row>
    <row r="8" spans="1:6" ht="14.25">
      <c r="A8" s="3488" t="s">
        <v>3008</v>
      </c>
      <c r="B8" s="3488" t="s">
        <v>3009</v>
      </c>
      <c r="C8" s="3488"/>
      <c r="D8" s="3488"/>
      <c r="E8" s="3488"/>
      <c r="F8" s="3489">
        <v>267405.14</v>
      </c>
    </row>
    <row r="9" spans="1:6" ht="14.25">
      <c r="A9" s="3488"/>
      <c r="B9" s="3488" t="s">
        <v>3010</v>
      </c>
      <c r="C9" s="3488"/>
      <c r="D9" s="3488"/>
      <c r="E9" s="3488"/>
      <c r="F9" s="3489">
        <v>56937.51</v>
      </c>
    </row>
    <row r="10" spans="1:6" ht="14.25">
      <c r="A10" s="3488" t="s">
        <v>3011</v>
      </c>
      <c r="B10" s="3488"/>
      <c r="C10" s="3488"/>
      <c r="D10" s="3488"/>
      <c r="E10" s="3488"/>
      <c r="F10" s="3489">
        <v>266459.12</v>
      </c>
    </row>
    <row r="11" spans="1:6" ht="14.25">
      <c r="A11" s="3488" t="s">
        <v>3012</v>
      </c>
      <c r="B11" s="3488"/>
      <c r="C11" s="3488"/>
      <c r="D11" s="3488"/>
      <c r="E11" s="3488"/>
      <c r="F11" s="3489">
        <v>57883.53</v>
      </c>
    </row>
    <row r="12" spans="1:6" ht="14.25">
      <c r="A12" s="3488" t="s">
        <v>3008</v>
      </c>
      <c r="B12" s="3488"/>
      <c r="C12" s="3488" t="s">
        <v>1675</v>
      </c>
      <c r="D12" s="3488"/>
      <c r="E12" s="3488"/>
      <c r="F12" s="3489">
        <v>264622.69</v>
      </c>
    </row>
    <row r="13" spans="1:6" ht="14.25">
      <c r="A13" s="3488"/>
      <c r="B13" s="3488"/>
      <c r="C13" s="3488" t="s">
        <v>3013</v>
      </c>
      <c r="D13" s="3488"/>
      <c r="E13" s="3488"/>
      <c r="F13" s="3489">
        <v>1836.42</v>
      </c>
    </row>
    <row r="14" spans="1:6" ht="14.25">
      <c r="A14" s="3488"/>
      <c r="B14" s="3488"/>
      <c r="C14" s="3488" t="s">
        <v>3014</v>
      </c>
      <c r="D14" s="3488"/>
      <c r="E14" s="3488"/>
      <c r="F14" s="3489">
        <v>510</v>
      </c>
    </row>
    <row r="15" spans="1:6" ht="14.25">
      <c r="A15" s="3488"/>
      <c r="B15" s="3488"/>
      <c r="C15" s="3488" t="s">
        <v>3015</v>
      </c>
      <c r="D15" s="3488"/>
      <c r="E15" s="3488"/>
      <c r="F15" s="3489">
        <v>946.02</v>
      </c>
    </row>
    <row r="16" spans="1:6" ht="15.75">
      <c r="A16" s="3488"/>
      <c r="B16" s="3488"/>
      <c r="C16" s="3488" t="s">
        <v>3016</v>
      </c>
      <c r="D16" s="3488"/>
      <c r="E16" s="3488"/>
      <c r="F16" s="3492">
        <v>56937.51</v>
      </c>
    </row>
    <row r="17" spans="1:6" ht="14.25">
      <c r="A17" s="3488" t="s">
        <v>3017</v>
      </c>
      <c r="B17" s="3488"/>
      <c r="C17" s="3488"/>
      <c r="D17" s="3488"/>
      <c r="E17" s="3488"/>
      <c r="F17" s="3489" t="s">
        <v>3018</v>
      </c>
    </row>
    <row r="18" spans="1:6" ht="29.25" customHeight="1">
      <c r="A18" s="3493" t="s">
        <v>3008</v>
      </c>
      <c r="B18" s="3493"/>
      <c r="C18" s="3493" t="s">
        <v>3019</v>
      </c>
      <c r="D18" s="3493"/>
      <c r="E18" s="3493"/>
      <c r="F18" s="3494" t="s">
        <v>3020</v>
      </c>
    </row>
    <row r="19" spans="1:6" ht="29.25" customHeight="1">
      <c r="A19" s="3493"/>
      <c r="B19" s="3493"/>
      <c r="C19" s="3493" t="s">
        <v>3021</v>
      </c>
      <c r="D19" s="3493"/>
      <c r="E19" s="3493"/>
      <c r="F19" s="3494" t="s">
        <v>3022</v>
      </c>
    </row>
  </sheetData>
  <mergeCells count="23">
    <mergeCell ref="A17:E17"/>
    <mergeCell ref="A18:B19"/>
    <mergeCell ref="C18:E18"/>
    <mergeCell ref="C19:E19"/>
    <mergeCell ref="A12:B15"/>
    <mergeCell ref="C12:E12"/>
    <mergeCell ref="C13:E13"/>
    <mergeCell ref="C14:E14"/>
    <mergeCell ref="C15:E15"/>
    <mergeCell ref="A16:B16"/>
    <mergeCell ref="C16:E16"/>
    <mergeCell ref="A7:E7"/>
    <mergeCell ref="A8:A9"/>
    <mergeCell ref="B8:E8"/>
    <mergeCell ref="B9:E9"/>
    <mergeCell ref="A10:E10"/>
    <mergeCell ref="A11:E11"/>
    <mergeCell ref="A1:E1"/>
    <mergeCell ref="A2:E2"/>
    <mergeCell ref="A3:E3"/>
    <mergeCell ref="A4:E4"/>
    <mergeCell ref="A5:E5"/>
    <mergeCell ref="A6:E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0" sqref="K1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69" t="s">
        <v>203</v>
      </c>
      <c r="B2" s="3269"/>
      <c r="C2" s="3269"/>
      <c r="D2" s="1959" t="s">
        <v>204</v>
      </c>
      <c r="E2" s="106" t="s">
        <v>205</v>
      </c>
      <c r="F2" s="1968"/>
      <c r="G2" s="1193"/>
      <c r="H2" s="1194"/>
      <c r="I2" s="1195" t="s">
        <v>855</v>
      </c>
      <c r="J2" s="1968"/>
      <c r="K2" s="1968"/>
      <c r="L2" s="1968"/>
    </row>
    <row r="3" spans="1:16" ht="15.75" thickBot="1">
      <c r="A3" s="3270" t="s">
        <v>206</v>
      </c>
      <c r="B3" s="3270"/>
      <c r="C3" s="3270"/>
      <c r="D3" s="107">
        <f>'数据-基础表'!AY6</f>
        <v>133327.24</v>
      </c>
      <c r="E3" s="107">
        <f>'数据-基础表'!AZ5</f>
        <v>324852.64</v>
      </c>
      <c r="F3" s="1968"/>
      <c r="G3" s="280" t="s">
        <v>856</v>
      </c>
      <c r="H3" s="275" t="s">
        <v>857</v>
      </c>
      <c r="I3" s="1960">
        <f>ROUND('数据-基础表'!B3/'数据-基础表'!A3,2)</f>
        <v>2.44</v>
      </c>
      <c r="J3" s="1968"/>
      <c r="K3" s="1968"/>
      <c r="L3" s="1968"/>
    </row>
    <row r="4" spans="1:16" ht="15">
      <c r="A4" s="3271"/>
      <c r="B4" s="3272"/>
      <c r="C4" s="3273"/>
      <c r="D4" s="108" t="s">
        <v>204</v>
      </c>
      <c r="E4" s="109" t="s">
        <v>205</v>
      </c>
      <c r="F4" s="1968"/>
      <c r="G4" s="1196"/>
      <c r="H4" s="275" t="s">
        <v>858</v>
      </c>
      <c r="I4" s="1960">
        <f>ROUND(SUMIF('数据-基础表'!I9:AS9,"地上",'数据-基础表'!I5:AS5)/'数据-基础表'!A3,2)</f>
        <v>2.0099999999999998</v>
      </c>
      <c r="J4" s="1968"/>
      <c r="K4" s="1968"/>
      <c r="L4" s="1968"/>
    </row>
    <row r="5" spans="1:16">
      <c r="A5" s="110" t="s">
        <v>207</v>
      </c>
      <c r="B5" s="3274" t="s">
        <v>230</v>
      </c>
      <c r="C5" s="3274"/>
      <c r="D5" s="111">
        <f>ROUND($D$3*E5/$E$3,2)</f>
        <v>0</v>
      </c>
      <c r="E5" s="112">
        <f>SUMIF('数据-基础表'!$11:$11,"住宅",'数据-基础表'!$5:$5)</f>
        <v>0</v>
      </c>
      <c r="F5" s="1968"/>
      <c r="G5" s="280" t="s">
        <v>859</v>
      </c>
      <c r="H5" s="275" t="s">
        <v>857</v>
      </c>
      <c r="I5" s="1960">
        <f>ROUND(E31/D31,2)</f>
        <v>2.44</v>
      </c>
      <c r="J5" s="1968"/>
      <c r="K5" s="1968"/>
      <c r="L5" s="1968"/>
    </row>
    <row r="6" spans="1:16" ht="15" thickBot="1">
      <c r="A6" s="113"/>
      <c r="B6" s="3274" t="s">
        <v>208</v>
      </c>
      <c r="C6" s="3274"/>
      <c r="D6" s="111">
        <f>ROUND($D$3*E6/$E$3,2)</f>
        <v>133327.24</v>
      </c>
      <c r="E6" s="112">
        <f>E3-E5</f>
        <v>324852.64</v>
      </c>
      <c r="F6" s="1968"/>
      <c r="G6" s="1196"/>
      <c r="H6" s="275" t="s">
        <v>858</v>
      </c>
      <c r="I6" s="1960">
        <f>ROUND(F31/D31,2)</f>
        <v>2.0099999999999998</v>
      </c>
      <c r="J6" s="1968"/>
      <c r="K6" s="1968"/>
      <c r="L6" s="1968"/>
    </row>
    <row r="7" spans="1:16" ht="15">
      <c r="A7" s="3266"/>
      <c r="B7" s="3267"/>
      <c r="C7" s="3268"/>
      <c r="D7" s="108" t="s">
        <v>204</v>
      </c>
      <c r="E7" s="114" t="s">
        <v>231</v>
      </c>
      <c r="F7" s="1968"/>
      <c r="G7" s="1151" t="s">
        <v>1643</v>
      </c>
      <c r="H7" s="1152"/>
      <c r="I7" s="1830">
        <v>2</v>
      </c>
      <c r="J7" s="1968"/>
      <c r="K7" s="1968"/>
      <c r="L7" s="1968"/>
    </row>
    <row r="8" spans="1:16">
      <c r="A8" s="110" t="s">
        <v>209</v>
      </c>
      <c r="B8" s="115" t="s">
        <v>210</v>
      </c>
      <c r="C8" s="111" t="s">
        <v>211</v>
      </c>
      <c r="D8" s="111">
        <f t="shared" ref="D8:D15" si="0">ROUND($D$3*E8/$E$3,2)</f>
        <v>108607.44</v>
      </c>
      <c r="E8" s="116">
        <f>SUMIF('数据-基础表'!BB10:BK10,"地上",'数据-基础表'!BB5:BK5)</f>
        <v>264622.69</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108607.44</v>
      </c>
      <c r="E16" s="120">
        <f>SUM(E8:E15)</f>
        <v>264622.69</v>
      </c>
      <c r="F16" s="1968"/>
      <c r="G16" s="1970"/>
      <c r="H16" s="967" t="s">
        <v>219</v>
      </c>
      <c r="I16" s="968"/>
      <c r="J16" s="1968"/>
      <c r="K16" s="3260" t="s">
        <v>2560</v>
      </c>
      <c r="L16" s="3261"/>
      <c r="M16" s="3261"/>
      <c r="N16" s="3261"/>
      <c r="O16" s="3261"/>
      <c r="P16" s="3262"/>
    </row>
    <row r="17" spans="1:19" ht="15">
      <c r="A17" s="121" t="s">
        <v>216</v>
      </c>
      <c r="B17" s="122" t="s">
        <v>217</v>
      </c>
      <c r="C17" s="2282" t="s">
        <v>2308</v>
      </c>
      <c r="D17" s="108" t="s">
        <v>204</v>
      </c>
      <c r="E17" s="124" t="s">
        <v>205</v>
      </c>
      <c r="F17" s="125"/>
      <c r="G17" s="1361"/>
      <c r="H17" s="969" t="s">
        <v>218</v>
      </c>
      <c r="I17" s="970" t="s">
        <v>2307</v>
      </c>
      <c r="J17" s="1968"/>
      <c r="K17" s="3263" t="s">
        <v>2561</v>
      </c>
      <c r="L17" s="3264"/>
      <c r="M17" s="3265"/>
      <c r="N17" s="3263" t="s">
        <v>2562</v>
      </c>
      <c r="O17" s="3264"/>
      <c r="P17" s="3265"/>
      <c r="R17" s="2283" t="s">
        <v>2306</v>
      </c>
      <c r="S17" s="144"/>
    </row>
    <row r="18" spans="1:19" ht="15">
      <c r="A18" s="117"/>
      <c r="B18" s="128"/>
      <c r="C18" s="129"/>
      <c r="D18" s="2605"/>
      <c r="E18" s="130" t="s">
        <v>220</v>
      </c>
      <c r="F18" s="131" t="s">
        <v>221</v>
      </c>
      <c r="G18" s="1362" t="s">
        <v>222</v>
      </c>
      <c r="H18" s="971" t="s">
        <v>223</v>
      </c>
      <c r="I18" s="972" t="s">
        <v>224</v>
      </c>
      <c r="J18" s="1968"/>
      <c r="K18" s="2568" t="s">
        <v>2563</v>
      </c>
      <c r="L18" s="2569" t="s">
        <v>2564</v>
      </c>
      <c r="M18" s="2570" t="s">
        <v>2565</v>
      </c>
      <c r="N18" s="2568" t="s">
        <v>2563</v>
      </c>
      <c r="O18" s="2569" t="s">
        <v>2564</v>
      </c>
      <c r="P18" s="2570" t="s">
        <v>2565</v>
      </c>
      <c r="R18" s="2284" t="s">
        <v>2304</v>
      </c>
      <c r="S18" s="2284" t="s">
        <v>2305</v>
      </c>
    </row>
    <row r="19" spans="1:19">
      <c r="A19" s="133"/>
      <c r="B19" s="115" t="s">
        <v>225</v>
      </c>
      <c r="C19" s="2976" t="s">
        <v>3025</v>
      </c>
      <c r="D19" s="111">
        <f t="shared" ref="D19:D26" si="1">ROUND($D$3*E19/$E$3,2)</f>
        <v>108607.44</v>
      </c>
      <c r="E19" s="134">
        <f t="shared" ref="E19:E26" si="2">SUM(F19:G19)</f>
        <v>264622.69</v>
      </c>
      <c r="F19" s="135">
        <f>'数据-基础表'!I13</f>
        <v>264622.69</v>
      </c>
      <c r="G19" s="1363"/>
      <c r="H19" s="973">
        <f>ROUND($D$3*I19/$E$3,2)</f>
        <v>24719.8</v>
      </c>
      <c r="I19" s="116">
        <f>IF($I$17="自定义",P19,M19)</f>
        <v>60229.95</v>
      </c>
      <c r="J19" s="1968"/>
      <c r="K19" s="2571">
        <f t="shared" ref="K19:K26" si="3">ROUND(E$28*E19/E$27,2)</f>
        <v>60229.95</v>
      </c>
      <c r="L19" s="275">
        <f t="shared" ref="L19:L26" si="4">ROUND(IF(COUNTIF(C19,"*住宅*")&gt;0,E$29*E19/E$32,0),2)</f>
        <v>0</v>
      </c>
      <c r="M19" s="2572">
        <f>K19+L19</f>
        <v>60229.95</v>
      </c>
      <c r="N19" s="2573"/>
      <c r="O19" s="2574"/>
      <c r="P19" s="2575">
        <f>N19+O19</f>
        <v>0</v>
      </c>
      <c r="R19" s="275">
        <f t="shared" ref="R19:S26" si="5">D19+H19</f>
        <v>133327.24</v>
      </c>
      <c r="S19" s="2285">
        <f t="shared" si="5"/>
        <v>324852.64</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108607.44</v>
      </c>
      <c r="E27" s="143">
        <f>IF(SUM(E19:E26)='数据-基础表'!BA5,SUM(E19:E26),IF(F27="地上面积有误","面积有误","地下面积有误"))</f>
        <v>264622.69</v>
      </c>
      <c r="F27" s="134">
        <f>IF(SUM(F19:F26)=E8,SUM(F19:F26),"地上面积有误")</f>
        <v>264622.69</v>
      </c>
      <c r="G27" s="112">
        <f>SUM(G19:G26)</f>
        <v>0</v>
      </c>
      <c r="H27" s="974">
        <f>SUM(H19:H26)</f>
        <v>24719.8</v>
      </c>
      <c r="I27" s="975">
        <f>SUM(I19:I26)</f>
        <v>60229.95</v>
      </c>
      <c r="J27" s="1968"/>
      <c r="K27" s="2580">
        <f>SUM(K19:K26)</f>
        <v>60229.95</v>
      </c>
      <c r="L27" s="2581">
        <f>SUM(L19:L26)</f>
        <v>0</v>
      </c>
      <c r="M27" s="2582">
        <f>SUM(M19:M26)</f>
        <v>60229.95</v>
      </c>
      <c r="N27" s="2580">
        <f t="shared" ref="N27:O27" si="10">SUM(N19:N26)</f>
        <v>0</v>
      </c>
      <c r="O27" s="2581">
        <f t="shared" si="10"/>
        <v>0</v>
      </c>
      <c r="P27" s="2583">
        <f>SUM(P19:P26)</f>
        <v>0</v>
      </c>
      <c r="R27" s="2289">
        <f>IF(SUM(R19:R26)=$D$3,SUM(R19:R26),SUM(R19:R26)&amp;"误差"&amp;ROUND(SUM(R19:R26)-$D$3,2))</f>
        <v>133327.24</v>
      </c>
      <c r="S27" s="275">
        <f>IF(SUM(S19:S26)=$E$3,SUM(S19:S26),SUM(S19:S26)&amp;"误差"&amp;ROUND(SUM(S19:S26)-E3,2))</f>
        <v>324852.64</v>
      </c>
    </row>
    <row r="28" spans="1:19">
      <c r="A28" s="138"/>
      <c r="B28" s="115" t="s">
        <v>227</v>
      </c>
      <c r="C28" s="136" t="s">
        <v>228</v>
      </c>
      <c r="D28" s="111">
        <f>ROUND($D$3*E28/$E$3,2)</f>
        <v>24719.8</v>
      </c>
      <c r="E28" s="134">
        <f>SUM(F28:G28)</f>
        <v>60229.950000000004</v>
      </c>
      <c r="F28" s="144">
        <f>'数据-基础表'!BQ5+'数据-基础表'!BS5</f>
        <v>3292.44</v>
      </c>
      <c r="G28" s="145">
        <f>'数据-基础表'!BR5+'数据-基础表'!BT5</f>
        <v>56937.51</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24719.8</v>
      </c>
      <c r="E30" s="134">
        <f>SUM(E28:E29)</f>
        <v>60229.950000000004</v>
      </c>
      <c r="F30" s="134">
        <f>SUM(F28:F29)</f>
        <v>3292.44</v>
      </c>
      <c r="G30" s="112">
        <f>SUM(G28:G29)</f>
        <v>56937.51</v>
      </c>
      <c r="H30" s="1968"/>
      <c r="I30" s="1968"/>
      <c r="J30" s="1968"/>
      <c r="K30" s="1968"/>
      <c r="L30" s="1968"/>
    </row>
    <row r="31" spans="1:19" ht="32.25" customHeight="1" thickBot="1">
      <c r="A31" s="1365"/>
      <c r="B31" s="1366" t="s">
        <v>229</v>
      </c>
      <c r="C31" s="2314" t="s">
        <v>2317</v>
      </c>
      <c r="D31" s="1367">
        <f>D27+D30</f>
        <v>133327.24</v>
      </c>
      <c r="E31" s="1367">
        <f>E27+E30</f>
        <v>324852.64</v>
      </c>
      <c r="F31" s="1368">
        <f>F27+F30</f>
        <v>267915.13</v>
      </c>
      <c r="G31" s="1369">
        <f>G27+G30</f>
        <v>56937.51</v>
      </c>
      <c r="H31" s="1968"/>
      <c r="I31" s="1968"/>
      <c r="J31" s="1968"/>
      <c r="K31" s="1968"/>
      <c r="L31" s="1968"/>
    </row>
    <row r="32" spans="1:19">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44034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2566</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2367</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办公</v>
      </c>
      <c r="B6" s="2321" t="str">
        <f>IF(A6=0,"","经营性")</f>
        <v>经营性</v>
      </c>
      <c r="C6" s="173" t="s">
        <v>3001</v>
      </c>
      <c r="D6" s="2292">
        <f>SUMIF(项目基本情况!D$15:I$15,C6,项目基本情况!D$18:I$18)</f>
        <v>40</v>
      </c>
      <c r="E6" s="2293">
        <f>IF(B6="","",SUMIF(项目基本情况!D$15:I$15,C6,项目基本情况!D$17:I$17))</f>
        <v>56999</v>
      </c>
      <c r="F6" s="174">
        <f>SUMIF(项目基本情况!D$15:I$15,C6,项目基本情况!D$19:I$19)</f>
        <v>35.520000000000003</v>
      </c>
      <c r="G6" s="175">
        <f>IF(ISERROR(ROUND(POWER(1+H6,D6-F6)*(POWER(1+H6,F6)-1)/(POWER(1+H6,D6)-1),3)),0,ROUND(POWER(1+H6,D6-F6)*(POWER(1+H6,F6)-1)/(POWER(1+H6,D6)-1),3))</f>
        <v>0.96399999999999997</v>
      </c>
      <c r="H6" s="2977">
        <v>5.5E-2</v>
      </c>
      <c r="I6" s="2977">
        <v>0.06</v>
      </c>
      <c r="J6" s="176">
        <v>0.08</v>
      </c>
      <c r="K6" s="179">
        <f>SUMIF('数据-汇总表'!C$19:C$33,'数据-取费表'!A6,'数据-汇总表'!E$19:E$33)</f>
        <v>264622.69</v>
      </c>
      <c r="L6" s="2978">
        <v>3200</v>
      </c>
      <c r="M6" s="177">
        <f t="shared" ref="M6:M14" si="0">ROUND(K6*L6/10000,0)</f>
        <v>84679</v>
      </c>
      <c r="N6" s="2979">
        <v>0</v>
      </c>
      <c r="O6" s="177">
        <f>IF($N$5="成新度","——",ROUND(M6*N6,0))</f>
        <v>0</v>
      </c>
      <c r="P6" s="178">
        <f>IF($N$5="成新度","——",M6-O6)</f>
        <v>84679</v>
      </c>
      <c r="Q6" s="2980">
        <v>0.25</v>
      </c>
      <c r="R6" s="179">
        <f>SUMIF('数据-汇总表'!C$19:C$33,A6,'数据-汇总表'!R$19:R$33)</f>
        <v>133327.24</v>
      </c>
      <c r="S6" s="132">
        <f>IF('数据-汇总表'!$I$17="按面积比例",SUMIF('数据-汇总表'!C$19:C$33,A6,'数据-汇总表'!K$19:K$33),SUMIF('数据-汇总表'!C$19:C$33,A6,'数据-汇总表'!N$19:N$33))</f>
        <v>60229.95</v>
      </c>
      <c r="T6" s="2218">
        <f>IF($T$4="按面积比例",IF(ISERROR(ROUND($M$14*S6/S$16,0)),"0",ROUND($M$14*S6/S$16,0)),"需自行计算录入")</f>
        <v>15660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v>1.4999999999999999E-2</v>
      </c>
      <c r="AL6" s="190">
        <v>1.5E-3</v>
      </c>
      <c r="AM6" s="2991">
        <v>0.02</v>
      </c>
      <c r="AN6" s="2355"/>
      <c r="AO6" s="1984"/>
      <c r="AP6" s="1199">
        <f>ROUND(1-1/(1+H6)^F6,3)</f>
        <v>0.85099999999999998</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60229.950000000004</v>
      </c>
      <c r="L14" s="193">
        <v>2600</v>
      </c>
      <c r="M14" s="177">
        <f t="shared" si="0"/>
        <v>15660</v>
      </c>
      <c r="N14" s="194">
        <v>0</v>
      </c>
      <c r="O14" s="177">
        <f t="shared" si="3"/>
        <v>0</v>
      </c>
      <c r="P14" s="178">
        <f t="shared" si="4"/>
        <v>15660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0.96399999999999997</v>
      </c>
      <c r="H16" s="203">
        <f>ROUND(SUMPRODUCT(H6:H13,K6:K13)/SUMPRODUCT((H6:H13&gt;0)*(K6:K13)),3)</f>
        <v>5.5E-2</v>
      </c>
      <c r="I16" s="204"/>
      <c r="J16" s="204"/>
      <c r="K16" s="205">
        <f>SUM(K6:K15)</f>
        <v>324852.64</v>
      </c>
      <c r="L16" s="206">
        <f>ROUND(M16*10000/SUM(K6:K14),0)</f>
        <v>3089</v>
      </c>
      <c r="M16" s="206">
        <f>SUM(M6:M14)</f>
        <v>100339</v>
      </c>
      <c r="N16" s="207">
        <f>ROUND(SUMPRODUCT(M6:M14,N6:N14)/M16,3)</f>
        <v>0</v>
      </c>
      <c r="O16" s="206">
        <f>SUM(O6:O14)</f>
        <v>0</v>
      </c>
      <c r="P16" s="206">
        <f>SUM(P6:P14)</f>
        <v>100339</v>
      </c>
      <c r="Q16" s="208">
        <f>ROUND(SUMPRODUCT(Q6:Q13,K6:K13)/SUMPRODUCT((Q6:Q13&gt;0)*(K6:K13)),2)</f>
        <v>0.25</v>
      </c>
      <c r="R16" s="2295">
        <f>SUM(R6:R13)</f>
        <v>133327.24</v>
      </c>
      <c r="S16" s="209">
        <f>SUM(S6:S13)</f>
        <v>60229.95</v>
      </c>
      <c r="T16" s="210">
        <f>IF(SUMIF(T6:T13,"&lt;9E307")=M14,SUMIF(T6:T13,"&lt;9E307"),"有误，请检查")</f>
        <v>15660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0.85099999999999998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3</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3</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3</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c r="C27" s="3019" t="s">
        <v>3026</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v>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120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2888</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2450</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2451</v>
      </c>
      <c r="B40" s="2444">
        <f ca="1">存贷款利率!E2</f>
        <v>4.7500000000000001E-2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0"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1094</v>
      </c>
      <c r="C53" s="3021" t="s">
        <v>2898</v>
      </c>
      <c r="D53" s="3022" t="s">
        <v>3027</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2899</v>
      </c>
      <c r="B54" s="186">
        <v>5</v>
      </c>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2900</v>
      </c>
      <c r="B55" s="186">
        <v>3</v>
      </c>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2901</v>
      </c>
      <c r="B56" s="186">
        <v>2</v>
      </c>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2902</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2903</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2904</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2905</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5" t="s">
        <v>1661</v>
      </c>
      <c r="B1" s="3276"/>
      <c r="C1" s="3276"/>
      <c r="D1" s="3276"/>
      <c r="E1" s="3276"/>
      <c r="F1" s="3276"/>
      <c r="G1" s="3276"/>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2915</v>
      </c>
      <c r="D3" s="1993"/>
      <c r="E3" s="1224" t="s">
        <v>1664</v>
      </c>
      <c r="F3" s="1225" t="s">
        <v>1652</v>
      </c>
      <c r="G3" s="3030" t="s">
        <v>2914</v>
      </c>
      <c r="H3" s="1992"/>
      <c r="I3" s="1992"/>
      <c r="J3" s="1992"/>
      <c r="K3" s="1992"/>
      <c r="L3" s="1992"/>
      <c r="M3" s="1992"/>
      <c r="N3" s="1992"/>
      <c r="O3" s="1992"/>
      <c r="P3" s="1992"/>
      <c r="Q3" s="1992"/>
      <c r="R3" s="1992"/>
    </row>
    <row r="4" spans="1:18" ht="41.25">
      <c r="A4" s="1224"/>
      <c r="B4" s="1226" t="s">
        <v>1665</v>
      </c>
      <c r="C4" s="3027" t="s">
        <v>2916</v>
      </c>
      <c r="D4" s="1993"/>
      <c r="E4" s="1227"/>
      <c r="F4" s="1228" t="s">
        <v>1666</v>
      </c>
      <c r="G4" s="3028" t="s">
        <v>2911</v>
      </c>
      <c r="H4" s="1992"/>
      <c r="I4" s="1992"/>
      <c r="J4" s="1992"/>
      <c r="K4" s="1992"/>
      <c r="L4" s="1992"/>
      <c r="M4" s="1992"/>
      <c r="N4" s="1992"/>
      <c r="O4" s="1992"/>
      <c r="P4" s="1992"/>
      <c r="Q4" s="1992"/>
      <c r="R4" s="1992"/>
    </row>
    <row r="5" spans="1:18" ht="41.25">
      <c r="A5" s="1224"/>
      <c r="B5" s="1226" t="s">
        <v>1667</v>
      </c>
      <c r="C5" s="3027" t="s">
        <v>2917</v>
      </c>
      <c r="D5" s="1993"/>
      <c r="E5" s="1227"/>
      <c r="F5" s="1226" t="s">
        <v>2540</v>
      </c>
      <c r="G5" s="3028" t="s">
        <v>2912</v>
      </c>
      <c r="H5" s="1992"/>
      <c r="I5" s="1992"/>
      <c r="J5" s="1992"/>
      <c r="K5" s="1992"/>
      <c r="L5" s="1992"/>
      <c r="M5" s="1992"/>
      <c r="N5" s="1992"/>
      <c r="O5" s="1992"/>
      <c r="P5" s="1992"/>
      <c r="Q5" s="1992"/>
      <c r="R5" s="1992"/>
    </row>
    <row r="6" spans="1:18" ht="54">
      <c r="A6" s="1224"/>
      <c r="B6" s="1226" t="s">
        <v>1653</v>
      </c>
      <c r="C6" s="3028" t="s">
        <v>2911</v>
      </c>
      <c r="D6" s="1993"/>
      <c r="E6" s="1227"/>
      <c r="F6" s="1226" t="s">
        <v>2541</v>
      </c>
      <c r="G6" s="3028" t="s">
        <v>2909</v>
      </c>
      <c r="H6" s="1992"/>
      <c r="I6" s="1992"/>
      <c r="J6" s="1992"/>
      <c r="K6" s="1992"/>
      <c r="L6" s="1992"/>
      <c r="M6" s="1992"/>
      <c r="N6" s="1992"/>
      <c r="O6" s="1992"/>
      <c r="P6" s="1992"/>
      <c r="Q6" s="1992"/>
      <c r="R6" s="1992"/>
    </row>
    <row r="7" spans="1:18" ht="41.25" thickBot="1">
      <c r="A7" s="1224"/>
      <c r="B7" s="1226" t="s">
        <v>2540</v>
      </c>
      <c r="C7" s="3028" t="s">
        <v>2912</v>
      </c>
      <c r="D7" s="1994"/>
      <c r="E7" s="1229"/>
      <c r="F7" s="1230" t="s">
        <v>1668</v>
      </c>
      <c r="G7" s="3031" t="s">
        <v>2913</v>
      </c>
      <c r="H7" s="1992"/>
      <c r="I7" s="1992"/>
      <c r="J7" s="1992"/>
      <c r="K7" s="1992"/>
      <c r="L7" s="1992"/>
      <c r="M7" s="1992"/>
      <c r="N7" s="1992"/>
      <c r="O7" s="1992"/>
      <c r="P7" s="1992"/>
      <c r="Q7" s="1992"/>
      <c r="R7" s="1992"/>
    </row>
    <row r="8" spans="1:18" ht="27">
      <c r="A8" s="1224"/>
      <c r="B8" s="1226" t="s">
        <v>2541</v>
      </c>
      <c r="C8" s="3028" t="s">
        <v>2909</v>
      </c>
      <c r="D8" s="1994"/>
      <c r="E8" s="1994"/>
      <c r="F8" s="1539"/>
      <c r="G8" s="1539"/>
      <c r="H8" s="1992"/>
      <c r="I8" s="1992"/>
      <c r="J8" s="1992"/>
      <c r="K8" s="1992"/>
      <c r="L8" s="1992"/>
      <c r="M8" s="1992"/>
      <c r="N8" s="1992"/>
      <c r="O8" s="1992"/>
      <c r="P8" s="1992"/>
      <c r="Q8" s="1992"/>
      <c r="R8" s="1992"/>
    </row>
    <row r="9" spans="1:18" ht="40.5">
      <c r="A9" s="1224"/>
      <c r="B9" s="1226" t="s">
        <v>1654</v>
      </c>
      <c r="C9" s="3027" t="s">
        <v>2910</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2540</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2541</v>
      </c>
      <c r="G20" s="1004" t="str">
        <f>G6</f>
        <v>估价对象所在区域基础设施水平</v>
      </c>
    </row>
    <row r="21" spans="1:7" ht="27">
      <c r="A21" s="2552"/>
      <c r="B21" s="1226" t="s">
        <v>2540</v>
      </c>
      <c r="C21" s="1004" t="str">
        <f>C7</f>
        <v>估价对象所在区域公共配套设施齐备情况</v>
      </c>
      <c r="D21" s="1993"/>
      <c r="E21" s="2549"/>
      <c r="F21" s="1242" t="s">
        <v>1659</v>
      </c>
      <c r="G21" s="3032"/>
    </row>
    <row r="22" spans="1:7" ht="27">
      <c r="A22" s="2552"/>
      <c r="B22" s="1226" t="s">
        <v>2541</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179" customWidth="1"/>
    <col min="2" max="16384" width="14.625" style="3179"/>
  </cols>
  <sheetData>
    <row r="1" spans="1:9" ht="16.5">
      <c r="A1" s="3180" t="s">
        <v>2837</v>
      </c>
      <c r="B1" s="3180">
        <f>SUM(B14:B23)</f>
        <v>324852.64</v>
      </c>
      <c r="C1" s="3178"/>
      <c r="D1" s="3178"/>
      <c r="E1" s="3178"/>
      <c r="F1" s="3178"/>
    </row>
    <row r="2" spans="1:9" ht="16.5">
      <c r="A2" s="3180" t="s">
        <v>2838</v>
      </c>
      <c r="B2" s="3180">
        <f>SUM(C14:C23)</f>
        <v>133327.24</v>
      </c>
      <c r="C2" s="3178"/>
      <c r="D2" s="3178"/>
      <c r="E2" s="3178"/>
      <c r="F2" s="3178"/>
    </row>
    <row r="3" spans="1:9" ht="16.5">
      <c r="A3" s="3180" t="s">
        <v>2839</v>
      </c>
      <c r="B3" s="3181">
        <f>项目基本情况!D3</f>
        <v>44034</v>
      </c>
      <c r="C3" s="3178"/>
      <c r="D3" s="3178"/>
      <c r="E3" s="3178"/>
      <c r="F3" s="3178"/>
    </row>
    <row r="4" spans="1:9" ht="33">
      <c r="A4" s="3180" t="s">
        <v>2840</v>
      </c>
      <c r="B4" s="3180" t="s">
        <v>2841</v>
      </c>
      <c r="C4" s="3180" t="s">
        <v>2842</v>
      </c>
      <c r="D4" s="3180" t="s">
        <v>2843</v>
      </c>
      <c r="E4" s="3178"/>
      <c r="F4" s="3178"/>
    </row>
    <row r="5" spans="1:9" ht="16.5">
      <c r="A5" s="3180" t="s">
        <v>2844</v>
      </c>
      <c r="B5" s="3180">
        <f ca="1">SUM(D14:D23)</f>
        <v>24010</v>
      </c>
      <c r="C5" s="3180">
        <f ca="1">ROUND(B5*10000/$B$1,0)</f>
        <v>739</v>
      </c>
      <c r="D5" s="3180">
        <f ca="1">ROUND(B5*10000/$B$2,0)</f>
        <v>1801</v>
      </c>
      <c r="E5" s="3178"/>
      <c r="F5" s="3178"/>
    </row>
    <row r="6" spans="1:9" ht="16.5">
      <c r="A6" s="3180" t="s">
        <v>2845</v>
      </c>
      <c r="B6" s="3180">
        <f ca="1">SUM(G14:G23)</f>
        <v>24010</v>
      </c>
      <c r="C6" s="3180">
        <f t="shared" ref="C6:C8" ca="1" si="0">ROUND(B6*10000/$B$1,0)</f>
        <v>739</v>
      </c>
      <c r="D6" s="3180">
        <f t="shared" ref="D6:D8" ca="1" si="1">ROUND(B6*10000/$B$2,0)</f>
        <v>1801</v>
      </c>
      <c r="E6" s="3178"/>
      <c r="F6" s="3178"/>
    </row>
    <row r="7" spans="1:9" ht="16.5">
      <c r="A7" s="3180" t="s">
        <v>2846</v>
      </c>
      <c r="B7" s="3180">
        <f>SUM(H14:H23)</f>
        <v>0</v>
      </c>
      <c r="C7" s="3180">
        <f t="shared" si="0"/>
        <v>0</v>
      </c>
      <c r="D7" s="3180">
        <f t="shared" si="1"/>
        <v>0</v>
      </c>
      <c r="E7" s="3178"/>
      <c r="F7" s="3178"/>
    </row>
    <row r="8" spans="1:9" ht="16.5">
      <c r="A8" s="3180" t="s">
        <v>2847</v>
      </c>
      <c r="B8" s="3180">
        <f>SUM(I14:I23)</f>
        <v>0</v>
      </c>
      <c r="C8" s="3180">
        <f t="shared" si="0"/>
        <v>0</v>
      </c>
      <c r="D8" s="3180">
        <f t="shared" si="1"/>
        <v>0</v>
      </c>
      <c r="E8" s="3178"/>
      <c r="F8" s="3178"/>
    </row>
    <row r="9" spans="1:9" ht="16.5">
      <c r="A9" s="3180" t="s">
        <v>2848</v>
      </c>
      <c r="B9" s="2996"/>
      <c r="C9" s="3178"/>
      <c r="D9" s="3178"/>
      <c r="E9" s="3178"/>
      <c r="F9" s="3178"/>
    </row>
    <row r="10" spans="1:9" ht="16.5">
      <c r="A10" s="3180" t="s">
        <v>2849</v>
      </c>
      <c r="B10" s="2996"/>
      <c r="C10" s="3178"/>
      <c r="D10" s="3178"/>
      <c r="E10" s="3178"/>
      <c r="F10" s="3178"/>
    </row>
    <row r="11" spans="1:9" ht="16.5">
      <c r="A11" s="3180" t="s">
        <v>2866</v>
      </c>
      <c r="B11" s="2996"/>
      <c r="C11" s="3178"/>
      <c r="D11" s="3178"/>
      <c r="E11" s="3178"/>
      <c r="F11" s="3178"/>
    </row>
    <row r="12" spans="1:9" ht="16.5">
      <c r="A12" s="3178"/>
      <c r="B12" s="3178"/>
      <c r="C12" s="3178"/>
      <c r="D12" s="3178"/>
      <c r="E12" s="3178"/>
      <c r="F12" s="3178"/>
    </row>
    <row r="13" spans="1:9" ht="33">
      <c r="A13" s="3182" t="s">
        <v>2865</v>
      </c>
      <c r="B13" s="3183" t="s">
        <v>2837</v>
      </c>
      <c r="C13" s="3183" t="s">
        <v>2838</v>
      </c>
      <c r="D13" s="3183" t="s">
        <v>2850</v>
      </c>
      <c r="E13" s="3180" t="s">
        <v>2864</v>
      </c>
      <c r="F13" s="3180" t="s">
        <v>2843</v>
      </c>
      <c r="G13" s="3183" t="s">
        <v>2851</v>
      </c>
      <c r="H13" s="3183" t="s">
        <v>2852</v>
      </c>
      <c r="I13" s="3183" t="s">
        <v>2853</v>
      </c>
    </row>
    <row r="14" spans="1:9" ht="16.5">
      <c r="A14" s="3184" t="s">
        <v>2863</v>
      </c>
      <c r="B14" s="3185">
        <f>结果表!L38</f>
        <v>324852.64</v>
      </c>
      <c r="C14" s="3185">
        <f>结果表!K38</f>
        <v>133327.24</v>
      </c>
      <c r="D14" s="3185">
        <f ca="1">结果表!C42</f>
        <v>24010</v>
      </c>
      <c r="E14" s="3183">
        <f ca="1">ROUND(D14*10000/B14,0)</f>
        <v>739</v>
      </c>
      <c r="F14" s="3183">
        <f ca="1">ROUND(D14*10000/C14,0)</f>
        <v>1801</v>
      </c>
      <c r="G14" s="3185">
        <f ca="1">结果表!C44</f>
        <v>24010</v>
      </c>
      <c r="H14" s="3185" t="str">
        <f>结果表!C45</f>
        <v>——</v>
      </c>
      <c r="I14" s="3185" t="str">
        <f>结果表!C46</f>
        <v>——</v>
      </c>
    </row>
    <row r="15" spans="1:9" ht="16.5">
      <c r="A15" s="3184" t="s">
        <v>2854</v>
      </c>
      <c r="B15" s="2998"/>
      <c r="C15" s="2998"/>
      <c r="D15" s="2998"/>
      <c r="E15" s="3183" t="e">
        <f t="shared" ref="E15:E23" si="2">ROUND(D15*10000/B15,0)</f>
        <v>#DIV/0!</v>
      </c>
      <c r="F15" s="3183" t="e">
        <f t="shared" ref="F15:F23" si="3">ROUND(D15*10000/C15,0)</f>
        <v>#DIV/0!</v>
      </c>
      <c r="G15" s="2997"/>
      <c r="H15" s="2997"/>
      <c r="I15" s="2998"/>
    </row>
    <row r="16" spans="1:9" ht="16.5">
      <c r="A16" s="3184" t="s">
        <v>2855</v>
      </c>
      <c r="B16" s="2998"/>
      <c r="C16" s="2998"/>
      <c r="D16" s="2998"/>
      <c r="E16" s="3183" t="e">
        <f t="shared" si="2"/>
        <v>#DIV/0!</v>
      </c>
      <c r="F16" s="3183" t="e">
        <f t="shared" si="3"/>
        <v>#DIV/0!</v>
      </c>
      <c r="G16" s="2997"/>
      <c r="H16" s="2997"/>
      <c r="I16" s="2998"/>
    </row>
    <row r="17" spans="1:9" ht="16.5">
      <c r="A17" s="3184" t="s">
        <v>2856</v>
      </c>
      <c r="B17" s="2998"/>
      <c r="C17" s="2998"/>
      <c r="D17" s="2998"/>
      <c r="E17" s="3183" t="e">
        <f t="shared" si="2"/>
        <v>#DIV/0!</v>
      </c>
      <c r="F17" s="3183" t="e">
        <f t="shared" si="3"/>
        <v>#DIV/0!</v>
      </c>
      <c r="G17" s="2997"/>
      <c r="H17" s="2997"/>
      <c r="I17" s="2998"/>
    </row>
    <row r="18" spans="1:9" ht="16.5">
      <c r="A18" s="3184" t="s">
        <v>2857</v>
      </c>
      <c r="B18" s="2998"/>
      <c r="C18" s="2998"/>
      <c r="D18" s="2998"/>
      <c r="E18" s="3183" t="e">
        <f t="shared" si="2"/>
        <v>#DIV/0!</v>
      </c>
      <c r="F18" s="3183" t="e">
        <f t="shared" si="3"/>
        <v>#DIV/0!</v>
      </c>
      <c r="G18" s="2998"/>
      <c r="H18" s="2998"/>
      <c r="I18" s="2998"/>
    </row>
    <row r="19" spans="1:9" ht="16.5">
      <c r="A19" s="3184" t="s">
        <v>2858</v>
      </c>
      <c r="B19" s="2998"/>
      <c r="C19" s="2998"/>
      <c r="D19" s="2998"/>
      <c r="E19" s="3183" t="e">
        <f t="shared" si="2"/>
        <v>#DIV/0!</v>
      </c>
      <c r="F19" s="3183" t="e">
        <f t="shared" si="3"/>
        <v>#DIV/0!</v>
      </c>
      <c r="G19" s="2998"/>
      <c r="H19" s="2998"/>
      <c r="I19" s="2998"/>
    </row>
    <row r="20" spans="1:9" ht="16.5">
      <c r="A20" s="3184" t="s">
        <v>2859</v>
      </c>
      <c r="B20" s="2998"/>
      <c r="C20" s="2998"/>
      <c r="D20" s="2998"/>
      <c r="E20" s="3183" t="e">
        <f t="shared" si="2"/>
        <v>#DIV/0!</v>
      </c>
      <c r="F20" s="3183" t="e">
        <f t="shared" si="3"/>
        <v>#DIV/0!</v>
      </c>
      <c r="G20" s="2998"/>
      <c r="H20" s="2998"/>
      <c r="I20" s="2998"/>
    </row>
    <row r="21" spans="1:9" ht="16.5">
      <c r="A21" s="3184" t="s">
        <v>2860</v>
      </c>
      <c r="B21" s="2998"/>
      <c r="C21" s="2998"/>
      <c r="D21" s="2998"/>
      <c r="E21" s="3183" t="e">
        <f t="shared" si="2"/>
        <v>#DIV/0!</v>
      </c>
      <c r="F21" s="3183" t="e">
        <f t="shared" si="3"/>
        <v>#DIV/0!</v>
      </c>
      <c r="G21" s="2998"/>
      <c r="H21" s="2998"/>
      <c r="I21" s="2998"/>
    </row>
    <row r="22" spans="1:9" ht="16.5">
      <c r="A22" s="3184" t="s">
        <v>2861</v>
      </c>
      <c r="B22" s="2998"/>
      <c r="C22" s="2998"/>
      <c r="D22" s="2998"/>
      <c r="E22" s="3183" t="e">
        <f t="shared" si="2"/>
        <v>#DIV/0!</v>
      </c>
      <c r="F22" s="3183" t="e">
        <f t="shared" si="3"/>
        <v>#DIV/0!</v>
      </c>
      <c r="G22" s="2998"/>
      <c r="H22" s="2998"/>
      <c r="I22" s="2998"/>
    </row>
    <row r="23" spans="1:9" ht="16.5">
      <c r="A23" s="3184" t="s">
        <v>2862</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21" t="str">
        <f>项目基本情况!K2</f>
        <v>出让国有建设用地使用权</v>
      </c>
      <c r="B2" s="3322"/>
      <c r="C2" s="3323"/>
      <c r="D2" s="3323"/>
      <c r="E2" s="3323"/>
      <c r="F2" s="3323"/>
      <c r="G2" s="3322"/>
      <c r="H2" s="3322"/>
      <c r="I2" s="3324"/>
      <c r="J2" s="2014"/>
      <c r="K2" s="2013"/>
      <c r="L2" s="2013"/>
      <c r="M2" s="2013"/>
      <c r="N2" s="2013"/>
      <c r="O2" s="2013"/>
      <c r="P2" s="2013"/>
      <c r="Q2" s="2013"/>
      <c r="R2" s="2013"/>
      <c r="S2" s="2013"/>
      <c r="T2" s="2013"/>
      <c r="U2" s="2013"/>
      <c r="V2" s="2013"/>
    </row>
    <row r="3" spans="1:22" ht="14.25">
      <c r="A3" s="3332" t="s">
        <v>298</v>
      </c>
      <c r="B3" s="3333"/>
      <c r="C3" s="3333"/>
      <c r="D3" s="3333"/>
      <c r="E3" s="3333"/>
      <c r="F3" s="3333"/>
      <c r="G3" s="3333"/>
      <c r="H3" s="3333"/>
      <c r="I3" s="3333"/>
      <c r="J3" s="2014"/>
      <c r="K3" s="2013"/>
      <c r="L3" s="2013"/>
      <c r="M3" s="2013"/>
      <c r="N3" s="2013"/>
      <c r="O3" s="2013"/>
      <c r="P3" s="2013"/>
      <c r="Q3" s="2013"/>
      <c r="R3" s="2013"/>
      <c r="S3" s="2013"/>
      <c r="T3" s="2013"/>
      <c r="U3" s="2013"/>
      <c r="V3" s="2013"/>
    </row>
    <row r="4" spans="1:22" ht="14.25">
      <c r="A4" s="258" t="s">
        <v>299</v>
      </c>
      <c r="B4" s="259" t="s">
        <v>300</v>
      </c>
      <c r="C4" s="260" t="s">
        <v>3126</v>
      </c>
      <c r="D4" s="260" t="s">
        <v>3127</v>
      </c>
      <c r="E4" s="3296" t="s">
        <v>301</v>
      </c>
      <c r="F4" s="3338"/>
      <c r="G4" s="3338"/>
      <c r="H4" s="3338"/>
      <c r="I4" s="329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25" t="s">
        <v>302</v>
      </c>
      <c r="B5" s="3326">
        <v>25</v>
      </c>
      <c r="C5" s="3334"/>
      <c r="D5" s="3337"/>
      <c r="E5" s="261" t="s">
        <v>303</v>
      </c>
      <c r="F5" s="262"/>
      <c r="G5" s="262"/>
      <c r="H5" s="262"/>
      <c r="I5" s="263"/>
      <c r="J5" s="2014"/>
      <c r="K5" s="2013"/>
      <c r="L5" s="2013"/>
      <c r="M5" s="2013"/>
      <c r="N5" s="2013"/>
      <c r="O5" s="2013"/>
      <c r="P5" s="2013"/>
      <c r="Q5" s="2013"/>
      <c r="R5" s="2013"/>
      <c r="S5" s="2013"/>
      <c r="T5" s="2013"/>
      <c r="U5" s="2013"/>
      <c r="V5" s="2013"/>
    </row>
    <row r="6" spans="1:22" ht="14.25">
      <c r="A6" s="3325"/>
      <c r="B6" s="3326"/>
      <c r="C6" s="3335"/>
      <c r="D6" s="3337"/>
      <c r="E6" s="261" t="s">
        <v>304</v>
      </c>
      <c r="F6" s="262"/>
      <c r="G6" s="262"/>
      <c r="H6" s="262"/>
      <c r="I6" s="263"/>
      <c r="J6" s="2014"/>
      <c r="K6" s="2013"/>
      <c r="L6" s="2013"/>
      <c r="M6" s="2013"/>
      <c r="N6" s="2013"/>
      <c r="O6" s="2013"/>
      <c r="P6" s="2013"/>
      <c r="Q6" s="2013"/>
      <c r="R6" s="2013"/>
      <c r="S6" s="2013"/>
      <c r="T6" s="2013"/>
      <c r="U6" s="2013"/>
      <c r="V6" s="2013"/>
    </row>
    <row r="7" spans="1:22" ht="14.25">
      <c r="A7" s="3325"/>
      <c r="B7" s="3326"/>
      <c r="C7" s="3336"/>
      <c r="D7" s="3337"/>
      <c r="E7" s="261" t="s">
        <v>305</v>
      </c>
      <c r="F7" s="262"/>
      <c r="G7" s="262"/>
      <c r="H7" s="262"/>
      <c r="I7" s="263"/>
      <c r="J7" s="2014"/>
      <c r="K7" s="2013"/>
      <c r="L7" s="2013"/>
      <c r="M7" s="2013"/>
      <c r="N7" s="2013"/>
      <c r="O7" s="2013"/>
      <c r="P7" s="2013"/>
      <c r="Q7" s="2013"/>
      <c r="R7" s="2013"/>
      <c r="S7" s="2013"/>
      <c r="T7" s="2013"/>
      <c r="U7" s="2013"/>
      <c r="V7" s="2013"/>
    </row>
    <row r="8" spans="1:22" ht="14.25">
      <c r="A8" s="3325" t="s">
        <v>306</v>
      </c>
      <c r="B8" s="3326">
        <v>15</v>
      </c>
      <c r="C8" s="3334"/>
      <c r="D8" s="3337"/>
      <c r="E8" s="261" t="s">
        <v>307</v>
      </c>
      <c r="F8" s="262"/>
      <c r="G8" s="262"/>
      <c r="H8" s="262"/>
      <c r="I8" s="263"/>
      <c r="J8" s="2014"/>
      <c r="K8" s="2013"/>
      <c r="L8" s="2013"/>
      <c r="M8" s="2013"/>
      <c r="N8" s="2013"/>
      <c r="O8" s="2013"/>
      <c r="P8" s="2013"/>
      <c r="Q8" s="2013"/>
      <c r="R8" s="2013"/>
      <c r="S8" s="2013"/>
      <c r="T8" s="2013"/>
      <c r="U8" s="2013"/>
      <c r="V8" s="2013"/>
    </row>
    <row r="9" spans="1:22" ht="14.25">
      <c r="A9" s="3325"/>
      <c r="B9" s="3326"/>
      <c r="C9" s="3336"/>
      <c r="D9" s="3337"/>
      <c r="E9" s="261" t="s">
        <v>308</v>
      </c>
      <c r="F9" s="262"/>
      <c r="G9" s="262"/>
      <c r="H9" s="262"/>
      <c r="I9" s="263"/>
      <c r="J9" s="2014"/>
      <c r="K9" s="2013"/>
      <c r="L9" s="2013"/>
      <c r="M9" s="2013"/>
      <c r="N9" s="2013"/>
      <c r="O9" s="2013"/>
      <c r="P9" s="2013"/>
      <c r="Q9" s="2013"/>
      <c r="R9" s="2013"/>
      <c r="S9" s="2013"/>
      <c r="T9" s="2013"/>
      <c r="U9" s="2013"/>
      <c r="V9" s="2013"/>
    </row>
    <row r="10" spans="1:22" ht="14.25">
      <c r="A10" s="3325" t="s">
        <v>309</v>
      </c>
      <c r="B10" s="3326">
        <v>15</v>
      </c>
      <c r="C10" s="3334"/>
      <c r="D10" s="3337"/>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5"/>
      <c r="B11" s="3326"/>
      <c r="C11" s="3336"/>
      <c r="D11" s="3337"/>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5" t="s">
        <v>312</v>
      </c>
      <c r="B12" s="3326">
        <v>15</v>
      </c>
      <c r="C12" s="3334"/>
      <c r="D12" s="3337"/>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5"/>
      <c r="B13" s="3326"/>
      <c r="C13" s="3336"/>
      <c r="D13" s="3337"/>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5" t="s">
        <v>315</v>
      </c>
      <c r="B14" s="3326">
        <v>30</v>
      </c>
      <c r="C14" s="3334">
        <v>5</v>
      </c>
      <c r="D14" s="3337">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5"/>
      <c r="B15" s="3326"/>
      <c r="C15" s="3335"/>
      <c r="D15" s="3337"/>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5"/>
      <c r="B16" s="3326"/>
      <c r="C16" s="3336"/>
      <c r="D16" s="333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22043</v>
      </c>
      <c r="D19" s="271">
        <f ca="1">SUMIF(INDIRECT("'"&amp;D4&amp;"'"&amp;"!A:A"),结果表!B19,INDIRECT("'"&amp;D4&amp;"'"&amp;"!B:B"))</f>
        <v>25976</v>
      </c>
      <c r="E19" s="268" t="s">
        <v>323</v>
      </c>
      <c r="F19" s="269" t="s">
        <v>322</v>
      </c>
      <c r="G19" s="272">
        <f ca="1">ROUND(C19*$C$18+D19*$D$18,0)</f>
        <v>24010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679</v>
      </c>
      <c r="D20" s="277">
        <f ca="1">SUMIF(INDIRECT("'"&amp;D4&amp;"'"&amp;"!A:A"),结果表!B20,INDIRECT("'"&amp;D4&amp;"'"&amp;"!B:B"))</f>
        <v>800</v>
      </c>
      <c r="E20" s="274"/>
      <c r="F20" s="275" t="s">
        <v>325</v>
      </c>
      <c r="G20" s="278">
        <f ca="1">ROUND(C20*$C$18+D20*$D$18,0)</f>
        <v>740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1653</v>
      </c>
      <c r="D21" s="151">
        <f ca="1">SUMIF(INDIRECT("'"&amp;D4&amp;"'"&amp;"!A:A"),结果表!B21,INDIRECT("'"&amp;D4&amp;"'"&amp;"!B:B"))</f>
        <v>1948</v>
      </c>
      <c r="E21" s="274"/>
      <c r="F21" s="280" t="s">
        <v>327</v>
      </c>
      <c r="G21" s="282">
        <f ca="1">ROUND(C21*$C$18+D21*$D$18,0)</f>
        <v>1801</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0.17842398947511673</v>
      </c>
      <c r="E22" s="284"/>
      <c r="F22" s="285"/>
      <c r="G22" s="286">
        <f ca="1">ROUND(G19/('数据-汇总表'!D3/666.67),0)</f>
        <v>120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2"/>
      <c r="B25" s="1316" t="s">
        <v>331</v>
      </c>
      <c r="C25" s="290">
        <f>IF(B30=0,0,C30)</f>
        <v>0</v>
      </c>
      <c r="D25" s="291"/>
      <c r="E25" s="311"/>
      <c r="F25" s="311"/>
      <c r="G25" s="311"/>
      <c r="H25" s="311"/>
      <c r="I25" s="311"/>
      <c r="J25" s="2013"/>
      <c r="K25" s="1250" t="str">
        <f ca="1">项目基本情况!B16&amp;"国有建设用地使用权价格："&amp;O38&amp;"万元"</f>
        <v>出让国有建设用地使用权价格：24010万元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大写金额：人民币贰亿肆仟零壹拾万元整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单位面积地价：1801元/平方米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楼面地价：739元/平方米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抵押价格：24010万元</v>
      </c>
      <c r="L29" s="1247"/>
      <c r="M29" s="1247"/>
      <c r="N29" s="1247"/>
      <c r="O29" s="1246"/>
      <c r="P29" s="2013"/>
      <c r="V29" s="2013"/>
    </row>
    <row r="30" spans="1:26" ht="18.75" thickBot="1">
      <c r="A30" s="3075" t="s">
        <v>336</v>
      </c>
      <c r="B30" s="309"/>
      <c r="C30" s="309"/>
      <c r="D30" s="310"/>
      <c r="E30" s="3076" t="s">
        <v>2961</v>
      </c>
      <c r="F30" s="311"/>
      <c r="G30" s="311"/>
      <c r="H30" s="311"/>
      <c r="I30" s="311"/>
      <c r="J30" s="2013"/>
      <c r="K30" s="1253" t="str">
        <f ca="1">IF(K29="——","——","大写金额：人民币"&amp;NUMBERSTRING(INT(O39*10000),2)&amp;"元整")</f>
        <v>大写金额：人民币贰亿肆仟零壹拾万元整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1686</v>
      </c>
      <c r="C32" s="1378">
        <f ca="1">G19-C24</f>
        <v>24010</v>
      </c>
      <c r="D32" s="1379"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1688</v>
      </c>
      <c r="C33" s="264">
        <f ca="1">ROUND(C32*10000/'数据-汇总表'!E3,0)</f>
        <v>739</v>
      </c>
      <c r="D33" s="1381" t="s">
        <v>1689</v>
      </c>
      <c r="E33" s="3298"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1801</v>
      </c>
      <c r="D34" s="1383" t="s">
        <v>1689</v>
      </c>
      <c r="E34" s="3299"/>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120</v>
      </c>
      <c r="D35" s="1386" t="s">
        <v>1691</v>
      </c>
      <c r="E35" s="3300"/>
      <c r="F35" s="301" t="s">
        <v>342</v>
      </c>
      <c r="G35" s="981"/>
      <c r="H35" s="980" t="s">
        <v>343</v>
      </c>
      <c r="I35" s="311"/>
      <c r="J35" s="2013"/>
      <c r="K35" s="3304" t="s">
        <v>350</v>
      </c>
      <c r="L35" s="3304" t="s">
        <v>351</v>
      </c>
      <c r="M35" s="1259" t="s">
        <v>352</v>
      </c>
      <c r="N35" s="3304" t="s">
        <v>353</v>
      </c>
      <c r="O35" s="3304" t="s">
        <v>354</v>
      </c>
      <c r="P35" s="2013"/>
      <c r="V35" s="2013"/>
    </row>
    <row r="36" spans="1:26" ht="16.5" customHeight="1">
      <c r="A36" s="303" t="s">
        <v>344</v>
      </c>
      <c r="B36" s="304" t="s">
        <v>333</v>
      </c>
      <c r="C36" s="305" t="s">
        <v>345</v>
      </c>
      <c r="D36" s="305" t="s">
        <v>346</v>
      </c>
      <c r="E36" s="306" t="s">
        <v>347</v>
      </c>
      <c r="F36" s="311"/>
      <c r="G36" s="311"/>
      <c r="H36" s="311"/>
      <c r="I36" s="311"/>
      <c r="J36" s="2015"/>
      <c r="K36" s="3305"/>
      <c r="L36" s="3305"/>
      <c r="M36" s="1261" t="s">
        <v>355</v>
      </c>
      <c r="N36" s="3305"/>
      <c r="O36" s="3305"/>
      <c r="P36" s="2013"/>
      <c r="V36" s="2013"/>
    </row>
    <row r="37" spans="1:26" ht="16.5" customHeight="1" thickBot="1">
      <c r="A37" s="1255" t="s">
        <v>348</v>
      </c>
      <c r="B37" s="307"/>
      <c r="C37" s="294"/>
      <c r="D37" s="294"/>
      <c r="E37" s="295"/>
      <c r="F37" s="311"/>
      <c r="G37" s="311"/>
      <c r="H37" s="311"/>
      <c r="I37" s="311"/>
      <c r="J37" s="2015"/>
      <c r="K37" s="3306"/>
      <c r="L37" s="3306"/>
      <c r="M37" s="1262"/>
      <c r="N37" s="3306"/>
      <c r="O37" s="3306"/>
      <c r="P37" s="2013"/>
      <c r="V37" s="2013"/>
    </row>
    <row r="38" spans="1:26" ht="16.5" customHeight="1" thickBot="1">
      <c r="A38" s="1255" t="s">
        <v>349</v>
      </c>
      <c r="B38" s="307"/>
      <c r="C38" s="294"/>
      <c r="D38" s="294"/>
      <c r="E38" s="295"/>
      <c r="F38" s="311"/>
      <c r="G38" s="311"/>
      <c r="H38" s="311"/>
      <c r="I38" s="311"/>
      <c r="J38" s="2015"/>
      <c r="K38" s="1263">
        <f>'数据-汇总表'!D3</f>
        <v>133327.24</v>
      </c>
      <c r="L38" s="1264">
        <f>'数据-汇总表'!E3</f>
        <v>324852.64</v>
      </c>
      <c r="M38" s="1264">
        <f ca="1">C34</f>
        <v>1801</v>
      </c>
      <c r="N38" s="1264">
        <f ca="1">C33</f>
        <v>739</v>
      </c>
      <c r="O38" s="1265">
        <f ca="1">C32</f>
        <v>24010</v>
      </c>
      <c r="P38" s="2013"/>
      <c r="V38" s="2013"/>
    </row>
    <row r="39" spans="1:26" ht="16.5" customHeight="1" thickBot="1">
      <c r="A39" s="1260"/>
      <c r="B39" s="308"/>
      <c r="C39" s="309"/>
      <c r="D39" s="309"/>
      <c r="E39" s="310"/>
      <c r="F39" s="311"/>
      <c r="G39" s="311"/>
      <c r="H39" s="311"/>
      <c r="I39" s="311"/>
      <c r="J39" s="2015"/>
      <c r="K39" s="3317" t="str">
        <f>MID(A44,3,LEN(A44)-2)</f>
        <v>抵押价格</v>
      </c>
      <c r="L39" s="3318"/>
      <c r="M39" s="3318"/>
      <c r="N39" s="3319"/>
      <c r="O39" s="1388">
        <f ca="1">C44</f>
        <v>24010</v>
      </c>
      <c r="P39" s="2013"/>
      <c r="V39" s="2013"/>
    </row>
    <row r="40" spans="1:26" ht="19.5" thickBot="1">
      <c r="A40" s="104" t="s">
        <v>871</v>
      </c>
      <c r="B40" s="311"/>
      <c r="C40" s="311"/>
      <c r="D40" s="311"/>
      <c r="E40" s="311"/>
      <c r="F40" s="311"/>
      <c r="G40" s="311"/>
      <c r="H40" s="311"/>
      <c r="I40" s="311"/>
      <c r="J40" s="2015"/>
      <c r="K40" s="3317" t="str">
        <f t="shared" ref="K40:K41" si="0">MID(A45,3,LEN(A45)-2)</f>
        <v/>
      </c>
      <c r="L40" s="3318"/>
      <c r="M40" s="3318"/>
      <c r="N40" s="3319"/>
      <c r="O40" s="1388" t="str">
        <f>C45</f>
        <v>——</v>
      </c>
      <c r="P40" s="2013"/>
      <c r="V40" s="2013"/>
    </row>
    <row r="41" spans="1:26" ht="16.5" thickBot="1">
      <c r="A41" s="312" t="s">
        <v>356</v>
      </c>
      <c r="B41" s="313"/>
      <c r="C41" s="314" t="s">
        <v>357</v>
      </c>
      <c r="D41" s="315" t="s">
        <v>358</v>
      </c>
      <c r="E41" s="315" t="s">
        <v>359</v>
      </c>
      <c r="F41" s="316" t="s">
        <v>360</v>
      </c>
      <c r="G41" s="311"/>
      <c r="H41" s="311"/>
      <c r="I41" s="311"/>
      <c r="J41" s="2015"/>
      <c r="K41" s="3317" t="str">
        <f t="shared" si="0"/>
        <v/>
      </c>
      <c r="L41" s="3318"/>
      <c r="M41" s="3318"/>
      <c r="N41" s="3319"/>
      <c r="O41" s="1388" t="str">
        <f>C46</f>
        <v>——</v>
      </c>
      <c r="P41" s="2013"/>
      <c r="V41" s="2013"/>
    </row>
    <row r="42" spans="1:26" ht="29.25">
      <c r="A42" s="3343" t="s">
        <v>2063</v>
      </c>
      <c r="B42" s="3344"/>
      <c r="C42" s="264">
        <f ca="1">C32</f>
        <v>24010</v>
      </c>
      <c r="D42" s="317">
        <f ca="1">C33</f>
        <v>739</v>
      </c>
      <c r="E42" s="317">
        <f ca="1">C34</f>
        <v>1801</v>
      </c>
      <c r="F42" s="318">
        <f ca="1">C35</f>
        <v>120</v>
      </c>
      <c r="G42" s="311"/>
      <c r="H42" s="311"/>
      <c r="I42" s="319"/>
      <c r="J42" s="2015"/>
      <c r="K42" s="1266" t="s">
        <v>361</v>
      </c>
      <c r="L42" s="2032" t="s">
        <v>362</v>
      </c>
      <c r="M42" s="1267" t="s">
        <v>363</v>
      </c>
      <c r="N42" s="2033" t="s">
        <v>364</v>
      </c>
      <c r="O42" s="2034" t="s">
        <v>365</v>
      </c>
      <c r="P42" s="2013"/>
      <c r="V42" s="2013"/>
    </row>
    <row r="43" spans="1:26" ht="18">
      <c r="A43" s="3353" t="s">
        <v>2723</v>
      </c>
      <c r="B43" s="3354"/>
      <c r="C43" s="264">
        <f>IF(H33="正常操作",G33+G34+G35,G34+G35)</f>
        <v>0</v>
      </c>
      <c r="D43" s="317" t="s">
        <v>43</v>
      </c>
      <c r="E43" s="317" t="s">
        <v>44</v>
      </c>
      <c r="F43" s="318" t="s">
        <v>44</v>
      </c>
      <c r="G43" s="2821" t="s">
        <v>950</v>
      </c>
      <c r="H43" s="311"/>
      <c r="I43" s="319"/>
      <c r="J43" s="2015"/>
      <c r="K43" s="1268" t="str">
        <f>C4</f>
        <v>比较法-住宅、综合</v>
      </c>
      <c r="L43" s="1269">
        <f ca="1">IF(L42="估价结果/万元",C19,C20)</f>
        <v>22043</v>
      </c>
      <c r="M43" s="1270">
        <f>C18</f>
        <v>0.5</v>
      </c>
      <c r="N43" s="1271">
        <f ca="1">IF(N42="测算结果/万元",G19,G20)</f>
        <v>24010</v>
      </c>
      <c r="O43" s="1272">
        <f ca="1">IF(O42="最终结果/万元",C32,C33)</f>
        <v>24010</v>
      </c>
      <c r="P43" s="2013"/>
      <c r="V43" s="2013"/>
    </row>
    <row r="44" spans="1:26" ht="18.75" thickBot="1">
      <c r="A44" s="3343" t="str">
        <f>IF(OR(项目基本情况!E8="抵押价格",项目基本情况!E8="已注销及未注销"),"3.抵押价格","——")</f>
        <v>3.抵押价格</v>
      </c>
      <c r="B44" s="3344"/>
      <c r="C44" s="264">
        <f ca="1">IF(A44="——","——",C42-C43)</f>
        <v>24010</v>
      </c>
      <c r="D44" s="317">
        <f ca="1">ROUND(C44*10000/'数据-汇总表'!E3,0)</f>
        <v>739</v>
      </c>
      <c r="E44" s="317">
        <f ca="1">ROUND(C44*10000/'数据-汇总表'!D3,0)</f>
        <v>1801</v>
      </c>
      <c r="F44" s="318">
        <f ca="1">ROUND(C44/('数据-汇总表'!D3/666.67),0)</f>
        <v>120</v>
      </c>
      <c r="G44" s="311"/>
      <c r="H44" s="311"/>
      <c r="I44" s="319"/>
      <c r="J44" s="2015"/>
      <c r="K44" s="1273" t="str">
        <f>D4</f>
        <v>剩余法-待开发</v>
      </c>
      <c r="L44" s="1274">
        <f ca="1">IF(L42="估价结果/万元",D19,D20)</f>
        <v>25976</v>
      </c>
      <c r="M44" s="1275">
        <f>D18</f>
        <v>0.5</v>
      </c>
      <c r="N44" s="1276"/>
      <c r="O44" s="1277"/>
      <c r="P44" s="2013"/>
      <c r="V44" s="2013"/>
    </row>
    <row r="45" spans="1:26" ht="15">
      <c r="A45" s="3348" t="str">
        <f>IF(项目基本情况!E8="已注销及未注销","4.抵押担保权已注销时的抵押价格",IF(项目基本情况!E8="已注销","3.抵押担保权已注销时的抵押价格","——"))</f>
        <v>——</v>
      </c>
      <c r="B45" s="334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5" t="str">
        <f>IF(项目基本情况!E9="抵押净值",IF(A45="——","4.抵押净值","5.抵押净值"),"——")</f>
        <v>——</v>
      </c>
      <c r="B46" s="334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09" t="s">
        <v>374</v>
      </c>
      <c r="B63" s="3310"/>
      <c r="C63" s="3311"/>
      <c r="D63" s="341">
        <f ca="1">ROUND(C42*F63,0)</f>
        <v>14406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0" t="s">
        <v>378</v>
      </c>
      <c r="B64" s="3351"/>
      <c r="C64" s="3351"/>
      <c r="D64" s="3351"/>
      <c r="E64" s="3351"/>
      <c r="F64" s="3351"/>
      <c r="G64" s="3352"/>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47" t="s">
        <v>386</v>
      </c>
      <c r="B66" s="3316"/>
      <c r="C66" s="3316"/>
      <c r="D66" s="261">
        <f ca="1">IF(H66="情况1",0,IF(H66="情况2",D70,IF(H66="情况3",D71,IF(H66="情况4",D72))))</f>
        <v>755</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277" t="s">
        <v>385</v>
      </c>
      <c r="M66" s="3278"/>
      <c r="N66" s="2422"/>
      <c r="O66" s="2423"/>
      <c r="P66" s="2424"/>
      <c r="Q66" s="2013"/>
      <c r="R66" s="2013"/>
      <c r="S66" s="2013"/>
      <c r="T66" s="2013"/>
      <c r="U66" s="2013"/>
      <c r="V66" s="2013"/>
    </row>
    <row r="67" spans="1:22" ht="25.5" customHeight="1">
      <c r="A67" s="352" t="s">
        <v>390</v>
      </c>
      <c r="B67" s="3328" t="s">
        <v>391</v>
      </c>
      <c r="C67" s="3328"/>
      <c r="D67" s="353">
        <v>0</v>
      </c>
      <c r="E67" s="41" t="s">
        <v>392</v>
      </c>
      <c r="F67" s="62" t="s">
        <v>21</v>
      </c>
      <c r="G67" s="3312"/>
      <c r="H67" s="311"/>
      <c r="I67" s="1287"/>
      <c r="J67" s="2020"/>
      <c r="K67" s="1961">
        <v>2</v>
      </c>
      <c r="L67" s="3282" t="s">
        <v>389</v>
      </c>
      <c r="M67" s="3282"/>
      <c r="N67" s="1320">
        <f>'数据-取费表'!B2</f>
        <v>44034</v>
      </c>
      <c r="O67" s="1320"/>
      <c r="P67" s="1320"/>
      <c r="Q67" s="2013"/>
      <c r="R67" s="2013"/>
      <c r="S67" s="2013"/>
      <c r="T67" s="2013"/>
      <c r="U67" s="2013"/>
      <c r="V67" s="2013"/>
    </row>
    <row r="68" spans="1:22" ht="25.5" customHeight="1">
      <c r="A68" s="354"/>
      <c r="B68" s="3328" t="s">
        <v>394</v>
      </c>
      <c r="C68" s="3328"/>
      <c r="D68" s="355"/>
      <c r="E68" s="77"/>
      <c r="F68" s="356"/>
      <c r="G68" s="3313"/>
      <c r="H68" s="311"/>
      <c r="I68" s="1287"/>
      <c r="J68" s="2020"/>
      <c r="K68" s="1961">
        <v>3</v>
      </c>
      <c r="L68" s="3282" t="s">
        <v>393</v>
      </c>
      <c r="M68" s="3282"/>
      <c r="N68" s="1288">
        <f ca="1">C42</f>
        <v>24010</v>
      </c>
      <c r="O68" s="1288"/>
      <c r="P68" s="1288"/>
      <c r="Q68" s="2013"/>
      <c r="R68" s="2013"/>
      <c r="S68" s="2013"/>
      <c r="T68" s="2013"/>
      <c r="U68" s="2013"/>
      <c r="V68" s="2013"/>
    </row>
    <row r="69" spans="1:22" ht="12" customHeight="1">
      <c r="A69" s="357"/>
      <c r="B69" s="3328" t="s">
        <v>395</v>
      </c>
      <c r="C69" s="3328"/>
      <c r="D69" s="358"/>
      <c r="E69" s="73"/>
      <c r="F69" s="356"/>
      <c r="G69" s="3314"/>
      <c r="H69" s="311"/>
      <c r="I69" s="1287"/>
      <c r="J69" s="2020"/>
      <c r="K69" s="1289">
        <v>4</v>
      </c>
      <c r="L69" s="3283" t="s">
        <v>2876</v>
      </c>
      <c r="M69" s="3284"/>
      <c r="N69" s="1290">
        <f ca="1">C44</f>
        <v>24010</v>
      </c>
      <c r="O69" s="1290"/>
      <c r="P69" s="1290"/>
      <c r="Q69" s="2013"/>
      <c r="R69" s="2013"/>
      <c r="S69" s="2013"/>
      <c r="T69" s="2013"/>
      <c r="U69" s="2013"/>
      <c r="V69" s="2013"/>
    </row>
    <row r="70" spans="1:22" ht="24" customHeight="1">
      <c r="A70" s="359" t="s">
        <v>396</v>
      </c>
      <c r="B70" s="3328" t="s">
        <v>397</v>
      </c>
      <c r="C70" s="3328"/>
      <c r="D70" s="358">
        <f ca="1">ROUND(D63*'数据-取费表'!B41/(1+'数据-取费表'!C42),0)</f>
        <v>755</v>
      </c>
      <c r="E70" s="17" t="s">
        <v>398</v>
      </c>
      <c r="F70" s="360">
        <f>'数据-取费表'!B41</f>
        <v>5.5000000000000007E-2</v>
      </c>
      <c r="G70" s="361"/>
      <c r="H70" s="311"/>
      <c r="I70" s="1287"/>
      <c r="J70" s="2020"/>
      <c r="K70" s="3007"/>
      <c r="L70" s="3008"/>
      <c r="M70" s="3008"/>
      <c r="N70" s="3009" t="s">
        <v>2881</v>
      </c>
      <c r="O70" s="3008"/>
      <c r="P70" s="3010"/>
      <c r="Q70" s="2013"/>
      <c r="R70" s="2013"/>
      <c r="S70" s="2013"/>
      <c r="T70" s="2013"/>
      <c r="U70" s="2013"/>
      <c r="V70" s="2013"/>
    </row>
    <row r="71" spans="1:22" ht="12" customHeight="1">
      <c r="A71" s="359" t="s">
        <v>404</v>
      </c>
      <c r="B71" s="3327" t="s">
        <v>405</v>
      </c>
      <c r="C71" s="3341"/>
      <c r="D71" s="358">
        <f ca="1">ROUND(D63*'数据-取费表'!B41/(1+'数据-取费表'!C42),0)</f>
        <v>755</v>
      </c>
      <c r="E71" s="17" t="s">
        <v>398</v>
      </c>
      <c r="F71" s="360">
        <f>'数据-取费表'!B41</f>
        <v>5.5000000000000007E-2</v>
      </c>
      <c r="G71" s="361"/>
      <c r="H71" s="311"/>
      <c r="I71" s="1287"/>
      <c r="J71" s="2020"/>
      <c r="K71" s="3006" t="s">
        <v>399</v>
      </c>
      <c r="L71" s="3285" t="s">
        <v>400</v>
      </c>
      <c r="M71" s="3285"/>
      <c r="N71" s="3006" t="s">
        <v>401</v>
      </c>
      <c r="O71" s="3006" t="s">
        <v>402</v>
      </c>
      <c r="P71" s="3006" t="s">
        <v>403</v>
      </c>
      <c r="Q71" s="2013"/>
      <c r="R71" s="2013"/>
      <c r="S71" s="2013"/>
      <c r="T71" s="2013"/>
      <c r="U71" s="2013"/>
      <c r="V71" s="2013"/>
    </row>
    <row r="72" spans="1:22" ht="12" customHeight="1">
      <c r="A72" s="359" t="s">
        <v>407</v>
      </c>
      <c r="B72" s="3327" t="s">
        <v>408</v>
      </c>
      <c r="C72" s="3341"/>
      <c r="D72" s="358">
        <f ca="1">C86</f>
        <v>645</v>
      </c>
      <c r="E72" s="73" t="s">
        <v>409</v>
      </c>
      <c r="F72" s="360">
        <f>'数据-取费表'!B41</f>
        <v>5.5000000000000007E-2</v>
      </c>
      <c r="G72" s="361"/>
      <c r="H72" s="1293"/>
      <c r="I72" s="1287"/>
      <c r="J72" s="2020"/>
      <c r="K72" s="1961">
        <v>1</v>
      </c>
      <c r="L72" s="3281" t="s">
        <v>406</v>
      </c>
      <c r="M72" s="3281"/>
      <c r="N72" s="1291">
        <f ca="1">D66</f>
        <v>755</v>
      </c>
      <c r="O72" s="1844" t="str">
        <f>E66</f>
        <v>销售额×税（费）率</v>
      </c>
      <c r="P72" s="1292">
        <f>F66</f>
        <v>5.5000000000000007E-2</v>
      </c>
      <c r="Q72" s="2013"/>
      <c r="R72" s="2013"/>
      <c r="S72" s="2013"/>
      <c r="T72" s="2013"/>
      <c r="U72" s="2013"/>
      <c r="V72" s="2013"/>
    </row>
    <row r="73" spans="1:22" ht="24" customHeight="1">
      <c r="A73" s="3315" t="s">
        <v>411</v>
      </c>
      <c r="B73" s="3316"/>
      <c r="C73" s="3316"/>
      <c r="D73" s="362">
        <f>IF(H73="个人住宅",0,ROUND(D63*I73,0))</f>
        <v>0</v>
      </c>
      <c r="E73" s="17" t="s">
        <v>412</v>
      </c>
      <c r="F73" s="360" t="str">
        <f>IF(H73="正常",I73,"免征")</f>
        <v>免征</v>
      </c>
      <c r="G73" s="361"/>
      <c r="H73" s="191" t="s">
        <v>2449</v>
      </c>
      <c r="I73" s="360">
        <f>'数据-取费表'!B49</f>
        <v>5.0000000000000001E-4</v>
      </c>
      <c r="J73" s="2020"/>
      <c r="K73" s="1961">
        <v>2</v>
      </c>
      <c r="L73" s="3281" t="s">
        <v>410</v>
      </c>
      <c r="M73" s="3281"/>
      <c r="N73" s="1291">
        <f t="shared" ref="N73:P74" si="1">D73</f>
        <v>0</v>
      </c>
      <c r="O73" s="1844" t="str">
        <f t="shared" si="1"/>
        <v>销售额×税（费）率</v>
      </c>
      <c r="P73" s="1292" t="str">
        <f t="shared" si="1"/>
        <v>免征</v>
      </c>
      <c r="Q73" s="2013"/>
      <c r="R73" s="2013"/>
      <c r="S73" s="2013"/>
      <c r="T73" s="2013"/>
      <c r="U73" s="2013"/>
      <c r="V73" s="2013"/>
    </row>
    <row r="74" spans="1:22" ht="24.75">
      <c r="A74" s="3315" t="s">
        <v>415</v>
      </c>
      <c r="B74" s="3316"/>
      <c r="C74" s="3316"/>
      <c r="D74" s="362">
        <f ca="1">IF(H74="个人住宅",D75,D76)</f>
        <v>7569</v>
      </c>
      <c r="E74" s="17" t="s">
        <v>416</v>
      </c>
      <c r="F74" s="360" t="str">
        <f>IF(H74="正常",F76,"免征")</f>
        <v>——</v>
      </c>
      <c r="G74" s="982" t="s">
        <v>417</v>
      </c>
      <c r="H74" s="363" t="s">
        <v>413</v>
      </c>
      <c r="I74" s="42"/>
      <c r="J74" s="2020"/>
      <c r="K74" s="1961">
        <v>3</v>
      </c>
      <c r="L74" s="3281" t="s">
        <v>414</v>
      </c>
      <c r="M74" s="3281"/>
      <c r="N74" s="1291">
        <f t="shared" ca="1" si="1"/>
        <v>7569</v>
      </c>
      <c r="O74" s="1844" t="str">
        <f t="shared" si="1"/>
        <v>增值额×税（费）率</v>
      </c>
      <c r="P74" s="1294" t="str">
        <f t="shared" si="1"/>
        <v>——</v>
      </c>
      <c r="Q74" s="2013"/>
      <c r="R74" s="2013"/>
      <c r="S74" s="2013"/>
      <c r="T74" s="2013"/>
      <c r="U74" s="2013"/>
      <c r="V74" s="2013"/>
    </row>
    <row r="75" spans="1:22" ht="24">
      <c r="A75" s="359" t="s">
        <v>418</v>
      </c>
      <c r="B75" s="3296" t="s">
        <v>419</v>
      </c>
      <c r="C75" s="3297"/>
      <c r="D75" s="364">
        <v>0</v>
      </c>
      <c r="E75" s="41" t="s">
        <v>420</v>
      </c>
      <c r="F75" s="365"/>
      <c r="G75" s="361"/>
      <c r="H75" s="42"/>
      <c r="I75" s="42"/>
      <c r="J75" s="2020"/>
      <c r="K75" s="2999">
        <f>IF(H77="非个人房产","",4)</f>
        <v>4</v>
      </c>
      <c r="L75" s="3281" t="str">
        <f>IF(H77="非个人房产","——","个人所得税")</f>
        <v>个人所得税</v>
      </c>
      <c r="M75" s="3281"/>
      <c r="N75" s="1295">
        <f ca="1">D77</f>
        <v>144</v>
      </c>
      <c r="O75" s="1857" t="str">
        <f>E77</f>
        <v>销售额×税（费）率</v>
      </c>
      <c r="P75" s="1296">
        <f>F77</f>
        <v>0.01</v>
      </c>
      <c r="Q75" s="2013"/>
      <c r="R75" s="2013"/>
      <c r="S75" s="2013"/>
      <c r="T75" s="2013"/>
      <c r="U75" s="2013"/>
      <c r="V75" s="2013"/>
    </row>
    <row r="76" spans="1:22" ht="24.75">
      <c r="A76" s="359" t="s">
        <v>396</v>
      </c>
      <c r="B76" s="3296" t="s">
        <v>422</v>
      </c>
      <c r="C76" s="3338"/>
      <c r="D76" s="362">
        <f ca="1">IF(H76="转让取得",C99,C115)</f>
        <v>7569</v>
      </c>
      <c r="E76" s="17" t="s">
        <v>423</v>
      </c>
      <c r="F76" s="53" t="s">
        <v>21</v>
      </c>
      <c r="G76" s="361"/>
      <c r="H76" s="363" t="s">
        <v>424</v>
      </c>
      <c r="I76" s="42"/>
      <c r="J76" s="2020"/>
      <c r="K76" s="2999" t="str">
        <f>IF(项目基本情况!K6="上海银行",IF(K75="",4,K75+1),"")</f>
        <v/>
      </c>
      <c r="L76" s="3292" t="str">
        <f>IF(项目基本情况!K6="上海银行","其他处置费用","")</f>
        <v/>
      </c>
      <c r="M76" s="3293"/>
      <c r="N76" s="1291"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6.25" thickBot="1">
      <c r="A77" s="3307" t="s">
        <v>426</v>
      </c>
      <c r="B77" s="3308"/>
      <c r="C77" s="3308"/>
      <c r="D77" s="366">
        <f ca="1">IF(H77="非个人房产","——",IF(H77="个人住宅",0,ROUND(D63*I77,0)))</f>
        <v>144</v>
      </c>
      <c r="E77" s="367" t="str">
        <f>IF(H77="非个人房产","——","销售额×税（费）率")</f>
        <v>销售额×税（费）率</v>
      </c>
      <c r="F77" s="368">
        <f>IF(H77="非个人房产","——",IF(H77="个人住宅","免征",I77))</f>
        <v>0.01</v>
      </c>
      <c r="G77" s="983" t="s">
        <v>417</v>
      </c>
      <c r="H77" s="363" t="s">
        <v>2877</v>
      </c>
      <c r="I77" s="369">
        <v>0.01</v>
      </c>
      <c r="J77" s="2020"/>
      <c r="K77" s="3303">
        <f>IF(AND(K75="",K76=""),4,IF(项目基本情况!K6="上海银行",K76+1,K75+1))</f>
        <v>5</v>
      </c>
      <c r="L77" s="3281" t="s">
        <v>2878</v>
      </c>
      <c r="M77" s="3005" t="s">
        <v>421</v>
      </c>
      <c r="N77" s="1297"/>
      <c r="O77" s="1298">
        <f ca="1">SUMIF(N72:N76,"&lt;9e307")</f>
        <v>8468</v>
      </c>
      <c r="P77" s="1299"/>
      <c r="Q77" s="3003">
        <f ca="1">O77/N69</f>
        <v>0.35268638067471886</v>
      </c>
      <c r="R77" s="2013"/>
      <c r="S77" s="2013"/>
      <c r="T77" s="2013"/>
      <c r="U77" s="2013"/>
      <c r="V77" s="2013"/>
    </row>
    <row r="78" spans="1:22" ht="12" customHeight="1">
      <c r="A78" s="1300"/>
      <c r="B78" s="311"/>
      <c r="C78" s="311"/>
      <c r="D78" s="311"/>
      <c r="E78" s="42"/>
      <c r="F78" s="42"/>
      <c r="G78" s="42"/>
      <c r="H78" s="1002"/>
      <c r="I78" s="311"/>
      <c r="J78" s="2020"/>
      <c r="K78" s="3303"/>
      <c r="L78" s="3281"/>
      <c r="M78" s="3005" t="s">
        <v>425</v>
      </c>
      <c r="N78" s="1297"/>
      <c r="O78" s="1298" t="str">
        <f ca="1">NUMBERSTRING(INT(O77*10000),2)&amp;"元整"</f>
        <v>捌仟肆佰陆拾捌万元整</v>
      </c>
      <c r="P78" s="1299"/>
      <c r="Q78" s="2013"/>
      <c r="R78" s="2013"/>
      <c r="S78" s="2013"/>
      <c r="T78" s="2013"/>
      <c r="U78" s="2013"/>
      <c r="V78" s="2013"/>
    </row>
    <row r="79" spans="1:22" ht="13.5" thickBot="1">
      <c r="A79" s="3355" t="s">
        <v>427</v>
      </c>
      <c r="B79" s="3355"/>
      <c r="C79" s="3355"/>
      <c r="D79" s="3355"/>
      <c r="E79" s="3355"/>
      <c r="F79" s="42"/>
      <c r="G79" s="42"/>
      <c r="H79" s="1002"/>
      <c r="I79" s="311"/>
      <c r="J79" s="2020"/>
      <c r="K79" s="3279">
        <f>K77+1</f>
        <v>6</v>
      </c>
      <c r="L79" s="3281" t="s">
        <v>2879</v>
      </c>
      <c r="M79" s="3005" t="s">
        <v>421</v>
      </c>
      <c r="N79" s="1297"/>
      <c r="O79" s="1298">
        <f ca="1">N69-O77</f>
        <v>15542</v>
      </c>
      <c r="P79" s="1299"/>
      <c r="Q79" s="2013"/>
      <c r="R79" s="2013"/>
      <c r="S79" s="2013"/>
      <c r="T79" s="2013"/>
      <c r="U79" s="2013"/>
      <c r="V79" s="2013"/>
    </row>
    <row r="80" spans="1:22" ht="12.75">
      <c r="A80" s="3289" t="s">
        <v>428</v>
      </c>
      <c r="B80" s="3290"/>
      <c r="C80" s="993"/>
      <c r="D80" s="993" t="s">
        <v>429</v>
      </c>
      <c r="E80" s="370" t="s">
        <v>430</v>
      </c>
      <c r="F80" s="42"/>
      <c r="G80" s="42"/>
      <c r="H80" s="1002"/>
      <c r="I80" s="311"/>
      <c r="J80" s="2013"/>
      <c r="K80" s="3280"/>
      <c r="L80" s="3281"/>
      <c r="M80" s="3005" t="s">
        <v>425</v>
      </c>
      <c r="N80" s="1297"/>
      <c r="O80" s="1298" t="str">
        <f ca="1">NUMBERSTRING(INT(O79*10000),2)&amp;"元整"</f>
        <v>壹亿伍仟伍佰肆拾贰万元整</v>
      </c>
      <c r="P80" s="1299"/>
      <c r="Q80" s="2013"/>
      <c r="R80" s="2013"/>
      <c r="S80" s="2013"/>
      <c r="T80" s="2013"/>
      <c r="U80" s="2013"/>
      <c r="V80" s="2013"/>
    </row>
    <row r="81" spans="1:26" ht="13.5" thickBot="1">
      <c r="A81" s="381" t="s">
        <v>1821</v>
      </c>
      <c r="B81" s="371" t="s">
        <v>431</v>
      </c>
      <c r="C81" s="372">
        <f ca="1">ROUND((C82+C83)/(1+'数据-取费表'!C42),0)</f>
        <v>13720</v>
      </c>
      <c r="D81" s="373"/>
      <c r="E81" s="374"/>
      <c r="F81" s="42"/>
      <c r="G81" s="42"/>
      <c r="H81" s="1002"/>
      <c r="I81" s="311"/>
      <c r="J81" s="2013"/>
      <c r="K81" s="2999">
        <f>K79+1</f>
        <v>7</v>
      </c>
      <c r="L81" s="3301" t="s">
        <v>2880</v>
      </c>
      <c r="M81" s="3302"/>
      <c r="N81" s="1301"/>
      <c r="O81" s="1302">
        <f ca="1">ROUND(O79*10000/'数据-汇总表'!E3,0)</f>
        <v>478</v>
      </c>
      <c r="P81" s="1303"/>
      <c r="Q81" s="2013"/>
      <c r="R81" s="2013"/>
      <c r="S81" s="2013"/>
      <c r="T81" s="2013"/>
      <c r="U81" s="2013"/>
      <c r="V81" s="2013"/>
    </row>
    <row r="82" spans="1:26" ht="13.5" thickTop="1">
      <c r="A82" s="375" t="s">
        <v>1822</v>
      </c>
      <c r="B82" s="376" t="s">
        <v>432</v>
      </c>
      <c r="C82" s="377">
        <f ca="1">D63</f>
        <v>14406</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291" t="s">
        <v>2867</v>
      </c>
      <c r="L83" s="3011" t="s">
        <v>2868</v>
      </c>
      <c r="M83" s="3001">
        <f ca="1">IF(N69&gt;10000,N69*0.5%,IF(AND(N69&gt;1000,N69&lt;=10000),N69*1%,IF(AND(N69&gt;100,N69&lt;=1000),N69*3%,IF(AND(N69&gt;10,N69&lt;=100),N69*5%,N69*8%))))</f>
        <v>120.05</v>
      </c>
      <c r="N83" s="53">
        <f ca="1">ROUND(M83,1)</f>
        <v>120.1</v>
      </c>
      <c r="O83" s="3004"/>
      <c r="P83" s="2013"/>
      <c r="Q83" s="2013"/>
      <c r="R83" s="2013"/>
      <c r="S83" s="2013"/>
      <c r="T83" s="2013"/>
      <c r="U83" s="2013"/>
      <c r="V83" s="2013"/>
    </row>
    <row r="84" spans="1:26" ht="12.75">
      <c r="A84" s="381" t="s">
        <v>1824</v>
      </c>
      <c r="B84" s="382" t="s">
        <v>434</v>
      </c>
      <c r="C84" s="383">
        <v>2000</v>
      </c>
      <c r="D84" s="384" t="s">
        <v>19</v>
      </c>
      <c r="E84" s="3046" t="s">
        <v>2934</v>
      </c>
      <c r="F84" s="42"/>
      <c r="G84" s="42"/>
      <c r="H84" s="1002"/>
      <c r="I84" s="311"/>
      <c r="J84" s="2013"/>
      <c r="K84" s="3291"/>
      <c r="L84" s="3011" t="s">
        <v>2869</v>
      </c>
      <c r="M84" s="3001">
        <f ca="1">IF(N69&gt;2000,N69*0.5%,IF(AND(N69&gt;1000,N69&lt;=2000),N69*0.6%,IF(AND(N69&gt;500,N69&lt;=1000),N69*0.7%,IF(AND(N69&gt;200,N69&lt;=500),N69*0.8%,IF(AND(N69&gt;100,N69&lt;=200),N69*0.9%,IF(AND(N69&gt;50,N69&lt;=100),N69*1%,IF(AND(N69&gt;20,N69&lt;=50),N69*1.5%,IF(AND(N69&gt;10,N69&lt;=20),N69*2%,IF(AND(N69&gt;1,N69&lt;=10),N69*2.5%)))))))))</f>
        <v>120.05</v>
      </c>
      <c r="N84" s="53">
        <f t="shared" ref="N84:N85" ca="1" si="2">ROUND(M84,1)</f>
        <v>120.1</v>
      </c>
      <c r="O84" s="2013" t="s">
        <v>2870</v>
      </c>
      <c r="P84" s="2013"/>
      <c r="Q84" s="2013"/>
      <c r="R84" s="2013"/>
      <c r="S84" s="2013"/>
      <c r="T84" s="2013"/>
      <c r="U84" s="2013"/>
      <c r="V84" s="2013"/>
    </row>
    <row r="85" spans="1:26" ht="12.75">
      <c r="A85" s="381" t="s">
        <v>1825</v>
      </c>
      <c r="B85" s="382" t="s">
        <v>435</v>
      </c>
      <c r="C85" s="385">
        <f ca="1">C81-C84</f>
        <v>11720</v>
      </c>
      <c r="D85" s="378" t="s">
        <v>19</v>
      </c>
      <c r="E85" s="379"/>
      <c r="F85" s="42"/>
      <c r="G85" s="42"/>
      <c r="H85" s="1002"/>
      <c r="I85" s="311"/>
      <c r="J85" s="2013"/>
      <c r="K85" s="3291"/>
      <c r="L85" s="3011" t="s">
        <v>2871</v>
      </c>
      <c r="M85" s="3001">
        <f ca="1">IF(N69&gt;1000,N69*0.1%,IF(AND(N69&gt;500,N69&lt;=1000),N69*0.5%,IF(AND(N69&gt;50,N69&lt;=500),N69*1%,IF(AND(N69&gt;1,N69&lt;=50),N69*1.5%))))</f>
        <v>24.01</v>
      </c>
      <c r="N85" s="53">
        <f t="shared" ca="1" si="2"/>
        <v>24</v>
      </c>
      <c r="O85" s="2013" t="s">
        <v>2870</v>
      </c>
      <c r="P85" s="2013"/>
      <c r="Q85" s="2013"/>
      <c r="R85" s="2013"/>
      <c r="S85" s="2013"/>
      <c r="T85" s="2013"/>
      <c r="U85" s="2013"/>
      <c r="V85" s="2013"/>
    </row>
    <row r="86" spans="1:26" ht="13.5" thickBot="1">
      <c r="A86" s="386" t="s">
        <v>1826</v>
      </c>
      <c r="B86" s="387" t="s">
        <v>436</v>
      </c>
      <c r="C86" s="388">
        <f ca="1">IF(C85&lt;=0,0,ROUND(C85*D86,0))</f>
        <v>645</v>
      </c>
      <c r="D86" s="389">
        <f>'数据-取费表'!B41</f>
        <v>5.5000000000000007E-2</v>
      </c>
      <c r="E86" s="390"/>
      <c r="F86" s="42"/>
      <c r="G86" s="42"/>
      <c r="H86" s="1002"/>
      <c r="I86" s="311"/>
      <c r="J86" s="2013"/>
      <c r="K86" s="3291"/>
      <c r="L86" s="3011" t="s">
        <v>2872</v>
      </c>
      <c r="M86" s="3001">
        <f ca="1">N69*0.5%</f>
        <v>120.05</v>
      </c>
      <c r="N86" s="53">
        <f ca="1">IF(M86&gt;0.5,0.5,ROUND(M86,0))</f>
        <v>0.5</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291"/>
      <c r="L87" s="3011" t="s">
        <v>2874</v>
      </c>
      <c r="M87" s="3001">
        <f ca="1">IF(N69&gt;=10000,(8.25+(N69-10000)*0.01%),IF(AND(N69&gt;=8000,N69&lt;10000),(7.85+(N69-8000)*0.02%),IF(AND(N69&gt;=5000,N69&lt;8000),(6.65+(N69-5000)*0.04%),IF(AND(N69&gt;=2000,N69&lt;5000),(4.25+(PN69-2000)*0.08%),IF(AND(N69&gt;=1000,N69&lt;2000),(2.75+(N69-1000)*0.15%),IF(AND(N69&gt;=100,N69&lt;1000),(0.5+(N69-100)*0.25%),IF(AND(N69&gt;0,N69&lt;100),N69*0.5%)))))))</f>
        <v>9.6509999999999998</v>
      </c>
      <c r="N87" s="53">
        <f ca="1">ROUND(M87*0.9,1)</f>
        <v>8.6999999999999993</v>
      </c>
      <c r="O87" s="3004"/>
      <c r="P87" s="311"/>
      <c r="Q87" s="2013"/>
      <c r="R87" s="2013"/>
      <c r="S87" s="2013"/>
      <c r="T87" s="2013"/>
      <c r="U87" s="2013"/>
      <c r="V87" s="2013"/>
      <c r="W87" s="292"/>
      <c r="X87" s="292"/>
      <c r="Y87" s="292"/>
      <c r="Z87" s="292"/>
    </row>
    <row r="88" spans="1:26" s="1309" customFormat="1" ht="15" thickBot="1">
      <c r="A88" s="3330" t="s">
        <v>437</v>
      </c>
      <c r="B88" s="3331"/>
      <c r="C88" s="3331"/>
      <c r="D88" s="3331"/>
      <c r="E88" s="3331"/>
      <c r="F88" s="3331"/>
      <c r="G88" s="3331"/>
      <c r="H88" s="3331"/>
      <c r="I88" s="1310"/>
      <c r="J88" s="2021"/>
      <c r="K88" s="3291"/>
      <c r="L88" s="3011" t="s">
        <v>2875</v>
      </c>
      <c r="M88" s="3001">
        <f ca="1">IF(N69&gt;10000,N69*0.5%,IF(AND(N69&gt;5000,N69&lt;=10000),N69*1%,IF(AND(N69&gt;1000,N69&lt;=5000),N69*2%,IF(AND(N69&gt;200,N69&lt;=1000),N69*3%,N69*5%))))</f>
        <v>120.05</v>
      </c>
      <c r="N88" s="53">
        <f ca="1">ROUND(M88,1)</f>
        <v>120.1</v>
      </c>
      <c r="O88" s="3004"/>
      <c r="P88" s="11"/>
      <c r="Q88" s="2018"/>
      <c r="R88" s="2018"/>
      <c r="S88" s="2018"/>
      <c r="T88" s="2018"/>
      <c r="U88" s="2018"/>
      <c r="V88" s="2018"/>
      <c r="W88" s="2022"/>
      <c r="X88" s="2022"/>
      <c r="Y88" s="2022"/>
      <c r="Z88" s="2022"/>
    </row>
    <row r="89" spans="1:26" s="1309" customFormat="1" ht="14.25">
      <c r="A89" s="3289" t="s">
        <v>428</v>
      </c>
      <c r="B89" s="3290"/>
      <c r="C89" s="993"/>
      <c r="D89" s="993" t="s">
        <v>429</v>
      </c>
      <c r="E89" s="391" t="s">
        <v>438</v>
      </c>
      <c r="F89" s="392"/>
      <c r="G89" s="392"/>
      <c r="H89" s="393"/>
      <c r="I89" s="1311"/>
      <c r="J89" s="2023"/>
      <c r="K89" s="3291"/>
      <c r="L89" s="3011" t="s">
        <v>27</v>
      </c>
      <c r="M89" s="3002"/>
      <c r="N89" s="53">
        <f ca="1">ROUND(SUM(N83:N88),0)</f>
        <v>394</v>
      </c>
      <c r="O89" s="3012">
        <f ca="1">N89/N69</f>
        <v>1.6409829237817575E-2</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13720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2630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27" t="s">
        <v>447</v>
      </c>
      <c r="F94" s="3328"/>
      <c r="G94" s="3328"/>
      <c r="H94" s="332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69</v>
      </c>
      <c r="D96" s="406">
        <f>'数据-取费表'!B43</f>
        <v>5.000000000000001E-3</v>
      </c>
      <c r="E96" s="3286" t="s">
        <v>2422</v>
      </c>
      <c r="F96" s="3287"/>
      <c r="G96" s="3287"/>
      <c r="H96" s="328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11090</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4.2167300380228134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5734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0" t="s">
        <v>454</v>
      </c>
      <c r="B101" s="3331"/>
      <c r="C101" s="3331"/>
      <c r="D101" s="3331"/>
      <c r="E101" s="3331"/>
      <c r="F101" s="3331"/>
      <c r="G101" s="3331"/>
      <c r="H101" s="333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289" t="s">
        <v>428</v>
      </c>
      <c r="B102" s="3290"/>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13720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698</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2433</v>
      </c>
      <c r="I106" s="11" t="s">
        <v>2993</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39" t="s">
        <v>2995</v>
      </c>
      <c r="H108" s="3340"/>
      <c r="I108" s="3186" t="s">
        <v>2994</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20" t="s">
        <v>462</v>
      </c>
      <c r="F109" s="3287"/>
      <c r="G109" s="3287"/>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20" t="s">
        <v>464</v>
      </c>
      <c r="F110" s="3287"/>
      <c r="G110" s="3287"/>
      <c r="H110" s="3288"/>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69</v>
      </c>
      <c r="D111" s="406">
        <f>'数据-取费表'!B43</f>
        <v>5.000000000000001E-3</v>
      </c>
      <c r="E111" s="3286" t="s">
        <v>2422</v>
      </c>
      <c r="F111" s="3287"/>
      <c r="G111" s="3287"/>
      <c r="H111" s="3288"/>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20" t="s">
        <v>2447</v>
      </c>
      <c r="F112" s="3287"/>
      <c r="G112" s="3287"/>
      <c r="H112" s="3288"/>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13022</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18.656160458452721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7569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8" zoomScale="80" zoomScaleNormal="95" zoomScaleSheetLayoutView="80" workbookViewId="0">
      <selection activeCell="G51" sqref="G5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22043</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679</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1653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110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8" t="s">
        <v>522</v>
      </c>
      <c r="D6" s="3379"/>
      <c r="E6" s="3378" t="s">
        <v>523</v>
      </c>
      <c r="F6" s="3379"/>
      <c r="G6" s="3378" t="s">
        <v>524</v>
      </c>
      <c r="H6" s="3379"/>
      <c r="I6" s="3378" t="s">
        <v>525</v>
      </c>
      <c r="J6" s="3379"/>
      <c r="K6" s="514" t="s">
        <v>526</v>
      </c>
      <c r="L6" s="2118"/>
      <c r="M6" s="2117"/>
      <c r="N6" s="2117"/>
      <c r="O6" s="2119"/>
      <c r="P6" s="3380" t="s">
        <v>527</v>
      </c>
      <c r="Q6" s="3381"/>
      <c r="R6" s="3366" t="s">
        <v>523</v>
      </c>
      <c r="S6" s="3367"/>
      <c r="T6" s="3366" t="s">
        <v>524</v>
      </c>
      <c r="U6" s="3367"/>
      <c r="V6" s="3386" t="s">
        <v>525</v>
      </c>
      <c r="W6" s="3386"/>
      <c r="X6" s="1553"/>
      <c r="Y6" s="3366" t="s">
        <v>527</v>
      </c>
      <c r="Z6" s="3367"/>
      <c r="AA6" s="3361" t="s">
        <v>523</v>
      </c>
      <c r="AB6" s="3362" t="s">
        <v>524</v>
      </c>
      <c r="AC6" s="3361" t="s">
        <v>525</v>
      </c>
    </row>
    <row r="7" spans="1:30" ht="20.25">
      <c r="A7" s="515"/>
      <c r="B7" s="516"/>
      <c r="C7" s="3389" t="s">
        <v>2923</v>
      </c>
      <c r="D7" s="3390"/>
      <c r="E7" s="3389" t="str">
        <f>土地案例!A5</f>
        <v>安溪县参洋片区D-02-07地块</v>
      </c>
      <c r="F7" s="3390"/>
      <c r="G7" s="3389" t="str">
        <f>土地案例!A8</f>
        <v>安溪县参洋片区D-10-1地块</v>
      </c>
      <c r="H7" s="3390"/>
      <c r="I7" s="3389" t="str">
        <f>土地案例!A10</f>
        <v>350524-04-B-08地块</v>
      </c>
      <c r="J7" s="3390"/>
      <c r="K7" s="514"/>
      <c r="L7" s="2118"/>
      <c r="M7" s="2117"/>
      <c r="N7" s="2117"/>
      <c r="O7" s="2119"/>
      <c r="P7" s="3382"/>
      <c r="Q7" s="3383"/>
      <c r="R7" s="3368"/>
      <c r="S7" s="3369"/>
      <c r="T7" s="3368"/>
      <c r="U7" s="3369"/>
      <c r="V7" s="3386"/>
      <c r="W7" s="3386"/>
      <c r="X7" s="1553"/>
      <c r="Y7" s="3368"/>
      <c r="Z7" s="3369"/>
      <c r="AA7" s="3362"/>
      <c r="AB7" s="3362"/>
      <c r="AC7" s="3362"/>
    </row>
    <row r="8" spans="1:30" ht="21" thickBot="1">
      <c r="A8" s="515"/>
      <c r="B8" s="516"/>
      <c r="C8" s="3391" t="s">
        <v>2927</v>
      </c>
      <c r="D8" s="3392"/>
      <c r="E8" s="3391" t="s">
        <v>2927</v>
      </c>
      <c r="F8" s="3392"/>
      <c r="G8" s="3387" t="s">
        <v>2927</v>
      </c>
      <c r="H8" s="3388"/>
      <c r="I8" s="3387" t="s">
        <v>2927</v>
      </c>
      <c r="J8" s="3388"/>
      <c r="K8" s="514" t="s">
        <v>528</v>
      </c>
      <c r="L8" s="2118"/>
      <c r="M8" s="2117"/>
      <c r="N8" s="2117"/>
      <c r="O8" s="2119"/>
      <c r="P8" s="3384"/>
      <c r="Q8" s="3385"/>
      <c r="R8" s="3368"/>
      <c r="S8" s="3369"/>
      <c r="T8" s="3370"/>
      <c r="U8" s="3371"/>
      <c r="V8" s="3386"/>
      <c r="W8" s="3386"/>
      <c r="X8" s="1553"/>
      <c r="Y8" s="3370"/>
      <c r="Z8" s="3371"/>
      <c r="AA8" s="3363"/>
      <c r="AB8" s="3363"/>
      <c r="AC8" s="3363"/>
    </row>
    <row r="9" spans="1:30" s="1215" customFormat="1" ht="21" thickBot="1">
      <c r="A9" s="2867"/>
      <c r="B9" s="2874" t="s">
        <v>529</v>
      </c>
      <c r="C9" s="2866">
        <f>'数据-取费表'!B2</f>
        <v>44034</v>
      </c>
      <c r="D9" s="520">
        <v>100</v>
      </c>
      <c r="E9" s="521" t="str">
        <f>土地案例!J5</f>
        <v>2018-06-13</v>
      </c>
      <c r="F9" s="522">
        <f>SUMIF(72:72,YEAR(E9)&amp;"-"&amp;INT((MONTH(E9)+2)/3),73:73)</f>
        <v>91</v>
      </c>
      <c r="G9" s="523" t="str">
        <f>土地案例!J8</f>
        <v>2017-09-14</v>
      </c>
      <c r="H9" s="520">
        <f>SUMIF(72:72,YEAR(G9)&amp;"-"&amp;INT((MONTH(G9)+2)/3),73:73)</f>
        <v>88</v>
      </c>
      <c r="I9" s="523" t="str">
        <f>土地案例!J10</f>
        <v>2017-04-13</v>
      </c>
      <c r="J9" s="520">
        <f>SUMIF(72:72,YEAR(I9)&amp;"-"&amp;INT((MONTH(I9)+2)/3),73:73)</f>
        <v>87</v>
      </c>
      <c r="K9" s="524"/>
      <c r="L9" s="2120"/>
      <c r="M9" s="2117"/>
      <c r="N9" s="2117"/>
      <c r="O9" s="2121"/>
      <c r="P9" s="3364" t="s">
        <v>530</v>
      </c>
      <c r="Q9" s="3373"/>
      <c r="R9" s="1554" t="s">
        <v>8</v>
      </c>
      <c r="S9" s="1555">
        <f t="shared" ref="S9:S17" si="0">F9</f>
        <v>91</v>
      </c>
      <c r="T9" s="1554" t="s">
        <v>8</v>
      </c>
      <c r="U9" s="1555">
        <f t="shared" ref="U9:U17" si="1">H9</f>
        <v>88</v>
      </c>
      <c r="V9" s="1554" t="s">
        <v>8</v>
      </c>
      <c r="W9" s="1555">
        <f t="shared" ref="W9:W17" si="2">J9</f>
        <v>87</v>
      </c>
      <c r="X9" s="1556"/>
      <c r="Y9" s="3364" t="s">
        <v>530</v>
      </c>
      <c r="Z9" s="3365"/>
      <c r="AA9" s="1557">
        <f>D9/F9</f>
        <v>1.098901098901099</v>
      </c>
      <c r="AB9" s="1557">
        <f>D9/H9</f>
        <v>1.1363636363636365</v>
      </c>
      <c r="AC9" s="1557">
        <f>D9/J9</f>
        <v>1.1494252873563218</v>
      </c>
    </row>
    <row r="10" spans="1:30" s="1215" customFormat="1" ht="21" thickBot="1">
      <c r="A10" s="2868"/>
      <c r="B10" s="2875" t="s">
        <v>531</v>
      </c>
      <c r="C10" s="856" t="s">
        <v>532</v>
      </c>
      <c r="D10" s="520">
        <v>100</v>
      </c>
      <c r="E10" s="3498" t="s">
        <v>3121</v>
      </c>
      <c r="F10" s="522">
        <f>SUMIF(75:75,E10,76:76)-SUMIF(75:75,C10,76:76)+100</f>
        <v>100</v>
      </c>
      <c r="G10" s="3498" t="s">
        <v>3121</v>
      </c>
      <c r="H10" s="520">
        <f>SUMIF(75:75,G10,76:76)-SUMIF(75:75,C10,76:76)+100</f>
        <v>100</v>
      </c>
      <c r="I10" s="3498" t="s">
        <v>3122</v>
      </c>
      <c r="J10" s="520">
        <f>SUMIF(75:75,I10,76:76)-SUMIF(75:75,C10,76:76)+100</f>
        <v>100</v>
      </c>
      <c r="K10" s="524"/>
      <c r="L10" s="2120"/>
      <c r="M10" s="2117"/>
      <c r="N10" s="2117"/>
      <c r="O10" s="2121"/>
      <c r="P10" s="3364" t="s">
        <v>533</v>
      </c>
      <c r="Q10" s="3365"/>
      <c r="R10" s="1554" t="s">
        <v>8</v>
      </c>
      <c r="S10" s="1555">
        <f t="shared" si="0"/>
        <v>100</v>
      </c>
      <c r="T10" s="1554" t="s">
        <v>8</v>
      </c>
      <c r="U10" s="1555">
        <f t="shared" si="1"/>
        <v>100</v>
      </c>
      <c r="V10" s="1554" t="s">
        <v>8</v>
      </c>
      <c r="W10" s="1555">
        <f t="shared" si="2"/>
        <v>100</v>
      </c>
      <c r="X10" s="1556"/>
      <c r="Y10" s="3364" t="s">
        <v>533</v>
      </c>
      <c r="Z10" s="3365"/>
      <c r="AA10" s="1557">
        <f t="shared" ref="AA10:AA47" si="3">D10/F10</f>
        <v>1</v>
      </c>
      <c r="AB10" s="1557">
        <f t="shared" ref="AB10:AB47" si="4">D10/H10</f>
        <v>1</v>
      </c>
      <c r="AC10" s="1557">
        <f t="shared" ref="AC10:AC47" si="5">D10/J10</f>
        <v>1</v>
      </c>
    </row>
    <row r="11" spans="1:30" s="1215" customFormat="1" ht="20.25">
      <c r="A11" s="2869"/>
      <c r="B11" s="2876" t="s">
        <v>2749</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2" t="s">
        <v>535</v>
      </c>
      <c r="Q11" s="1146" t="str">
        <f t="shared" ref="Q11:Q17" si="6">B11</f>
        <v>用途</v>
      </c>
      <c r="R11" s="1554" t="s">
        <v>8</v>
      </c>
      <c r="S11" s="1555">
        <f t="shared" si="0"/>
        <v>100</v>
      </c>
      <c r="T11" s="1554" t="s">
        <v>8</v>
      </c>
      <c r="U11" s="1555">
        <f t="shared" si="1"/>
        <v>100</v>
      </c>
      <c r="V11" s="1554" t="s">
        <v>8</v>
      </c>
      <c r="W11" s="1555">
        <f t="shared" si="2"/>
        <v>100</v>
      </c>
      <c r="X11" s="1556"/>
      <c r="Y11" s="3326" t="s">
        <v>536</v>
      </c>
      <c r="Z11" s="1145" t="str">
        <f t="shared" ref="Z11:Z17" si="7">Q11</f>
        <v>用途</v>
      </c>
      <c r="AA11" s="1557">
        <f t="shared" si="3"/>
        <v>1</v>
      </c>
      <c r="AB11" s="1557">
        <f t="shared" si="4"/>
        <v>1</v>
      </c>
      <c r="AC11" s="1557">
        <f t="shared" si="5"/>
        <v>1</v>
      </c>
    </row>
    <row r="12" spans="1:30" s="1333" customFormat="1" ht="27">
      <c r="A12" s="2870"/>
      <c r="B12" s="2875" t="s">
        <v>2750</v>
      </c>
      <c r="C12" s="910"/>
      <c r="D12" s="255">
        <v>100</v>
      </c>
      <c r="E12" s="529"/>
      <c r="F12" s="255">
        <f>ROUND(100/'数据-取费表'!G16,0)</f>
        <v>104</v>
      </c>
      <c r="G12" s="530"/>
      <c r="H12" s="255">
        <f>ROUND(100/'数据-取费表'!G16,0)</f>
        <v>104</v>
      </c>
      <c r="I12" s="530"/>
      <c r="J12" s="255">
        <f>ROUND(100/'数据-取费表'!G16,0)</f>
        <v>104</v>
      </c>
      <c r="K12" s="531"/>
      <c r="L12" s="2123"/>
      <c r="M12" s="2117"/>
      <c r="N12" s="2117"/>
      <c r="O12" s="2124"/>
      <c r="P12" s="3372"/>
      <c r="Q12" s="1146" t="str">
        <f t="shared" si="6"/>
        <v>土地使用年限（年）</v>
      </c>
      <c r="R12" s="1554" t="s">
        <v>8</v>
      </c>
      <c r="S12" s="1555">
        <f t="shared" si="0"/>
        <v>104</v>
      </c>
      <c r="T12" s="1554" t="s">
        <v>8</v>
      </c>
      <c r="U12" s="1555">
        <f t="shared" si="1"/>
        <v>104</v>
      </c>
      <c r="V12" s="1554" t="s">
        <v>8</v>
      </c>
      <c r="W12" s="1555">
        <f t="shared" si="2"/>
        <v>104</v>
      </c>
      <c r="X12" s="1556"/>
      <c r="Y12" s="3326"/>
      <c r="Z12" s="1145" t="str">
        <f t="shared" si="7"/>
        <v>土地使用年限（年）</v>
      </c>
      <c r="AA12" s="1557">
        <f t="shared" si="3"/>
        <v>0.96153846153846156</v>
      </c>
      <c r="AB12" s="1557">
        <f t="shared" si="4"/>
        <v>0.96153846153846156</v>
      </c>
      <c r="AC12" s="1557">
        <f t="shared" si="5"/>
        <v>0.96153846153846156</v>
      </c>
    </row>
    <row r="13" spans="1:30" ht="20.25">
      <c r="A13" s="2871"/>
      <c r="B13" s="2875" t="s">
        <v>2751</v>
      </c>
      <c r="C13" s="534">
        <f>'数据-汇总表'!I7</f>
        <v>2</v>
      </c>
      <c r="D13" s="255">
        <v>100</v>
      </c>
      <c r="E13" s="533">
        <v>4</v>
      </c>
      <c r="F13" s="255">
        <f>LOOKUP(E13,82:82,83:83)-LOOKUP(C13,82:82,83:83)+100</f>
        <v>98</v>
      </c>
      <c r="G13" s="534">
        <v>2.1</v>
      </c>
      <c r="H13" s="255">
        <f>LOOKUP(G13,82:82,83:83)-LOOKUP(C13,82:82,83:83)+100</f>
        <v>100</v>
      </c>
      <c r="I13" s="533">
        <v>1.5</v>
      </c>
      <c r="J13" s="255">
        <f>LOOKUP(I13,82:82,83:83)-LOOKUP(C13,82:82,83:83)+100</f>
        <v>101</v>
      </c>
      <c r="K13" s="535">
        <v>1</v>
      </c>
      <c r="L13" s="2125"/>
      <c r="M13" s="2117"/>
      <c r="N13" s="2117"/>
      <c r="O13" s="2126"/>
      <c r="P13" s="3372"/>
      <c r="Q13" s="1146" t="str">
        <f t="shared" si="6"/>
        <v>容积率</v>
      </c>
      <c r="R13" s="1554" t="s">
        <v>8</v>
      </c>
      <c r="S13" s="1555">
        <f t="shared" si="0"/>
        <v>98</v>
      </c>
      <c r="T13" s="1554" t="s">
        <v>8</v>
      </c>
      <c r="U13" s="1555">
        <f t="shared" si="1"/>
        <v>100</v>
      </c>
      <c r="V13" s="1554" t="s">
        <v>8</v>
      </c>
      <c r="W13" s="1555">
        <f t="shared" si="2"/>
        <v>101</v>
      </c>
      <c r="X13" s="1556"/>
      <c r="Y13" s="3326"/>
      <c r="Z13" s="1145" t="str">
        <f t="shared" si="7"/>
        <v>容积率</v>
      </c>
      <c r="AA13" s="1557">
        <f t="shared" si="3"/>
        <v>1.0204081632653061</v>
      </c>
      <c r="AB13" s="1557">
        <f t="shared" si="4"/>
        <v>1</v>
      </c>
      <c r="AC13" s="1557">
        <f t="shared" si="5"/>
        <v>0.99009900990099009</v>
      </c>
    </row>
    <row r="14" spans="1:30" s="1215" customFormat="1" ht="20.25">
      <c r="A14" s="2868"/>
      <c r="B14" s="2877" t="s">
        <v>2752</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2"/>
      <c r="Q14" s="1146" t="str">
        <f t="shared" si="6"/>
        <v>配建</v>
      </c>
      <c r="R14" s="1554" t="s">
        <v>8</v>
      </c>
      <c r="S14" s="1555">
        <f t="shared" si="0"/>
        <v>100</v>
      </c>
      <c r="T14" s="1554" t="s">
        <v>8</v>
      </c>
      <c r="U14" s="1555">
        <f t="shared" si="1"/>
        <v>100</v>
      </c>
      <c r="V14" s="1554" t="s">
        <v>8</v>
      </c>
      <c r="W14" s="1555">
        <f t="shared" si="2"/>
        <v>100</v>
      </c>
      <c r="X14" s="1556"/>
      <c r="Y14" s="3326"/>
      <c r="Z14" s="1145" t="str">
        <f t="shared" si="7"/>
        <v>配建</v>
      </c>
      <c r="AA14" s="1557">
        <f>D14/F14</f>
        <v>1</v>
      </c>
      <c r="AB14" s="1557">
        <f>D14/H14</f>
        <v>1</v>
      </c>
      <c r="AC14" s="1557">
        <f>D14/J14</f>
        <v>1</v>
      </c>
    </row>
    <row r="15" spans="1:30" ht="20.25">
      <c r="A15" s="2872"/>
      <c r="B15" s="3508" t="s">
        <v>3128</v>
      </c>
      <c r="C15" s="912" t="s">
        <v>3129</v>
      </c>
      <c r="D15" s="540">
        <v>100</v>
      </c>
      <c r="E15" s="541" t="s">
        <v>3133</v>
      </c>
      <c r="F15" s="255">
        <f>SUMIF(86:86,E15,87:87)-SUMIF(86:86,C15,87:87)+100</f>
        <v>120</v>
      </c>
      <c r="G15" s="542" t="s">
        <v>3129</v>
      </c>
      <c r="H15" s="540">
        <f>SUMIF(86:86,G15,87:87)-SUMIF(86:86,C15,87:87)+100</f>
        <v>100</v>
      </c>
      <c r="I15" s="542" t="s">
        <v>3129</v>
      </c>
      <c r="J15" s="540">
        <f>SUMIF(86:86,I15,87:87)-SUMIF(86:86,C15,87:87)+100</f>
        <v>100</v>
      </c>
      <c r="K15" s="531"/>
      <c r="L15" s="2127"/>
      <c r="M15" s="2117"/>
      <c r="N15" s="2117"/>
      <c r="O15" s="2126"/>
      <c r="P15" s="3372"/>
      <c r="Q15" s="1146" t="str">
        <f t="shared" si="6"/>
        <v>溢价率</v>
      </c>
      <c r="R15" s="1554" t="s">
        <v>8</v>
      </c>
      <c r="S15" s="1555">
        <f t="shared" si="0"/>
        <v>120</v>
      </c>
      <c r="T15" s="1554" t="s">
        <v>8</v>
      </c>
      <c r="U15" s="1555">
        <f t="shared" si="1"/>
        <v>100</v>
      </c>
      <c r="V15" s="1554" t="s">
        <v>8</v>
      </c>
      <c r="W15" s="1555">
        <f t="shared" si="2"/>
        <v>100</v>
      </c>
      <c r="X15" s="1556"/>
      <c r="Y15" s="3326"/>
      <c r="Z15" s="1145" t="str">
        <f t="shared" si="7"/>
        <v>溢价率</v>
      </c>
      <c r="AA15" s="1557">
        <f>D15/F15</f>
        <v>0.83333333333333337</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2"/>
      <c r="Q16" s="1146">
        <f t="shared" si="6"/>
        <v>111</v>
      </c>
      <c r="R16" s="1554" t="s">
        <v>8</v>
      </c>
      <c r="S16" s="1555">
        <f t="shared" si="0"/>
        <v>100</v>
      </c>
      <c r="T16" s="1554" t="s">
        <v>8</v>
      </c>
      <c r="U16" s="1555">
        <f t="shared" si="1"/>
        <v>100</v>
      </c>
      <c r="V16" s="1554" t="s">
        <v>8</v>
      </c>
      <c r="W16" s="1555">
        <f t="shared" si="2"/>
        <v>100</v>
      </c>
      <c r="X16" s="1556"/>
      <c r="Y16" s="3326"/>
      <c r="Z16" s="1145">
        <f t="shared" si="7"/>
        <v>111</v>
      </c>
      <c r="AA16" s="1557">
        <f>D16/F16</f>
        <v>1</v>
      </c>
      <c r="AB16" s="1557">
        <f>D16/H16</f>
        <v>1</v>
      </c>
      <c r="AC16" s="1557">
        <f>D16/J16</f>
        <v>1</v>
      </c>
    </row>
    <row r="17" spans="1:29" ht="99.75" hidden="1">
      <c r="A17" s="2865"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74" t="s">
        <v>540</v>
      </c>
      <c r="Q17" s="1558" t="str">
        <f t="shared" si="6"/>
        <v>居住社区成熟度</v>
      </c>
      <c r="R17" s="1559" t="s">
        <v>8</v>
      </c>
      <c r="S17" s="1560">
        <f t="shared" si="0"/>
        <v>100</v>
      </c>
      <c r="T17" s="1559" t="s">
        <v>8</v>
      </c>
      <c r="U17" s="1560">
        <f t="shared" si="1"/>
        <v>100</v>
      </c>
      <c r="V17" s="1559" t="s">
        <v>8</v>
      </c>
      <c r="W17" s="1560">
        <f t="shared" si="2"/>
        <v>100</v>
      </c>
      <c r="X17" s="1553"/>
      <c r="Y17" s="3374" t="s">
        <v>540</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7"/>
      <c r="M18" s="2117"/>
      <c r="N18" s="2117"/>
      <c r="O18" s="2126"/>
      <c r="P18" s="3375"/>
      <c r="Q18" s="1558"/>
      <c r="R18" s="1559"/>
      <c r="S18" s="1560"/>
      <c r="T18" s="1559"/>
      <c r="U18" s="1560"/>
      <c r="V18" s="1559"/>
      <c r="W18" s="1560"/>
      <c r="X18" s="1553"/>
      <c r="Y18" s="3375"/>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75"/>
      <c r="Q19" s="1558" t="str">
        <f>B19</f>
        <v>商业繁华度</v>
      </c>
      <c r="R19" s="1559" t="s">
        <v>8</v>
      </c>
      <c r="S19" s="1560">
        <f>F19</f>
        <v>100</v>
      </c>
      <c r="T19" s="1559" t="s">
        <v>8</v>
      </c>
      <c r="U19" s="1560">
        <f>H19</f>
        <v>100</v>
      </c>
      <c r="V19" s="1559" t="s">
        <v>8</v>
      </c>
      <c r="W19" s="1560">
        <f>J19</f>
        <v>100</v>
      </c>
      <c r="X19" s="1553"/>
      <c r="Y19" s="3375"/>
      <c r="Z19" s="1561" t="str">
        <f>Q19</f>
        <v>商业繁华度</v>
      </c>
      <c r="AA19" s="1562">
        <f t="shared" si="3"/>
        <v>1</v>
      </c>
      <c r="AB19" s="1562">
        <f t="shared" si="4"/>
        <v>1</v>
      </c>
      <c r="AC19" s="1562">
        <f t="shared" si="5"/>
        <v>1</v>
      </c>
    </row>
    <row r="20" spans="1:29" ht="20.25">
      <c r="A20" s="532"/>
      <c r="B20" s="566"/>
      <c r="C20" s="3499" t="s">
        <v>3123</v>
      </c>
      <c r="D20" s="563"/>
      <c r="E20" s="3500" t="s">
        <v>3123</v>
      </c>
      <c r="F20" s="559"/>
      <c r="G20" s="3501" t="s">
        <v>3124</v>
      </c>
      <c r="H20" s="555"/>
      <c r="I20" s="3500" t="s">
        <v>3123</v>
      </c>
      <c r="J20" s="555"/>
      <c r="K20" s="531"/>
      <c r="L20" s="2127"/>
      <c r="M20" s="2117"/>
      <c r="N20" s="2117"/>
      <c r="O20" s="2126"/>
      <c r="P20" s="3375"/>
      <c r="Q20" s="1558"/>
      <c r="R20" s="1559"/>
      <c r="S20" s="1560"/>
      <c r="T20" s="1559"/>
      <c r="U20" s="1560"/>
      <c r="V20" s="1559"/>
      <c r="W20" s="1560"/>
      <c r="X20" s="1553"/>
      <c r="Y20" s="3375"/>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75"/>
      <c r="Q21" s="1558" t="str">
        <f>B21</f>
        <v>办公集聚程度</v>
      </c>
      <c r="R21" s="1559" t="s">
        <v>8</v>
      </c>
      <c r="S21" s="1560">
        <f>F21</f>
        <v>100</v>
      </c>
      <c r="T21" s="1559" t="s">
        <v>8</v>
      </c>
      <c r="U21" s="1560">
        <f>H21</f>
        <v>100</v>
      </c>
      <c r="V21" s="1559" t="s">
        <v>8</v>
      </c>
      <c r="W21" s="1560">
        <f>J21</f>
        <v>100</v>
      </c>
      <c r="X21" s="1553"/>
      <c r="Y21" s="3375"/>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375"/>
      <c r="Q22" s="1558"/>
      <c r="R22" s="1559"/>
      <c r="S22" s="1560"/>
      <c r="T22" s="1559"/>
      <c r="U22" s="1560"/>
      <c r="V22" s="1559"/>
      <c r="W22" s="1560"/>
      <c r="X22" s="1553"/>
      <c r="Y22" s="3375"/>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375"/>
      <c r="Q23" s="1558" t="str">
        <f>B23</f>
        <v>交通便捷度</v>
      </c>
      <c r="R23" s="1559" t="s">
        <v>8</v>
      </c>
      <c r="S23" s="1560">
        <f>F23</f>
        <v>100</v>
      </c>
      <c r="T23" s="1559" t="s">
        <v>8</v>
      </c>
      <c r="U23" s="1560">
        <f>H23</f>
        <v>100</v>
      </c>
      <c r="V23" s="1559" t="s">
        <v>8</v>
      </c>
      <c r="W23" s="1560">
        <f>J23</f>
        <v>100</v>
      </c>
      <c r="X23" s="1553"/>
      <c r="Y23" s="3375"/>
      <c r="Z23" s="1561" t="str">
        <f>Q23</f>
        <v>交通便捷度</v>
      </c>
      <c r="AA23" s="1562">
        <f t="shared" si="3"/>
        <v>1</v>
      </c>
      <c r="AB23" s="1562">
        <f t="shared" si="4"/>
        <v>1</v>
      </c>
      <c r="AC23" s="1562">
        <f t="shared" si="5"/>
        <v>1</v>
      </c>
    </row>
    <row r="24" spans="1:29" ht="20.25">
      <c r="A24" s="532"/>
      <c r="B24" s="578"/>
      <c r="C24" s="3502" t="s">
        <v>3123</v>
      </c>
      <c r="D24" s="557"/>
      <c r="E24" s="3503" t="s">
        <v>3124</v>
      </c>
      <c r="F24" s="555"/>
      <c r="G24" s="3504" t="s">
        <v>3124</v>
      </c>
      <c r="H24" s="555"/>
      <c r="I24" s="3503" t="s">
        <v>3123</v>
      </c>
      <c r="J24" s="555"/>
      <c r="K24" s="531"/>
      <c r="L24" s="2127"/>
      <c r="M24" s="2117"/>
      <c r="N24" s="2117"/>
      <c r="O24" s="2126"/>
      <c r="P24" s="3375"/>
      <c r="Q24" s="1558"/>
      <c r="R24" s="1559"/>
      <c r="S24" s="1560"/>
      <c r="T24" s="1559"/>
      <c r="U24" s="1560"/>
      <c r="V24" s="1559"/>
      <c r="W24" s="1560"/>
      <c r="X24" s="1553"/>
      <c r="Y24" s="3375"/>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375"/>
      <c r="Q25" s="1558" t="str">
        <f t="shared" ref="Q25:Q39" si="8">B25</f>
        <v>区域土地利用方向</v>
      </c>
      <c r="R25" s="1559" t="s">
        <v>8</v>
      </c>
      <c r="S25" s="1560">
        <f>F25</f>
        <v>100</v>
      </c>
      <c r="T25" s="1559" t="s">
        <v>8</v>
      </c>
      <c r="U25" s="1560">
        <f>H25</f>
        <v>100</v>
      </c>
      <c r="V25" s="1559" t="s">
        <v>8</v>
      </c>
      <c r="W25" s="1560">
        <f>J25</f>
        <v>100</v>
      </c>
      <c r="X25" s="1553"/>
      <c r="Y25" s="3375"/>
      <c r="Z25" s="1561" t="str">
        <f>Q25</f>
        <v>区域土地利用方向</v>
      </c>
      <c r="AA25" s="1562">
        <f t="shared" si="3"/>
        <v>1</v>
      </c>
      <c r="AB25" s="1562">
        <f t="shared" si="4"/>
        <v>1</v>
      </c>
      <c r="AC25" s="1562">
        <f t="shared" si="5"/>
        <v>1</v>
      </c>
    </row>
    <row r="26" spans="1:29" ht="20.25">
      <c r="A26" s="515"/>
      <c r="B26" s="1006"/>
      <c r="C26" s="3502" t="s">
        <v>3123</v>
      </c>
      <c r="D26" s="557"/>
      <c r="E26" s="3503" t="s">
        <v>3123</v>
      </c>
      <c r="F26" s="555"/>
      <c r="G26" s="3504" t="s">
        <v>3123</v>
      </c>
      <c r="H26" s="555"/>
      <c r="I26" s="3503" t="s">
        <v>3123</v>
      </c>
      <c r="J26" s="555"/>
      <c r="K26" s="531"/>
      <c r="L26" s="2127"/>
      <c r="M26" s="2117"/>
      <c r="N26" s="2117"/>
      <c r="O26" s="2126"/>
      <c r="P26" s="3375"/>
      <c r="Q26" s="1558"/>
      <c r="R26" s="1559"/>
      <c r="S26" s="1560"/>
      <c r="T26" s="1559"/>
      <c r="U26" s="1560"/>
      <c r="V26" s="1559"/>
      <c r="W26" s="1560"/>
      <c r="X26" s="1553"/>
      <c r="Y26" s="3375"/>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75"/>
      <c r="Q27" s="1558" t="str">
        <f t="shared" si="8"/>
        <v>自然及人文环境状况</v>
      </c>
      <c r="R27" s="1559" t="s">
        <v>8</v>
      </c>
      <c r="S27" s="1560">
        <f>F27</f>
        <v>100</v>
      </c>
      <c r="T27" s="1559" t="s">
        <v>8</v>
      </c>
      <c r="U27" s="1560">
        <f>H27</f>
        <v>100</v>
      </c>
      <c r="V27" s="1559" t="s">
        <v>8</v>
      </c>
      <c r="W27" s="1560">
        <f>J27</f>
        <v>100</v>
      </c>
      <c r="X27" s="1553"/>
      <c r="Y27" s="3375"/>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75"/>
      <c r="Q28" s="1558"/>
      <c r="R28" s="1559"/>
      <c r="S28" s="1560"/>
      <c r="T28" s="1559"/>
      <c r="U28" s="1560"/>
      <c r="V28" s="1559"/>
      <c r="W28" s="1560"/>
      <c r="X28" s="1553"/>
      <c r="Y28" s="3375"/>
      <c r="Z28" s="1561"/>
      <c r="AA28" s="1562">
        <v>1</v>
      </c>
      <c r="AB28" s="1562">
        <v>1</v>
      </c>
      <c r="AC28" s="1562">
        <v>1</v>
      </c>
    </row>
    <row r="29" spans="1:29" s="1215" customFormat="1" ht="42.75">
      <c r="A29" s="577"/>
      <c r="B29" s="2555" t="s">
        <v>2542</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75"/>
      <c r="Q29" s="1146" t="str">
        <f t="shared" si="8"/>
        <v>公共配套设施</v>
      </c>
      <c r="R29" s="1554" t="s">
        <v>8</v>
      </c>
      <c r="S29" s="1555">
        <f>F29</f>
        <v>100</v>
      </c>
      <c r="T29" s="1554" t="s">
        <v>8</v>
      </c>
      <c r="U29" s="1555">
        <f>H29</f>
        <v>100</v>
      </c>
      <c r="V29" s="1554" t="s">
        <v>8</v>
      </c>
      <c r="W29" s="1555">
        <f>J29</f>
        <v>100</v>
      </c>
      <c r="X29" s="1556"/>
      <c r="Y29" s="3375"/>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375"/>
      <c r="Q30" s="1146"/>
      <c r="R30" s="1554"/>
      <c r="S30" s="1555"/>
      <c r="T30" s="1554"/>
      <c r="U30" s="1555"/>
      <c r="V30" s="1554"/>
      <c r="W30" s="1555"/>
      <c r="X30" s="1556"/>
      <c r="Y30" s="3375"/>
      <c r="Z30" s="1145"/>
      <c r="AA30" s="1562">
        <v>1</v>
      </c>
      <c r="AB30" s="1562">
        <v>1</v>
      </c>
      <c r="AC30" s="1562">
        <v>1</v>
      </c>
    </row>
    <row r="31" spans="1:29" s="1215" customFormat="1" ht="28.5">
      <c r="A31" s="577"/>
      <c r="B31" s="2555"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75"/>
      <c r="Q31" s="2542" t="str">
        <f t="shared" ref="Q31" si="9">B31</f>
        <v>基础设施水平</v>
      </c>
      <c r="R31" s="1554" t="s">
        <v>8</v>
      </c>
      <c r="S31" s="1555">
        <f>F31</f>
        <v>100</v>
      </c>
      <c r="T31" s="1554" t="s">
        <v>8</v>
      </c>
      <c r="U31" s="1555">
        <f>H31</f>
        <v>100</v>
      </c>
      <c r="V31" s="1554" t="s">
        <v>8</v>
      </c>
      <c r="W31" s="1555">
        <f>J31</f>
        <v>100</v>
      </c>
      <c r="X31" s="1556"/>
      <c r="Y31" s="3375"/>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375"/>
      <c r="Q32" s="2542"/>
      <c r="R32" s="1554"/>
      <c r="S32" s="1555"/>
      <c r="T32" s="1554"/>
      <c r="U32" s="1555"/>
      <c r="V32" s="1554"/>
      <c r="W32" s="1555"/>
      <c r="X32" s="1556"/>
      <c r="Y32" s="3375"/>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7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75"/>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75"/>
      <c r="Q34" s="1558" t="str">
        <f t="shared" si="8"/>
        <v>毗邻道路的类型与等级</v>
      </c>
      <c r="R34" s="1559" t="s">
        <v>8</v>
      </c>
      <c r="S34" s="1560">
        <f t="shared" si="10"/>
        <v>100</v>
      </c>
      <c r="T34" s="1559" t="s">
        <v>8</v>
      </c>
      <c r="U34" s="1560">
        <f t="shared" si="11"/>
        <v>100</v>
      </c>
      <c r="V34" s="1559" t="s">
        <v>8</v>
      </c>
      <c r="W34" s="1560">
        <f t="shared" si="12"/>
        <v>100</v>
      </c>
      <c r="X34" s="1553"/>
      <c r="Y34" s="3375"/>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75"/>
      <c r="Q35" s="1558"/>
      <c r="R35" s="1559"/>
      <c r="S35" s="1560"/>
      <c r="T35" s="1559"/>
      <c r="U35" s="1560"/>
      <c r="V35" s="1559"/>
      <c r="W35" s="1560"/>
      <c r="X35" s="1553"/>
      <c r="Y35" s="3375"/>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75"/>
      <c r="Q36" s="1558" t="str">
        <f t="shared" si="8"/>
        <v>土地级别</v>
      </c>
      <c r="R36" s="1559" t="s">
        <v>8</v>
      </c>
      <c r="S36" s="1560">
        <f t="shared" si="10"/>
        <v>100</v>
      </c>
      <c r="T36" s="1559" t="s">
        <v>8</v>
      </c>
      <c r="U36" s="1560">
        <f t="shared" si="11"/>
        <v>100</v>
      </c>
      <c r="V36" s="1559" t="s">
        <v>8</v>
      </c>
      <c r="W36" s="1560">
        <f t="shared" si="12"/>
        <v>100</v>
      </c>
      <c r="X36" s="1553"/>
      <c r="Y36" s="3375"/>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75"/>
      <c r="Q37" s="1558">
        <f t="shared" si="8"/>
        <v>111</v>
      </c>
      <c r="R37" s="1559" t="s">
        <v>8</v>
      </c>
      <c r="S37" s="1560">
        <f t="shared" si="10"/>
        <v>100</v>
      </c>
      <c r="T37" s="1559" t="s">
        <v>8</v>
      </c>
      <c r="U37" s="1560">
        <f t="shared" si="11"/>
        <v>100</v>
      </c>
      <c r="V37" s="1559" t="s">
        <v>8</v>
      </c>
      <c r="W37" s="1560">
        <f t="shared" si="12"/>
        <v>100</v>
      </c>
      <c r="X37" s="1553"/>
      <c r="Y37" s="3375"/>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76" t="s">
        <v>550</v>
      </c>
      <c r="Q38" s="1558">
        <f t="shared" si="8"/>
        <v>111</v>
      </c>
      <c r="R38" s="1559" t="s">
        <v>8</v>
      </c>
      <c r="S38" s="1560">
        <f t="shared" si="10"/>
        <v>100</v>
      </c>
      <c r="T38" s="1559" t="s">
        <v>8</v>
      </c>
      <c r="U38" s="1560">
        <f t="shared" si="11"/>
        <v>100</v>
      </c>
      <c r="V38" s="1559" t="s">
        <v>8</v>
      </c>
      <c r="W38" s="1560">
        <f t="shared" si="12"/>
        <v>100</v>
      </c>
      <c r="X38" s="1553"/>
      <c r="Y38" s="3377"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77"/>
      <c r="Q39" s="1558">
        <f t="shared" si="8"/>
        <v>111</v>
      </c>
      <c r="R39" s="1563" t="s">
        <v>8</v>
      </c>
      <c r="S39" s="1564">
        <f t="shared" si="10"/>
        <v>100</v>
      </c>
      <c r="T39" s="1563" t="s">
        <v>8</v>
      </c>
      <c r="U39" s="1564">
        <f t="shared" si="11"/>
        <v>100</v>
      </c>
      <c r="V39" s="1563" t="s">
        <v>8</v>
      </c>
      <c r="W39" s="1564">
        <f t="shared" si="12"/>
        <v>100</v>
      </c>
      <c r="X39" s="1565"/>
      <c r="Y39" s="3377"/>
      <c r="Z39" s="1566">
        <f t="shared" si="13"/>
        <v>111</v>
      </c>
      <c r="AA39" s="1562">
        <f t="shared" si="3"/>
        <v>1</v>
      </c>
      <c r="AB39" s="1562">
        <f t="shared" si="4"/>
        <v>1</v>
      </c>
      <c r="AC39" s="1562">
        <f t="shared" si="5"/>
        <v>1</v>
      </c>
    </row>
    <row r="40" spans="1:29" ht="20.25">
      <c r="A40" s="2862" t="s">
        <v>2748</v>
      </c>
      <c r="B40" s="595" t="s">
        <v>552</v>
      </c>
      <c r="C40" s="596">
        <f>'数据-基础表'!A3</f>
        <v>133327.24</v>
      </c>
      <c r="D40" s="597">
        <v>100</v>
      </c>
      <c r="E40" s="596">
        <f>土地案例!D5</f>
        <v>8776</v>
      </c>
      <c r="F40" s="597">
        <f>LOOKUP(E40,119:119,120:120)-LOOKUP(C40,119:119,120:120)+100</f>
        <v>98</v>
      </c>
      <c r="G40" s="596">
        <f>土地案例!D8</f>
        <v>6335</v>
      </c>
      <c r="H40" s="597">
        <f>LOOKUP(G40,119:119,120:120)-LOOKUP(C40,119:119,120:120)+100</f>
        <v>98</v>
      </c>
      <c r="I40" s="598">
        <f>土地案例!D10</f>
        <v>18757.060000000001</v>
      </c>
      <c r="J40" s="597">
        <f>LOOKUP(I40,119:119,120:120)-LOOKUP(C40,119:119,120:120)+100</f>
        <v>98</v>
      </c>
      <c r="K40" s="581"/>
      <c r="L40" s="2127"/>
      <c r="M40" s="2117"/>
      <c r="N40" s="2117"/>
      <c r="O40" s="2126"/>
      <c r="P40" s="3377"/>
      <c r="Q40" s="1558" t="str">
        <f>B40</f>
        <v>宗地面积</v>
      </c>
      <c r="R40" s="1559" t="s">
        <v>8</v>
      </c>
      <c r="S40" s="1560">
        <f t="shared" si="10"/>
        <v>98</v>
      </c>
      <c r="T40" s="1559" t="s">
        <v>8</v>
      </c>
      <c r="U40" s="1560">
        <f t="shared" si="11"/>
        <v>98</v>
      </c>
      <c r="V40" s="1559" t="s">
        <v>8</v>
      </c>
      <c r="W40" s="1560">
        <f t="shared" si="12"/>
        <v>98</v>
      </c>
      <c r="X40" s="1553"/>
      <c r="Y40" s="3377"/>
      <c r="Z40" s="1561" t="str">
        <f t="shared" si="13"/>
        <v>宗地面积</v>
      </c>
      <c r="AA40" s="1562">
        <f t="shared" si="3"/>
        <v>1.0204081632653061</v>
      </c>
      <c r="AB40" s="1562">
        <f t="shared" si="4"/>
        <v>1.0204081632653061</v>
      </c>
      <c r="AC40" s="1562">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77"/>
      <c r="Q41" s="1558" t="str">
        <f t="shared" ref="Q41:Q47" si="14">B41</f>
        <v>宗地形状</v>
      </c>
      <c r="R41" s="1559" t="s">
        <v>8</v>
      </c>
      <c r="S41" s="1560">
        <f t="shared" si="10"/>
        <v>100</v>
      </c>
      <c r="T41" s="1559" t="s">
        <v>8</v>
      </c>
      <c r="U41" s="1560">
        <f t="shared" si="11"/>
        <v>100</v>
      </c>
      <c r="V41" s="1559" t="s">
        <v>8</v>
      </c>
      <c r="W41" s="1560">
        <f t="shared" si="12"/>
        <v>100</v>
      </c>
      <c r="X41" s="1553"/>
      <c r="Y41" s="3377"/>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77"/>
      <c r="Q42" s="1558" t="str">
        <f t="shared" si="14"/>
        <v>临街宽度及深度</v>
      </c>
      <c r="R42" s="1559" t="s">
        <v>8</v>
      </c>
      <c r="S42" s="1560">
        <f t="shared" si="10"/>
        <v>100</v>
      </c>
      <c r="T42" s="1559" t="s">
        <v>8</v>
      </c>
      <c r="U42" s="1560">
        <f t="shared" si="11"/>
        <v>100</v>
      </c>
      <c r="V42" s="1559" t="s">
        <v>8</v>
      </c>
      <c r="W42" s="1560">
        <f t="shared" si="12"/>
        <v>100</v>
      </c>
      <c r="X42" s="1553"/>
      <c r="Y42" s="3377"/>
      <c r="Z42" s="1561" t="str">
        <f t="shared" si="13"/>
        <v>临街宽度及深度</v>
      </c>
      <c r="AA42" s="1562">
        <f t="shared" si="3"/>
        <v>1</v>
      </c>
      <c r="AB42" s="1562">
        <f t="shared" si="4"/>
        <v>1</v>
      </c>
      <c r="AC42" s="1562">
        <f t="shared" si="5"/>
        <v>1</v>
      </c>
    </row>
    <row r="43" spans="1:29" s="1215" customFormat="1" ht="20.25">
      <c r="A43" s="600"/>
      <c r="B43" s="1880" t="s">
        <v>2418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77"/>
      <c r="Q43" s="1558" t="str">
        <f t="shared" si="14"/>
        <v>宗地开发程度</v>
      </c>
      <c r="R43" s="1554" t="s">
        <v>8</v>
      </c>
      <c r="S43" s="1555">
        <f t="shared" si="10"/>
        <v>100</v>
      </c>
      <c r="T43" s="1554" t="s">
        <v>8</v>
      </c>
      <c r="U43" s="1555">
        <f t="shared" si="11"/>
        <v>100</v>
      </c>
      <c r="V43" s="1554" t="s">
        <v>8</v>
      </c>
      <c r="W43" s="1555">
        <f t="shared" si="12"/>
        <v>100</v>
      </c>
      <c r="X43" s="1556"/>
      <c r="Y43" s="3377"/>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77" t="s">
        <v>550</v>
      </c>
      <c r="Q44" s="1558" t="str">
        <f t="shared" si="14"/>
        <v>工程地质条件</v>
      </c>
      <c r="R44" s="1559" t="s">
        <v>8</v>
      </c>
      <c r="S44" s="1560">
        <f t="shared" si="10"/>
        <v>100</v>
      </c>
      <c r="T44" s="1559" t="s">
        <v>8</v>
      </c>
      <c r="U44" s="1560">
        <f t="shared" si="11"/>
        <v>100</v>
      </c>
      <c r="V44" s="1559" t="s">
        <v>8</v>
      </c>
      <c r="W44" s="1560">
        <f t="shared" si="12"/>
        <v>100</v>
      </c>
      <c r="X44" s="1553"/>
      <c r="Y44" s="3377"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77"/>
      <c r="Q45" s="1558">
        <f t="shared" si="14"/>
        <v>111</v>
      </c>
      <c r="R45" s="1559" t="s">
        <v>8</v>
      </c>
      <c r="S45" s="1560">
        <f t="shared" si="10"/>
        <v>100</v>
      </c>
      <c r="T45" s="1559" t="s">
        <v>8</v>
      </c>
      <c r="U45" s="1560">
        <f t="shared" si="11"/>
        <v>100</v>
      </c>
      <c r="V45" s="1559" t="s">
        <v>8</v>
      </c>
      <c r="W45" s="1560">
        <f t="shared" si="12"/>
        <v>100</v>
      </c>
      <c r="X45" s="1553"/>
      <c r="Y45" s="3377"/>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77"/>
      <c r="Q46" s="1558">
        <f t="shared" si="14"/>
        <v>111</v>
      </c>
      <c r="R46" s="1559" t="s">
        <v>8</v>
      </c>
      <c r="S46" s="1560">
        <f t="shared" si="10"/>
        <v>100</v>
      </c>
      <c r="T46" s="1559" t="s">
        <v>8</v>
      </c>
      <c r="U46" s="1560">
        <f t="shared" si="11"/>
        <v>100</v>
      </c>
      <c r="V46" s="1559" t="s">
        <v>8</v>
      </c>
      <c r="W46" s="1560">
        <f t="shared" si="12"/>
        <v>100</v>
      </c>
      <c r="X46" s="1553"/>
      <c r="Y46" s="3377"/>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77"/>
      <c r="Q47" s="1558">
        <f t="shared" si="14"/>
        <v>111</v>
      </c>
      <c r="R47" s="1563" t="s">
        <v>8</v>
      </c>
      <c r="S47" s="1564">
        <f t="shared" si="10"/>
        <v>100</v>
      </c>
      <c r="T47" s="1563" t="s">
        <v>8</v>
      </c>
      <c r="U47" s="1564">
        <f t="shared" si="11"/>
        <v>100</v>
      </c>
      <c r="V47" s="1563" t="s">
        <v>8</v>
      </c>
      <c r="W47" s="1564">
        <f t="shared" si="12"/>
        <v>100</v>
      </c>
      <c r="X47" s="1565"/>
      <c r="Y47" s="3377"/>
      <c r="Z47" s="1566">
        <f t="shared" si="13"/>
        <v>111</v>
      </c>
      <c r="AA47" s="1562">
        <f t="shared" si="3"/>
        <v>1</v>
      </c>
      <c r="AB47" s="1562">
        <f t="shared" si="4"/>
        <v>1</v>
      </c>
      <c r="AC47" s="1562">
        <f t="shared" si="5"/>
        <v>1</v>
      </c>
    </row>
    <row r="48" spans="1:29" ht="20.25">
      <c r="A48" s="607" t="s">
        <v>556</v>
      </c>
      <c r="B48" s="608" t="s">
        <v>3125</v>
      </c>
      <c r="C48" s="609" t="s">
        <v>1</v>
      </c>
      <c r="D48" s="610"/>
      <c r="E48" s="611">
        <f>土地案例!M5</f>
        <v>1276.21</v>
      </c>
      <c r="F48" s="612"/>
      <c r="G48" s="613">
        <f>土地案例!M8</f>
        <v>626.89</v>
      </c>
      <c r="H48" s="614"/>
      <c r="I48" s="611">
        <f>土地案例!M10</f>
        <v>563.34</v>
      </c>
      <c r="J48" s="614"/>
      <c r="K48" s="1335"/>
      <c r="L48" s="2129"/>
      <c r="M48" s="2117"/>
      <c r="N48" s="2117"/>
      <c r="O48" s="2130"/>
      <c r="P48" s="3372" t="str">
        <f>A48</f>
        <v>成交单价</v>
      </c>
      <c r="Q48" s="3372"/>
      <c r="R48" s="3386">
        <f>E48</f>
        <v>1276.21</v>
      </c>
      <c r="S48" s="3386"/>
      <c r="T48" s="3386">
        <f>G48</f>
        <v>626.89</v>
      </c>
      <c r="U48" s="3386"/>
      <c r="V48" s="3386">
        <f>I48</f>
        <v>563.34</v>
      </c>
      <c r="W48" s="3386"/>
      <c r="X48" s="1545"/>
      <c r="Y48" s="1567"/>
      <c r="Z48" s="1545"/>
      <c r="AA48" s="1545"/>
      <c r="AB48" s="1545"/>
      <c r="AC48" s="1545"/>
    </row>
    <row r="49" spans="1:29" ht="21" thickBot="1">
      <c r="A49" s="615" t="s">
        <v>2686</v>
      </c>
      <c r="B49" s="616"/>
      <c r="C49" s="617">
        <f>R50</f>
        <v>833</v>
      </c>
      <c r="D49" s="618"/>
      <c r="E49" s="617">
        <f>R49</f>
        <v>1170</v>
      </c>
      <c r="F49" s="619"/>
      <c r="G49" s="620">
        <f>T49</f>
        <v>699</v>
      </c>
      <c r="H49" s="618"/>
      <c r="I49" s="617">
        <f>V49</f>
        <v>629</v>
      </c>
      <c r="J49" s="618"/>
      <c r="K49" s="1336"/>
      <c r="L49" s="2129"/>
      <c r="M49" s="2117"/>
      <c r="N49" s="2117"/>
      <c r="O49" s="2130"/>
      <c r="P49" s="3372" t="str">
        <f>A49</f>
        <v>比较价格（元/平方米）</v>
      </c>
      <c r="Q49" s="3372"/>
      <c r="R49" s="3396">
        <f>ROUND(PRODUCT(R48,AA9:AA47),0)</f>
        <v>1170</v>
      </c>
      <c r="S49" s="3396"/>
      <c r="T49" s="3396">
        <f>ROUND(PRODUCT(T48,AB9:AB47),0)</f>
        <v>699</v>
      </c>
      <c r="U49" s="3396"/>
      <c r="V49" s="3396">
        <f>ROUND(PRODUCT(V48,AC9:AC47),0)</f>
        <v>629</v>
      </c>
      <c r="W49" s="3396"/>
      <c r="X49" s="1545"/>
      <c r="Y49" s="1545"/>
      <c r="Z49" s="1545"/>
      <c r="AA49" s="1545"/>
      <c r="AB49" s="1545"/>
      <c r="AC49" s="1545"/>
    </row>
    <row r="50" spans="1:29" ht="21" thickBot="1">
      <c r="A50" s="621" t="s">
        <v>2929</v>
      </c>
      <c r="B50" s="622"/>
      <c r="C50" s="623">
        <f>R50</f>
        <v>833</v>
      </c>
      <c r="D50" s="623"/>
      <c r="E50" s="623"/>
      <c r="F50" s="623"/>
      <c r="G50" s="623"/>
      <c r="H50" s="623"/>
      <c r="I50" s="623"/>
      <c r="J50" s="623"/>
      <c r="K50" s="1337"/>
      <c r="L50" s="2129"/>
      <c r="M50" s="2117"/>
      <c r="N50" s="2117"/>
      <c r="O50" s="2130"/>
      <c r="P50" s="3393" t="str">
        <f>A50</f>
        <v>估价对象XX用房的比较价格（楼面单价，元/平方米）</v>
      </c>
      <c r="Q50" s="3394"/>
      <c r="R50" s="3395">
        <f>ROUND(AVERAGE(R49:V49),0)</f>
        <v>833</v>
      </c>
      <c r="S50" s="3395"/>
      <c r="T50" s="3395"/>
      <c r="U50" s="3395"/>
      <c r="V50" s="3395"/>
      <c r="W50" s="339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9.0777777777777846E-2</v>
      </c>
      <c r="F53" s="627" t="str">
        <f>IF(OR(E53&gt;=0.3,E53&lt;=-0.3),"超过30%","")</f>
        <v/>
      </c>
      <c r="G53" s="626">
        <f>IF(G48&lt;G49,G49/G48-1,G48/G49-1)</f>
        <v>0.1150281548597043</v>
      </c>
      <c r="H53" s="627" t="str">
        <f>IF(OR(G53&gt;=0.3,G53&lt;=-0.3),"超过30%","")</f>
        <v/>
      </c>
      <c r="I53" s="626">
        <f>IF(I48&lt;I49,I49/I48-1,I48/I49-1)</f>
        <v>0.11655483367060748</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0.67381974248927046</v>
      </c>
      <c r="F54" s="627" t="str">
        <f>IF(OR(E54&gt;=0.2,E54&lt;=-0.2),"超过20%","")</f>
        <v>超过20%</v>
      </c>
      <c r="G54" s="626">
        <f>IF(G49&lt;I49,I49/G49-1,G49/I49-1)</f>
        <v>0.11128775834658189</v>
      </c>
      <c r="H54" s="627" t="str">
        <f>IF(OR(G54&gt;=0.2,G54&lt;=-0.2),"超过20%","")</f>
        <v/>
      </c>
      <c r="I54" s="626">
        <f>IF(I49&lt;E49,E49/I49-1,I49/E49-1)</f>
        <v>0.86009538950715414</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1.0357798018791176</v>
      </c>
      <c r="F55" s="627" t="str">
        <f>IF(OR(E55&gt;=0.3,E55&lt;=-0.3),"超过30%","")</f>
        <v>超过30%</v>
      </c>
      <c r="G55" s="626">
        <f>IF(G48&lt;I48,I48/G48-1,G48/I48-1)</f>
        <v>0.11280931586608434</v>
      </c>
      <c r="H55" s="627" t="str">
        <f>IF(OR(G55&gt;=0.3,G55&lt;=-0.3),"超过30%","")</f>
        <v/>
      </c>
      <c r="I55" s="626">
        <f>IF(I48&lt;E48,E48/I48-1,I48/E48-1)</f>
        <v>1.2654347285830938</v>
      </c>
      <c r="J55" s="627" t="str">
        <f>IF(OR(I55&gt;=0.3,I55&lt;=-0.3),"超过30%","")</f>
        <v>超过30%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356" t="s">
        <v>2276</v>
      </c>
      <c r="H57" s="3357"/>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833</v>
      </c>
      <c r="C58" s="635">
        <v>1</v>
      </c>
      <c r="D58" s="2213">
        <v>1</v>
      </c>
      <c r="E58" s="635">
        <f>'数据-汇总表'!E8+'数据-汇总表'!E9</f>
        <v>264622.69</v>
      </c>
      <c r="F58" s="636">
        <f t="shared" ref="F58:F67" si="15">ROUND(B58*E58/10000,0)</f>
        <v>22043</v>
      </c>
      <c r="G58" s="3358"/>
      <c r="H58" s="3359"/>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60"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60"/>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60"/>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60"/>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f t="shared" si="17"/>
        <v>0</v>
      </c>
      <c r="C63" s="378">
        <f t="shared" si="16"/>
        <v>0</v>
      </c>
      <c r="D63" s="2214">
        <v>0.25</v>
      </c>
      <c r="E63" s="641">
        <f>'数据-汇总表'!E11</f>
        <v>0</v>
      </c>
      <c r="F63" s="636">
        <f t="shared" si="15"/>
        <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264622.69</v>
      </c>
      <c r="F68" s="644">
        <f>IF(B48="楼面地价",SUM(F58:F67),ROUND(C50*E68/10000,0))</f>
        <v>22043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2020-7-1</v>
      </c>
      <c r="D70" s="2754">
        <f>EDATE(C70,-3)</f>
        <v>43922</v>
      </c>
      <c r="E70" s="2754">
        <f t="shared" ref="E70:P70" si="18">EDATE(D70,-3)</f>
        <v>43831</v>
      </c>
      <c r="F70" s="2754">
        <f t="shared" si="18"/>
        <v>43739</v>
      </c>
      <c r="G70" s="2754">
        <f t="shared" si="18"/>
        <v>43647</v>
      </c>
      <c r="H70" s="2754">
        <f t="shared" si="18"/>
        <v>43556</v>
      </c>
      <c r="I70" s="2754">
        <f t="shared" si="18"/>
        <v>43466</v>
      </c>
      <c r="J70" s="2754">
        <f t="shared" si="18"/>
        <v>43374</v>
      </c>
      <c r="K70" s="2754">
        <f t="shared" si="18"/>
        <v>43282</v>
      </c>
      <c r="L70" s="2754">
        <f t="shared" si="18"/>
        <v>43191</v>
      </c>
      <c r="M70" s="2754">
        <f t="shared" si="18"/>
        <v>43101</v>
      </c>
      <c r="N70" s="2754">
        <f t="shared" si="18"/>
        <v>43009</v>
      </c>
      <c r="O70" s="2132">
        <f t="shared" si="18"/>
        <v>42917</v>
      </c>
      <c r="P70" s="2132">
        <f t="shared" si="18"/>
        <v>42826</v>
      </c>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28.5">
      <c r="A72" s="2532" t="s">
        <v>2526</v>
      </c>
      <c r="B72" s="2533"/>
      <c r="C72" s="2750" t="str">
        <f>YEAR(C70)&amp;"-"&amp;ROUNDUP(MONTH(C70)/3,0)</f>
        <v>2020-3</v>
      </c>
      <c r="D72" s="2756" t="str">
        <f>YEAR(D70)&amp;"-"&amp;ROUNDUP(MONTH(D70)/3,0)</f>
        <v>2020-2</v>
      </c>
      <c r="E72" s="2756" t="str">
        <f t="shared" ref="E72:P72" si="19">YEAR(E70)&amp;"-"&amp;ROUNDUP(MONTH(E70)/3,0)</f>
        <v>2020-1</v>
      </c>
      <c r="F72" s="2756" t="str">
        <f t="shared" si="19"/>
        <v>2019-4</v>
      </c>
      <c r="G72" s="2756" t="str">
        <f t="shared" si="19"/>
        <v>2019-3</v>
      </c>
      <c r="H72" s="2756" t="str">
        <f t="shared" si="19"/>
        <v>2019-2</v>
      </c>
      <c r="I72" s="2756" t="str">
        <f t="shared" si="19"/>
        <v>2019-1</v>
      </c>
      <c r="J72" s="2756" t="str">
        <f t="shared" si="19"/>
        <v>2018-4</v>
      </c>
      <c r="K72" s="2756" t="str">
        <f t="shared" si="19"/>
        <v>2018-3</v>
      </c>
      <c r="L72" s="2756" t="str">
        <f t="shared" si="19"/>
        <v>2018-2</v>
      </c>
      <c r="M72" s="2756" t="str">
        <f t="shared" si="19"/>
        <v>2018-1</v>
      </c>
      <c r="N72" s="2756" t="str">
        <f t="shared" si="19"/>
        <v>2017-4</v>
      </c>
      <c r="O72" s="3505" t="str">
        <f t="shared" si="19"/>
        <v>2017-3</v>
      </c>
      <c r="P72" s="3505" t="str">
        <f t="shared" si="19"/>
        <v>2017-2</v>
      </c>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2748">
        <v>90</v>
      </c>
      <c r="N73" s="2749">
        <v>89</v>
      </c>
      <c r="O73" s="2748">
        <v>88</v>
      </c>
      <c r="P73" s="2749">
        <v>87</v>
      </c>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t="str">
        <f>B15</f>
        <v>溢价率</v>
      </c>
      <c r="C86" s="688" t="s">
        <v>3129</v>
      </c>
      <c r="D86" s="688" t="s">
        <v>3130</v>
      </c>
      <c r="E86" s="688" t="s">
        <v>3131</v>
      </c>
      <c r="F86" s="688" t="s">
        <v>3132</v>
      </c>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v>100</v>
      </c>
      <c r="D87" s="692">
        <v>110</v>
      </c>
      <c r="E87" s="692">
        <v>120</v>
      </c>
      <c r="F87" s="692">
        <v>130</v>
      </c>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2542</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2544</v>
      </c>
      <c r="C104" s="2562" t="s">
        <v>2545</v>
      </c>
      <c r="D104" s="2562" t="s">
        <v>2546</v>
      </c>
      <c r="E104" s="2562" t="s">
        <v>2547</v>
      </c>
      <c r="F104" s="2562" t="s">
        <v>2548</v>
      </c>
      <c r="G104" s="2562" t="s">
        <v>2549</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v>150000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2419</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89" t="str">
        <f>项目基本情况!B1</f>
        <v>出让国有建设用地使用权抵押价格预评估</v>
      </c>
      <c r="C37" s="3189"/>
      <c r="D37" s="3189"/>
      <c r="E37" s="3189"/>
      <c r="F37" s="3189"/>
      <c r="G37" s="3189"/>
      <c r="H37" s="3189"/>
      <c r="I37" s="3189"/>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workbookViewId="0">
      <selection activeCell="L23" sqref="L23"/>
    </sheetView>
  </sheetViews>
  <sheetFormatPr defaultRowHeight="13.5"/>
  <cols>
    <col min="1" max="1" width="23" customWidth="1"/>
    <col min="6" max="6" width="24.375" customWidth="1"/>
    <col min="8" max="8" width="11.375" bestFit="1" customWidth="1"/>
    <col min="9" max="9" width="0" hidden="1" customWidth="1"/>
  </cols>
  <sheetData>
    <row r="1" spans="1:16">
      <c r="A1" s="3495" t="s">
        <v>3028</v>
      </c>
      <c r="B1" s="3495" t="s">
        <v>3029</v>
      </c>
      <c r="C1" s="3495" t="s">
        <v>3030</v>
      </c>
      <c r="D1" s="3495" t="s">
        <v>3031</v>
      </c>
      <c r="E1" s="3495" t="s">
        <v>3032</v>
      </c>
      <c r="F1" s="3495" t="s">
        <v>2028</v>
      </c>
      <c r="G1" s="3495" t="s">
        <v>3033</v>
      </c>
      <c r="H1" s="3495" t="s">
        <v>3034</v>
      </c>
      <c r="I1" s="3495" t="s">
        <v>3035</v>
      </c>
      <c r="J1" s="3495" t="s">
        <v>3036</v>
      </c>
      <c r="K1" s="3495" t="s">
        <v>3037</v>
      </c>
      <c r="L1" s="3495" t="s">
        <v>3038</v>
      </c>
      <c r="M1" s="3495" t="s">
        <v>3039</v>
      </c>
      <c r="N1" s="3495" t="s">
        <v>3040</v>
      </c>
      <c r="O1" s="3495" t="s">
        <v>3041</v>
      </c>
      <c r="P1" s="3495" t="s">
        <v>3042</v>
      </c>
    </row>
    <row r="2" spans="1:16">
      <c r="A2" s="3495" t="s">
        <v>3043</v>
      </c>
      <c r="B2" s="3495" t="s">
        <v>3044</v>
      </c>
      <c r="C2" s="3495" t="s">
        <v>3045</v>
      </c>
      <c r="D2" s="3495">
        <v>14223</v>
      </c>
      <c r="E2" s="3495">
        <v>42669</v>
      </c>
      <c r="F2" s="3495" t="s">
        <v>3046</v>
      </c>
      <c r="G2" s="3495" t="s">
        <v>3047</v>
      </c>
      <c r="H2" s="3495" t="s">
        <v>3048</v>
      </c>
      <c r="I2" s="3495" t="s">
        <v>3049</v>
      </c>
      <c r="J2" s="3495" t="s">
        <v>3049</v>
      </c>
      <c r="K2" s="3495">
        <v>6760</v>
      </c>
      <c r="L2" s="3495">
        <v>8310</v>
      </c>
      <c r="M2" s="3495">
        <v>1947.54</v>
      </c>
      <c r="N2" s="3495">
        <v>22.93</v>
      </c>
      <c r="O2" s="3495" t="s">
        <v>3050</v>
      </c>
      <c r="P2" s="3495" t="s">
        <v>3051</v>
      </c>
    </row>
    <row r="3" spans="1:16">
      <c r="A3" s="3495" t="s">
        <v>3052</v>
      </c>
      <c r="B3" s="3495" t="s">
        <v>3044</v>
      </c>
      <c r="C3" s="3495" t="s">
        <v>3045</v>
      </c>
      <c r="D3" s="3495">
        <v>1823</v>
      </c>
      <c r="E3" s="3495">
        <v>15167.36</v>
      </c>
      <c r="F3" s="3495" t="s">
        <v>3053</v>
      </c>
      <c r="G3" s="3495" t="s">
        <v>3047</v>
      </c>
      <c r="H3" s="3495" t="s">
        <v>3054</v>
      </c>
      <c r="I3" s="3495" t="s">
        <v>3055</v>
      </c>
      <c r="J3" s="3495" t="s">
        <v>3055</v>
      </c>
      <c r="K3" s="3495">
        <v>3850</v>
      </c>
      <c r="L3" s="3495">
        <v>11000</v>
      </c>
      <c r="M3" s="3495">
        <v>7252.42</v>
      </c>
      <c r="N3" s="3495">
        <v>185.71</v>
      </c>
      <c r="O3" s="3495" t="s">
        <v>3056</v>
      </c>
      <c r="P3" s="3495" t="s">
        <v>3051</v>
      </c>
    </row>
    <row r="4" spans="1:16">
      <c r="A4" s="3495" t="s">
        <v>3057</v>
      </c>
      <c r="B4" s="3495" t="s">
        <v>3044</v>
      </c>
      <c r="C4" s="3495" t="s">
        <v>3045</v>
      </c>
      <c r="D4" s="3495">
        <v>3001</v>
      </c>
      <c r="E4" s="3495">
        <v>1500.5</v>
      </c>
      <c r="F4" s="3495" t="s">
        <v>3058</v>
      </c>
      <c r="G4" s="3495" t="s">
        <v>3059</v>
      </c>
      <c r="H4" s="3495" t="s">
        <v>3060</v>
      </c>
      <c r="I4" s="3495" t="s">
        <v>3061</v>
      </c>
      <c r="J4" s="3495" t="s">
        <v>3061</v>
      </c>
      <c r="K4" s="3495">
        <v>730</v>
      </c>
      <c r="L4" s="3495">
        <v>1850</v>
      </c>
      <c r="M4" s="3495">
        <v>12329.21</v>
      </c>
      <c r="N4" s="3495">
        <v>153.41999999999999</v>
      </c>
      <c r="O4" s="3495" t="s">
        <v>3062</v>
      </c>
      <c r="P4" s="3495" t="s">
        <v>3051</v>
      </c>
    </row>
    <row r="5" spans="1:16" s="3507" customFormat="1">
      <c r="A5" s="3506" t="s">
        <v>3063</v>
      </c>
      <c r="B5" s="3506" t="s">
        <v>3044</v>
      </c>
      <c r="C5" s="3506" t="s">
        <v>3045</v>
      </c>
      <c r="D5" s="3506">
        <v>8776</v>
      </c>
      <c r="E5" s="3506">
        <v>35104</v>
      </c>
      <c r="F5" s="3506" t="s">
        <v>3064</v>
      </c>
      <c r="G5" s="3506" t="s">
        <v>3047</v>
      </c>
      <c r="H5" s="3506" t="s">
        <v>3054</v>
      </c>
      <c r="I5" s="3506" t="s">
        <v>3065</v>
      </c>
      <c r="J5" s="3506" t="s">
        <v>3065</v>
      </c>
      <c r="K5" s="3506">
        <v>2580</v>
      </c>
      <c r="L5" s="3506">
        <v>4480</v>
      </c>
      <c r="M5" s="3506">
        <v>1276.21</v>
      </c>
      <c r="N5" s="3506">
        <v>73.64</v>
      </c>
      <c r="O5" s="3506" t="s">
        <v>3066</v>
      </c>
      <c r="P5" s="3506" t="s">
        <v>3051</v>
      </c>
    </row>
    <row r="6" spans="1:16" s="3497" customFormat="1">
      <c r="A6" s="3496" t="s">
        <v>3067</v>
      </c>
      <c r="B6" s="3496" t="s">
        <v>3044</v>
      </c>
      <c r="C6" s="3496" t="s">
        <v>3045</v>
      </c>
      <c r="D6" s="3496">
        <v>13097</v>
      </c>
      <c r="E6" s="3496">
        <v>26194</v>
      </c>
      <c r="F6" s="3496" t="s">
        <v>3068</v>
      </c>
      <c r="G6" s="3496" t="s">
        <v>3059</v>
      </c>
      <c r="H6" s="3496" t="s">
        <v>3069</v>
      </c>
      <c r="I6" s="3496" t="s">
        <v>3070</v>
      </c>
      <c r="J6" s="3496" t="s">
        <v>3070</v>
      </c>
      <c r="K6" s="3496">
        <v>720</v>
      </c>
      <c r="L6" s="3496">
        <v>760</v>
      </c>
      <c r="M6" s="3496">
        <v>290.13</v>
      </c>
      <c r="N6" s="3496">
        <v>5.56</v>
      </c>
      <c r="O6" s="3496" t="s">
        <v>3071</v>
      </c>
      <c r="P6" s="3496" t="s">
        <v>3051</v>
      </c>
    </row>
    <row r="7" spans="1:16" s="3497" customFormat="1">
      <c r="A7" s="3496" t="s">
        <v>3072</v>
      </c>
      <c r="B7" s="3496" t="s">
        <v>3044</v>
      </c>
      <c r="C7" s="3496" t="s">
        <v>3045</v>
      </c>
      <c r="D7" s="3496">
        <v>6340</v>
      </c>
      <c r="E7" s="3496">
        <v>15850</v>
      </c>
      <c r="F7" s="3496" t="s">
        <v>3073</v>
      </c>
      <c r="G7" s="3496" t="s">
        <v>3059</v>
      </c>
      <c r="H7" s="3496" t="s">
        <v>3069</v>
      </c>
      <c r="I7" s="3496" t="s">
        <v>3074</v>
      </c>
      <c r="J7" s="3496" t="s">
        <v>3074</v>
      </c>
      <c r="K7" s="3496">
        <v>377</v>
      </c>
      <c r="L7" s="3496">
        <v>412</v>
      </c>
      <c r="M7" s="3496">
        <v>259.93</v>
      </c>
      <c r="N7" s="3496">
        <v>9.2799999999999994</v>
      </c>
      <c r="O7" s="3496" t="s">
        <v>3075</v>
      </c>
      <c r="P7" s="3496" t="s">
        <v>3051</v>
      </c>
    </row>
    <row r="8" spans="1:16" s="3507" customFormat="1">
      <c r="A8" s="3506" t="s">
        <v>3076</v>
      </c>
      <c r="B8" s="3506" t="s">
        <v>3044</v>
      </c>
      <c r="C8" s="3506" t="s">
        <v>3045</v>
      </c>
      <c r="D8" s="3506">
        <v>6335</v>
      </c>
      <c r="E8" s="3506">
        <v>13303.5</v>
      </c>
      <c r="F8" s="3506" t="s">
        <v>3077</v>
      </c>
      <c r="G8" s="3506" t="s">
        <v>3059</v>
      </c>
      <c r="H8" s="3506" t="s">
        <v>3060</v>
      </c>
      <c r="I8" s="3506" t="s">
        <v>3078</v>
      </c>
      <c r="J8" s="3506" t="s">
        <v>3078</v>
      </c>
      <c r="K8" s="3506">
        <v>810</v>
      </c>
      <c r="L8" s="3506">
        <v>834</v>
      </c>
      <c r="M8" s="3506">
        <v>626.89</v>
      </c>
      <c r="N8" s="3506">
        <v>2.96</v>
      </c>
      <c r="O8" s="3506" t="s">
        <v>3079</v>
      </c>
      <c r="P8" s="3506" t="s">
        <v>3051</v>
      </c>
    </row>
    <row r="9" spans="1:16" s="3497" customFormat="1">
      <c r="A9" s="3496" t="s">
        <v>3080</v>
      </c>
      <c r="B9" s="3496" t="s">
        <v>3044</v>
      </c>
      <c r="C9" s="3496" t="s">
        <v>3045</v>
      </c>
      <c r="D9" s="3496">
        <v>6527.69</v>
      </c>
      <c r="E9" s="3496">
        <v>16319.23</v>
      </c>
      <c r="F9" s="3496" t="s">
        <v>3073</v>
      </c>
      <c r="G9" s="3496" t="s">
        <v>3059</v>
      </c>
      <c r="H9" s="3496" t="s">
        <v>3069</v>
      </c>
      <c r="I9" s="3496" t="s">
        <v>3081</v>
      </c>
      <c r="J9" s="3496" t="s">
        <v>3081</v>
      </c>
      <c r="K9" s="3496">
        <v>366</v>
      </c>
      <c r="L9" s="3496">
        <v>396</v>
      </c>
      <c r="M9" s="3496">
        <v>242.65</v>
      </c>
      <c r="N9" s="3496">
        <v>8.1999999999999993</v>
      </c>
      <c r="O9" s="3496" t="s">
        <v>3082</v>
      </c>
      <c r="P9" s="3496" t="s">
        <v>3051</v>
      </c>
    </row>
    <row r="10" spans="1:16" s="3507" customFormat="1">
      <c r="A10" s="3506" t="s">
        <v>3083</v>
      </c>
      <c r="B10" s="3506" t="s">
        <v>3044</v>
      </c>
      <c r="C10" s="3506" t="s">
        <v>3045</v>
      </c>
      <c r="D10" s="3506">
        <v>18757.060000000001</v>
      </c>
      <c r="E10" s="3506">
        <v>28135.59</v>
      </c>
      <c r="F10" s="3506" t="s">
        <v>3084</v>
      </c>
      <c r="G10" s="3506" t="s">
        <v>3059</v>
      </c>
      <c r="H10" s="3506" t="s">
        <v>3060</v>
      </c>
      <c r="I10" s="3506" t="s">
        <v>3085</v>
      </c>
      <c r="J10" s="3506" t="s">
        <v>3085</v>
      </c>
      <c r="K10" s="3506">
        <v>1570</v>
      </c>
      <c r="L10" s="3506">
        <v>1585</v>
      </c>
      <c r="M10" s="3506">
        <v>563.34</v>
      </c>
      <c r="N10" s="3506">
        <v>0.96</v>
      </c>
      <c r="O10" s="3506" t="s">
        <v>3086</v>
      </c>
      <c r="P10" s="3506" t="s">
        <v>3051</v>
      </c>
    </row>
    <row r="11" spans="1:16">
      <c r="A11" s="3495" t="s">
        <v>3087</v>
      </c>
      <c r="B11" s="3495" t="s">
        <v>3044</v>
      </c>
      <c r="C11" s="3495" t="s">
        <v>3045</v>
      </c>
      <c r="D11" s="3495">
        <v>8004.28</v>
      </c>
      <c r="E11" s="3495">
        <v>12006.42</v>
      </c>
      <c r="F11" s="3495" t="s">
        <v>3088</v>
      </c>
      <c r="G11" s="3495" t="s">
        <v>3059</v>
      </c>
      <c r="H11" s="3495" t="s">
        <v>3069</v>
      </c>
      <c r="I11" s="3495" t="s">
        <v>3089</v>
      </c>
      <c r="J11" s="3495" t="s">
        <v>3089</v>
      </c>
      <c r="K11" s="3495">
        <v>395</v>
      </c>
      <c r="L11" s="3495">
        <v>425</v>
      </c>
      <c r="M11" s="3495">
        <v>353.98</v>
      </c>
      <c r="N11" s="3495">
        <v>7.59</v>
      </c>
      <c r="O11" s="3495" t="s">
        <v>3090</v>
      </c>
      <c r="P11" s="3495" t="s">
        <v>3051</v>
      </c>
    </row>
    <row r="12" spans="1:16">
      <c r="A12" s="3495" t="s">
        <v>3091</v>
      </c>
      <c r="B12" s="3495" t="s">
        <v>3044</v>
      </c>
      <c r="C12" s="3495" t="s">
        <v>3045</v>
      </c>
      <c r="D12" s="3495">
        <v>1927</v>
      </c>
      <c r="E12" s="3495">
        <v>6744.5</v>
      </c>
      <c r="F12" s="3495" t="s">
        <v>3092</v>
      </c>
      <c r="G12" s="3495" t="s">
        <v>3059</v>
      </c>
      <c r="H12" s="3495" t="s">
        <v>3054</v>
      </c>
      <c r="I12" s="3495" t="s">
        <v>3093</v>
      </c>
      <c r="J12" s="3495" t="s">
        <v>3093</v>
      </c>
      <c r="K12" s="3495">
        <v>365</v>
      </c>
      <c r="L12" s="3495">
        <v>385</v>
      </c>
      <c r="M12" s="3495">
        <v>570.84</v>
      </c>
      <c r="N12" s="3495">
        <v>5.48</v>
      </c>
      <c r="O12" s="3495" t="s">
        <v>3094</v>
      </c>
      <c r="P12" s="3495" t="s">
        <v>3051</v>
      </c>
    </row>
    <row r="13" spans="1:16">
      <c r="A13" s="3495" t="s">
        <v>3095</v>
      </c>
      <c r="B13" s="3495" t="s">
        <v>3044</v>
      </c>
      <c r="C13" s="3495" t="s">
        <v>3045</v>
      </c>
      <c r="D13" s="3495">
        <v>84371</v>
      </c>
      <c r="E13" s="3495">
        <v>168742</v>
      </c>
      <c r="F13" s="3495" t="s">
        <v>3068</v>
      </c>
      <c r="G13" s="3495" t="s">
        <v>3059</v>
      </c>
      <c r="H13" s="3495" t="s">
        <v>3054</v>
      </c>
      <c r="I13" s="3495" t="s">
        <v>3096</v>
      </c>
      <c r="J13" s="3495" t="s">
        <v>3096</v>
      </c>
      <c r="K13" s="3495">
        <v>6700</v>
      </c>
      <c r="L13" s="3495">
        <v>6760</v>
      </c>
      <c r="M13" s="3495">
        <v>400.61</v>
      </c>
      <c r="N13" s="3495">
        <v>0.9</v>
      </c>
      <c r="O13" s="3495" t="s">
        <v>3097</v>
      </c>
      <c r="P13" s="3495" t="s">
        <v>3051</v>
      </c>
    </row>
    <row r="14" spans="1:16">
      <c r="A14" s="3495" t="s">
        <v>3098</v>
      </c>
      <c r="B14" s="3495" t="s">
        <v>3044</v>
      </c>
      <c r="C14" s="3495" t="s">
        <v>3045</v>
      </c>
      <c r="D14" s="3495">
        <v>4808</v>
      </c>
      <c r="E14" s="3495">
        <v>14424</v>
      </c>
      <c r="F14" s="3495" t="s">
        <v>3099</v>
      </c>
      <c r="G14" s="3495" t="s">
        <v>3059</v>
      </c>
      <c r="H14" s="3495" t="s">
        <v>3054</v>
      </c>
      <c r="I14" s="3495" t="s">
        <v>3100</v>
      </c>
      <c r="J14" s="3495" t="s">
        <v>3100</v>
      </c>
      <c r="K14" s="3495">
        <v>470</v>
      </c>
      <c r="L14" s="3495">
        <v>475</v>
      </c>
      <c r="M14" s="3495">
        <v>329.31</v>
      </c>
      <c r="N14" s="3495">
        <v>1.06</v>
      </c>
      <c r="O14" s="3495" t="s">
        <v>3101</v>
      </c>
      <c r="P14" s="3495" t="s">
        <v>3051</v>
      </c>
    </row>
    <row r="15" spans="1:16">
      <c r="A15" s="3495" t="s">
        <v>3102</v>
      </c>
      <c r="B15" s="3495" t="s">
        <v>3044</v>
      </c>
      <c r="C15" s="3495" t="s">
        <v>3045</v>
      </c>
      <c r="D15" s="3495">
        <v>114355</v>
      </c>
      <c r="E15" s="3495">
        <v>306471.40000000002</v>
      </c>
      <c r="F15" s="3495" t="s">
        <v>3103</v>
      </c>
      <c r="G15" s="3495" t="s">
        <v>3059</v>
      </c>
      <c r="H15" s="3495" t="s">
        <v>3104</v>
      </c>
      <c r="I15" s="3495" t="s">
        <v>3105</v>
      </c>
      <c r="J15" s="3495" t="s">
        <v>3105</v>
      </c>
      <c r="K15" s="3495">
        <v>11830</v>
      </c>
      <c r="L15" s="3495">
        <v>11830</v>
      </c>
      <c r="M15" s="3495">
        <v>386</v>
      </c>
      <c r="N15" s="3495">
        <v>0</v>
      </c>
      <c r="O15" s="3495" t="s">
        <v>3106</v>
      </c>
      <c r="P15" s="3495" t="s">
        <v>3107</v>
      </c>
    </row>
    <row r="16" spans="1:16">
      <c r="A16" s="3495" t="s">
        <v>3108</v>
      </c>
      <c r="B16" s="3495" t="s">
        <v>3044</v>
      </c>
      <c r="C16" s="3495" t="s">
        <v>3045</v>
      </c>
      <c r="D16" s="3495">
        <v>2011</v>
      </c>
      <c r="E16" s="3495">
        <v>26143</v>
      </c>
      <c r="F16" s="3495" t="s">
        <v>3109</v>
      </c>
      <c r="G16" s="3495" t="s">
        <v>3059</v>
      </c>
      <c r="H16" s="3495" t="s">
        <v>3104</v>
      </c>
      <c r="I16" s="3495" t="s">
        <v>3110</v>
      </c>
      <c r="J16" s="3495" t="s">
        <v>3110</v>
      </c>
      <c r="K16" s="3495">
        <v>1560</v>
      </c>
      <c r="L16" s="3495">
        <v>1570</v>
      </c>
      <c r="M16" s="3495">
        <v>600.53</v>
      </c>
      <c r="N16" s="3495">
        <v>0.64</v>
      </c>
      <c r="O16" s="3495" t="s">
        <v>3111</v>
      </c>
      <c r="P16" s="3495" t="s">
        <v>3051</v>
      </c>
    </row>
    <row r="17" spans="1:16">
      <c r="A17" s="3495" t="s">
        <v>3112</v>
      </c>
      <c r="B17" s="3495" t="s">
        <v>3044</v>
      </c>
      <c r="C17" s="3495" t="s">
        <v>3045</v>
      </c>
      <c r="D17" s="3495">
        <v>15007</v>
      </c>
      <c r="E17" s="3495">
        <v>37517.5</v>
      </c>
      <c r="F17" s="3495" t="s">
        <v>3113</v>
      </c>
      <c r="G17" s="3495" t="s">
        <v>3059</v>
      </c>
      <c r="H17" s="3495" t="s">
        <v>3069</v>
      </c>
      <c r="I17" s="3495" t="s">
        <v>3114</v>
      </c>
      <c r="J17" s="3495" t="s">
        <v>3114</v>
      </c>
      <c r="K17" s="3495">
        <v>585</v>
      </c>
      <c r="L17" s="3495">
        <v>590</v>
      </c>
      <c r="M17" s="3495">
        <v>157.25</v>
      </c>
      <c r="N17" s="3495">
        <v>0.85</v>
      </c>
      <c r="O17" s="3495" t="s">
        <v>3115</v>
      </c>
      <c r="P17" s="3495" t="s">
        <v>3051</v>
      </c>
    </row>
    <row r="18" spans="1:16">
      <c r="A18" s="3495" t="s">
        <v>3116</v>
      </c>
      <c r="B18" s="3495" t="s">
        <v>3044</v>
      </c>
      <c r="C18" s="3495" t="s">
        <v>3045</v>
      </c>
      <c r="D18" s="3495">
        <v>64574.61</v>
      </c>
      <c r="E18" s="3495">
        <v>213096.21</v>
      </c>
      <c r="F18" s="3495" t="s">
        <v>3117</v>
      </c>
      <c r="G18" s="3495" t="s">
        <v>3059</v>
      </c>
      <c r="H18" s="3495" t="s">
        <v>3069</v>
      </c>
      <c r="I18" s="3495" t="s">
        <v>3118</v>
      </c>
      <c r="J18" s="3495" t="s">
        <v>3118</v>
      </c>
      <c r="K18" s="3495">
        <v>8470</v>
      </c>
      <c r="L18" s="3495">
        <v>8580</v>
      </c>
      <c r="M18" s="3495">
        <v>402.63</v>
      </c>
      <c r="N18" s="3495">
        <v>1.3</v>
      </c>
      <c r="O18" s="3495" t="s">
        <v>3079</v>
      </c>
      <c r="P18" s="3495" t="s">
        <v>3051</v>
      </c>
    </row>
    <row r="19" spans="1:16">
      <c r="A19" s="3495" t="s">
        <v>3119</v>
      </c>
      <c r="B19" s="3495" t="s">
        <v>3044</v>
      </c>
      <c r="C19" s="3495" t="s">
        <v>3045</v>
      </c>
      <c r="D19" s="3495">
        <v>13480.95</v>
      </c>
      <c r="E19" s="3495">
        <v>33702.379999999997</v>
      </c>
      <c r="F19" s="3495" t="s">
        <v>3120</v>
      </c>
      <c r="G19" s="3495" t="s">
        <v>3059</v>
      </c>
      <c r="H19" s="3495" t="s">
        <v>3069</v>
      </c>
      <c r="I19" s="3495" t="s">
        <v>3118</v>
      </c>
      <c r="J19" s="3495" t="s">
        <v>3118</v>
      </c>
      <c r="K19" s="3495">
        <v>1640</v>
      </c>
      <c r="L19" s="3495">
        <v>1750</v>
      </c>
      <c r="M19" s="3495">
        <v>519.25</v>
      </c>
      <c r="N19" s="3495">
        <v>6.71</v>
      </c>
      <c r="O19" s="3495" t="s">
        <v>3079</v>
      </c>
      <c r="P19" s="3495" t="s">
        <v>3051</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25976</v>
      </c>
      <c r="C2" s="2089"/>
      <c r="D2" s="2089"/>
      <c r="E2" s="2089"/>
      <c r="F2" s="2089"/>
      <c r="G2" s="2089"/>
      <c r="H2" s="2089"/>
      <c r="I2" s="2089"/>
      <c r="J2" s="2089"/>
      <c r="K2" s="2089"/>
    </row>
    <row r="3" spans="1:31" s="2026" customFormat="1" ht="18" customHeight="1">
      <c r="A3" s="2091" t="s">
        <v>1682</v>
      </c>
      <c r="B3" s="2092">
        <f ca="1">ROUND(B2*10000/IF(B1="",'数据-汇总表'!E3,INDIRECT("'数据-取费表'!K"&amp;$K$1)),0)</f>
        <v>800</v>
      </c>
      <c r="C3" s="2089"/>
      <c r="D3" s="2089"/>
      <c r="E3" s="2089"/>
      <c r="F3" s="2089"/>
      <c r="G3" s="2089"/>
      <c r="H3" s="2089"/>
      <c r="I3" s="2089"/>
      <c r="J3" s="2089"/>
      <c r="K3" s="2089"/>
    </row>
    <row r="4" spans="1:31" s="2026" customFormat="1" ht="18" customHeight="1">
      <c r="A4" s="426" t="s">
        <v>468</v>
      </c>
      <c r="B4" s="427">
        <f ca="1">ROUND(B2*10000/IF(B1="",'数据-汇总表'!D3,INDIRECT("'数据-取费表'!R"&amp;$K$1)),0)</f>
        <v>1948</v>
      </c>
      <c r="C4" s="428"/>
      <c r="D4" s="422"/>
      <c r="E4" s="422"/>
      <c r="F4" s="422"/>
      <c r="G4" s="422"/>
      <c r="H4" s="422"/>
      <c r="I4" s="422"/>
      <c r="J4" s="422"/>
      <c r="K4" s="422"/>
    </row>
    <row r="5" spans="1:31" s="2026" customFormat="1" ht="18" customHeight="1" thickBot="1">
      <c r="A5" s="429"/>
      <c r="B5" s="430">
        <f ca="1">ROUND(B2/(IF(B1="",'数据-汇总表'!D3,INDIRECT("'数据-取费表'!R"&amp;$K$1))/666.67),0)</f>
        <v>130</v>
      </c>
      <c r="C5" s="431" t="s">
        <v>469</v>
      </c>
      <c r="D5" s="422"/>
      <c r="E5" s="422"/>
      <c r="F5" s="422"/>
      <c r="G5" s="422"/>
      <c r="H5" s="422"/>
      <c r="I5" s="422"/>
      <c r="J5" s="422"/>
      <c r="K5" s="422"/>
    </row>
    <row r="6" spans="1:31" s="2096" customFormat="1" ht="16.5" customHeight="1">
      <c r="A6" s="2783" t="s">
        <v>1840</v>
      </c>
      <c r="B6" s="2784"/>
      <c r="C6" s="2785">
        <f>SUM(C10:K10)</f>
        <v>211698</v>
      </c>
      <c r="D6" s="2784"/>
      <c r="E6" s="2784"/>
      <c r="F6" s="2784"/>
      <c r="G6" s="2784"/>
      <c r="H6" s="2784"/>
      <c r="I6" s="2784"/>
      <c r="J6" s="2784"/>
      <c r="K6" s="2786"/>
    </row>
    <row r="7" spans="1:31" s="2098" customFormat="1" ht="15">
      <c r="A7" s="2787" t="s">
        <v>470</v>
      </c>
      <c r="B7" s="2788" t="s">
        <v>471</v>
      </c>
      <c r="C7" s="436" t="s">
        <v>1675</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v>8000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264622.69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211698</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100339</v>
      </c>
      <c r="D13" s="2799"/>
      <c r="E13" s="2800"/>
      <c r="F13" s="2801"/>
      <c r="G13" s="2767"/>
      <c r="H13" s="2768"/>
      <c r="I13" s="2768"/>
      <c r="J13" s="2768"/>
      <c r="K13" s="2769"/>
    </row>
    <row r="14" spans="1:31" s="2101" customFormat="1" ht="13.5" customHeight="1">
      <c r="A14" s="2797" t="s">
        <v>1847</v>
      </c>
      <c r="B14" s="2798" t="s">
        <v>480</v>
      </c>
      <c r="C14" s="53">
        <f ca="1">ROUND(C13*F14,0)</f>
        <v>3010</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0</v>
      </c>
      <c r="D15" s="2799"/>
      <c r="E15" s="2800"/>
      <c r="F15" s="2802">
        <f>'数据-取费表'!B34</f>
        <v>0.05</v>
      </c>
      <c r="G15" s="2767" t="s">
        <v>483</v>
      </c>
      <c r="H15" s="2768"/>
      <c r="I15" s="2768"/>
      <c r="J15" s="2768"/>
      <c r="K15" s="2769"/>
    </row>
    <row r="16" spans="1:31" s="2102" customFormat="1" ht="13.5" customHeight="1">
      <c r="A16" s="2797" t="s">
        <v>1849</v>
      </c>
      <c r="B16" s="2798" t="s">
        <v>484</v>
      </c>
      <c r="C16" s="53">
        <f ca="1">ROUND(D16*E16/10000,0)</f>
        <v>6497</v>
      </c>
      <c r="D16" s="2799">
        <f ca="1">IF(B1="",'数据-汇总表'!E3,INDIRECT("'数据-取费表'!K"&amp;$K$1)+INDIRECT("'数据-取费表'!S"&amp;$K$1))</f>
        <v>324852.64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1505</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111351</v>
      </c>
      <c r="D18" s="2808"/>
      <c r="E18" s="468"/>
      <c r="F18" s="468"/>
      <c r="G18" s="2771" t="s">
        <v>2424</v>
      </c>
      <c r="H18" s="2772"/>
      <c r="I18" s="2772"/>
      <c r="J18" s="2772"/>
      <c r="K18" s="2773"/>
    </row>
    <row r="19" spans="1:14" s="2101" customFormat="1" ht="13.5" customHeight="1">
      <c r="A19" s="2805" t="s">
        <v>1852</v>
      </c>
      <c r="B19" s="2806" t="s">
        <v>488</v>
      </c>
      <c r="C19" s="2763">
        <f ca="1">ROUND(D19*E19/10000,0)</f>
        <v>3898</v>
      </c>
      <c r="D19" s="2809">
        <f ca="1">D16</f>
        <v>324852.64</v>
      </c>
      <c r="E19" s="2763">
        <f>'数据-取费表'!B32</f>
        <v>120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1624</v>
      </c>
      <c r="D20" s="2809"/>
      <c r="E20" s="2763"/>
      <c r="F20" s="2810"/>
      <c r="G20" s="3034"/>
      <c r="H20" s="2765"/>
      <c r="I20" s="2766" t="s">
        <v>2644</v>
      </c>
      <c r="J20" s="2772"/>
      <c r="K20" s="2773"/>
    </row>
    <row r="21" spans="1:14" s="2101" customFormat="1" ht="13.5" customHeight="1">
      <c r="A21" s="2797" t="s">
        <v>1854</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1855</v>
      </c>
      <c r="B22" s="2798" t="s">
        <v>492</v>
      </c>
      <c r="C22" s="53">
        <f ca="1">ROUND(D22*E22/10000,0)</f>
        <v>1624</v>
      </c>
      <c r="D22" s="2799">
        <f ca="1">IF(B1="",'数据-汇总表'!E6,IF(INDIRECT("'数据-取费表'!c"&amp;$K$1)="住宅",INDIRECT("'数据-取费表'!s"&amp;$K$1),INDIRECT("'数据-取费表'!k"&amp;$K$1)+INDIRECT("'数据-取费表'!s"&amp;$K$1)))</f>
        <v>324852.64</v>
      </c>
      <c r="E22" s="53">
        <f>'数据-取费表'!B28</f>
        <v>50</v>
      </c>
      <c r="F22" s="2802"/>
      <c r="G22" s="26"/>
      <c r="H22" s="51"/>
      <c r="I22" s="51"/>
      <c r="J22" s="51"/>
      <c r="K22" s="2774"/>
    </row>
    <row r="23" spans="1:14" s="2101" customFormat="1" ht="13.5" customHeight="1">
      <c r="A23" s="2805" t="s">
        <v>1856</v>
      </c>
      <c r="B23" s="2987" t="s">
        <v>2827</v>
      </c>
      <c r="C23" s="2807">
        <f ca="1">ROUND((C18+C19+C20)*F23,0)</f>
        <v>2337</v>
      </c>
      <c r="D23" s="468"/>
      <c r="E23" s="468"/>
      <c r="F23" s="2811">
        <f>'数据-取费表'!B37</f>
        <v>0.02</v>
      </c>
      <c r="G23" s="2767" t="s">
        <v>2425</v>
      </c>
      <c r="H23" s="2768"/>
      <c r="I23" s="2768"/>
      <c r="J23" s="2768"/>
      <c r="K23" s="2769"/>
      <c r="L23" s="2103"/>
      <c r="M23" s="2103"/>
      <c r="N23" s="2103"/>
    </row>
    <row r="24" spans="1:14" s="2101" customFormat="1" ht="13.5" customHeight="1">
      <c r="A24" s="2805" t="s">
        <v>1857</v>
      </c>
      <c r="B24" s="2987" t="s">
        <v>2830</v>
      </c>
      <c r="C24" s="2807">
        <f>ROUND(C6*F24,0)</f>
        <v>4234</v>
      </c>
      <c r="D24" s="475"/>
      <c r="E24" s="473"/>
      <c r="F24" s="2811">
        <f>'数据-取费表'!B38</f>
        <v>0.02</v>
      </c>
      <c r="G24" s="2776" t="s">
        <v>499</v>
      </c>
      <c r="H24" s="2770"/>
      <c r="I24" s="2770"/>
      <c r="J24" s="2770"/>
      <c r="K24" s="279"/>
      <c r="L24" s="2103"/>
      <c r="M24" s="2103"/>
      <c r="N24" s="2103"/>
    </row>
    <row r="25" spans="1:14" s="2104" customFormat="1" ht="13.5" customHeight="1">
      <c r="A25" s="2805" t="s">
        <v>1858</v>
      </c>
      <c r="B25" s="2987" t="s">
        <v>2828</v>
      </c>
      <c r="C25" s="467">
        <f>ROUND(F25/(1+'数据-取费表'!C42),4)</f>
        <v>2.9000000000000001E-2</v>
      </c>
      <c r="D25" s="462" t="s">
        <v>2822</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2829</v>
      </c>
      <c r="C26" s="2812">
        <f ca="1">C28</f>
        <v>8899</v>
      </c>
      <c r="D26" s="467">
        <f ca="1">C27</f>
        <v>0.1537</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0.1537</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2831</v>
      </c>
      <c r="C28" s="2815">
        <f ca="1">ROUND(IF('数据-取费表'!B22&lt;=1,(C18+C19+C20+C23+C24)*F26*'数据-取费表'!B24/2,(C18+C19+C20+C23+C24)*(POWER((1+F26),'数据-取费表'!B24/2)-1)),0)</f>
        <v>8899</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497</v>
      </c>
      <c r="C29" s="2807">
        <f>ROUND(C6*F29/(1+'数据-取费表'!C42),0)</f>
        <v>11089</v>
      </c>
      <c r="D29" s="468"/>
      <c r="E29" s="468"/>
      <c r="F29" s="2989">
        <f>'数据-取费表'!B41</f>
        <v>5.5000000000000007E-2</v>
      </c>
      <c r="G29" s="2776" t="s">
        <v>498</v>
      </c>
      <c r="H29" s="2768"/>
      <c r="I29" s="2768"/>
      <c r="J29" s="2768"/>
      <c r="K29" s="2769"/>
    </row>
    <row r="30" spans="1:14" s="2106" customFormat="1" ht="13.5" customHeight="1">
      <c r="A30" s="1620" t="s">
        <v>1861</v>
      </c>
      <c r="B30" s="2817" t="s">
        <v>500</v>
      </c>
      <c r="C30" s="2812">
        <f ca="1">C31</f>
        <v>143432</v>
      </c>
      <c r="D30" s="477">
        <f ca="1">C32</f>
        <v>0.1827</v>
      </c>
      <c r="E30" s="469" t="s">
        <v>495</v>
      </c>
      <c r="F30" s="471"/>
      <c r="G30" s="2775" t="s">
        <v>2965</v>
      </c>
      <c r="H30" s="2768"/>
      <c r="I30" s="2768"/>
      <c r="J30" s="2768"/>
      <c r="K30" s="2769"/>
    </row>
    <row r="31" spans="1:14" s="2105" customFormat="1" ht="13.5" customHeight="1">
      <c r="A31" s="803" t="s">
        <v>1854</v>
      </c>
      <c r="B31" s="2813"/>
      <c r="C31" s="450">
        <f ca="1">C18+C19+C20+C23+C24+C26+C29</f>
        <v>143432</v>
      </c>
      <c r="D31" s="472"/>
      <c r="E31" s="473"/>
      <c r="F31" s="474"/>
      <c r="G31" s="261"/>
      <c r="H31" s="2770"/>
      <c r="I31" s="2770"/>
      <c r="J31" s="2770"/>
      <c r="K31" s="279"/>
    </row>
    <row r="32" spans="1:14" s="2105" customFormat="1" ht="13.5" customHeight="1">
      <c r="A32" s="803" t="s">
        <v>1855</v>
      </c>
      <c r="B32" s="2813"/>
      <c r="C32" s="53">
        <f ca="1">ROUND(C25+D26,4)</f>
        <v>0.1827</v>
      </c>
      <c r="D32" s="472"/>
      <c r="E32" s="473"/>
      <c r="F32" s="474"/>
      <c r="G32" s="261"/>
      <c r="H32" s="2770"/>
      <c r="I32" s="2770"/>
      <c r="J32" s="2770"/>
      <c r="K32" s="279"/>
    </row>
    <row r="33" spans="1:11" s="2107" customFormat="1" ht="13.5" customHeight="1">
      <c r="A33" s="2986" t="s">
        <v>2826</v>
      </c>
      <c r="B33" s="2984" t="s">
        <v>2824</v>
      </c>
      <c r="C33" s="478">
        <f ca="1">C35</f>
        <v>30861</v>
      </c>
      <c r="D33" s="467">
        <f ca="1">C34</f>
        <v>0.25729999999999997</v>
      </c>
      <c r="E33" s="469" t="s">
        <v>495</v>
      </c>
      <c r="F33" s="479">
        <f ca="1">IF(B1="",'数据-取费表'!Q16,INDIRECT("'数据-取费表'!q"&amp;$K$1))</f>
        <v>0.25</v>
      </c>
      <c r="G33" s="2771"/>
      <c r="H33" s="2772"/>
      <c r="I33" s="2772"/>
      <c r="J33" s="2772"/>
      <c r="K33" s="2773"/>
    </row>
    <row r="34" spans="1:11" s="2108" customFormat="1" ht="13.5" customHeight="1">
      <c r="A34" s="375" t="s">
        <v>1854</v>
      </c>
      <c r="B34" s="2818" t="s">
        <v>501</v>
      </c>
      <c r="C34" s="472">
        <f ca="1">ROUND((1+C25)*F33,4)</f>
        <v>0.25729999999999997</v>
      </c>
      <c r="D34" s="472"/>
      <c r="E34" s="473"/>
      <c r="F34" s="480"/>
      <c r="G34" s="261" t="s">
        <v>2285</v>
      </c>
      <c r="H34" s="2770"/>
      <c r="I34" s="2770"/>
      <c r="J34" s="2770"/>
      <c r="K34" s="279"/>
    </row>
    <row r="35" spans="1:11" s="2108" customFormat="1" ht="13.5" customHeight="1" thickBot="1">
      <c r="A35" s="1621" t="s">
        <v>1855</v>
      </c>
      <c r="B35" s="2985" t="s">
        <v>2832</v>
      </c>
      <c r="C35" s="1613">
        <f ca="1">ROUND((C18+C19+C20+C23+C24)*F33,0)</f>
        <v>30861</v>
      </c>
      <c r="D35" s="1614"/>
      <c r="E35" s="2819"/>
      <c r="F35" s="1615"/>
      <c r="G35" s="2777"/>
      <c r="H35" s="2778"/>
      <c r="I35" s="2778"/>
      <c r="J35" s="2778"/>
      <c r="K35" s="2779"/>
    </row>
    <row r="36" spans="1:11" s="2070" customFormat="1" ht="13.5" customHeight="1" thickBot="1">
      <c r="A36" s="284" t="s">
        <v>1842</v>
      </c>
      <c r="B36" s="2781"/>
      <c r="C36" s="2820">
        <f ca="1">ROUND((C6-C30-C33)/(1+D30+D33),0)</f>
        <v>25976</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100339</v>
      </c>
      <c r="D13" s="451"/>
      <c r="E13" s="365"/>
      <c r="F13" s="452"/>
      <c r="G13" s="444"/>
      <c r="H13" s="447"/>
      <c r="I13" s="447"/>
      <c r="J13" s="447"/>
      <c r="K13" s="448"/>
    </row>
    <row r="14" spans="1:41" s="2101" customFormat="1" ht="13.5" customHeight="1">
      <c r="A14" s="1618" t="s">
        <v>1847</v>
      </c>
      <c r="B14" s="449" t="s">
        <v>480</v>
      </c>
      <c r="C14" s="53">
        <f ca="1">ROUND(C13*F14,0)</f>
        <v>3010</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2" customFormat="1" ht="13.5" customHeight="1">
      <c r="A16" s="1618" t="s">
        <v>1849</v>
      </c>
      <c r="B16" s="449" t="s">
        <v>484</v>
      </c>
      <c r="C16" s="53">
        <f ca="1">ROUND(D16*E16/10000,0)</f>
        <v>6497</v>
      </c>
      <c r="D16" s="451">
        <f ca="1">IF(B1="",'数据-汇总表'!E3,INDIRECT("'数据-取费表'!K"&amp;$K$1)+INDIRECT("'数据-取费表'!S"&amp;$K$1))</f>
        <v>324852.64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1505</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111351</v>
      </c>
      <c r="D18" s="461"/>
      <c r="E18" s="462"/>
      <c r="F18" s="462"/>
      <c r="G18" s="1322" t="s">
        <v>2426</v>
      </c>
      <c r="H18" s="447"/>
      <c r="I18" s="447"/>
      <c r="J18" s="447"/>
      <c r="K18" s="448"/>
    </row>
    <row r="19" spans="1:14" s="2104" customFormat="1" ht="13.5" customHeight="1">
      <c r="A19" s="1619" t="s">
        <v>1852</v>
      </c>
      <c r="B19" s="459" t="s">
        <v>493</v>
      </c>
      <c r="C19" s="460">
        <f ca="1">ROUND(C18*F19,0)</f>
        <v>2227</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8188</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2448</v>
      </c>
    </row>
    <row r="22" spans="1:14" s="2105" customFormat="1" ht="13.5" customHeight="1">
      <c r="A22" s="1618" t="s">
        <v>1846</v>
      </c>
      <c r="B22" s="1323" t="s">
        <v>2429</v>
      </c>
      <c r="C22" s="487">
        <f ca="1">ROUND(IF('数据-取费表'!B22&lt;=1,(C18+C19)*F21*'数据-取费表'!B20/2,(C18+C19)*(POWER((1+F21),'数据-取费表'!B20/2)-1)),0)</f>
        <v>8188</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1847</v>
      </c>
      <c r="B23" s="1323"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1857</v>
      </c>
      <c r="B24" s="2984" t="s">
        <v>2825</v>
      </c>
      <c r="C24" s="478">
        <f ca="1">C25</f>
        <v>28395</v>
      </c>
      <c r="D24" s="489">
        <f ca="1">C26</f>
        <v>5.0000000000000001E-3</v>
      </c>
      <c r="E24" s="469" t="s">
        <v>507</v>
      </c>
      <c r="F24" s="479">
        <f ca="1">IF(B1="",'数据-取费表'!Q16,INDIRECT("'数据-取费表'!q"&amp;$K$1))</f>
        <v>0.25</v>
      </c>
      <c r="G24" s="444"/>
      <c r="H24" s="447"/>
      <c r="I24" s="447"/>
      <c r="J24" s="447"/>
      <c r="K24" s="448"/>
    </row>
    <row r="25" spans="1:14" s="2105" customFormat="1" ht="13.5" customHeight="1">
      <c r="A25" s="1618" t="s">
        <v>1846</v>
      </c>
      <c r="B25" s="1323" t="s">
        <v>2430</v>
      </c>
      <c r="C25" s="490">
        <f ca="1">ROUND((C18+C19)*F24,0)</f>
        <v>28395</v>
      </c>
      <c r="D25" s="472"/>
      <c r="E25" s="473"/>
      <c r="F25" s="480"/>
      <c r="G25" s="1321" t="s">
        <v>2427</v>
      </c>
      <c r="H25" s="457"/>
      <c r="I25" s="457"/>
      <c r="J25" s="457"/>
      <c r="K25" s="458"/>
    </row>
    <row r="26" spans="1:14" s="2105" customFormat="1" ht="13.5" customHeight="1">
      <c r="A26" s="1618" t="s">
        <v>1847</v>
      </c>
      <c r="B26" s="1323" t="s">
        <v>509</v>
      </c>
      <c r="C26" s="491">
        <f ca="1">ROUND(F20*F24,4)</f>
        <v>5.0000000000000001E-3</v>
      </c>
      <c r="D26" s="472"/>
      <c r="E26" s="481"/>
      <c r="F26" s="480"/>
      <c r="G26" s="1321" t="s">
        <v>510</v>
      </c>
      <c r="H26" s="457"/>
      <c r="I26" s="457"/>
      <c r="J26" s="457"/>
      <c r="K26" s="458"/>
    </row>
    <row r="27" spans="1:14" s="2105" customFormat="1" ht="13.5" customHeight="1">
      <c r="A27" s="1622" t="s">
        <v>1865</v>
      </c>
      <c r="B27" s="459" t="s">
        <v>511</v>
      </c>
      <c r="C27" s="2983">
        <f>ROUND(F27/(1+'数据-取费表'!C42),4)</f>
        <v>5.2400000000000002E-2</v>
      </c>
      <c r="D27" s="462" t="s">
        <v>2823</v>
      </c>
      <c r="E27" s="462"/>
      <c r="F27" s="466">
        <f>'数据-取费表'!B41</f>
        <v>5.5000000000000007E-2</v>
      </c>
      <c r="G27" s="1945" t="s">
        <v>2286</v>
      </c>
      <c r="H27" s="447"/>
      <c r="I27" s="447"/>
      <c r="J27" s="447"/>
      <c r="K27" s="448"/>
    </row>
    <row r="28" spans="1:14" s="2106" customFormat="1" ht="13.5" customHeight="1">
      <c r="A28" s="1622" t="s">
        <v>1866</v>
      </c>
      <c r="B28" s="476" t="s">
        <v>512</v>
      </c>
      <c r="C28" s="470">
        <f ca="1">ROUND((C18+C19+C21+C24)/(1-C20-D21-D24-C27),0)</f>
        <v>163006</v>
      </c>
      <c r="D28" s="477"/>
      <c r="E28" s="469"/>
      <c r="F28" s="471"/>
      <c r="G28" s="1322" t="s">
        <v>2428</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8" t="s">
        <v>522</v>
      </c>
      <c r="D6" s="3379"/>
      <c r="E6" s="3402" t="s">
        <v>523</v>
      </c>
      <c r="F6" s="3403"/>
      <c r="G6" s="3378" t="s">
        <v>524</v>
      </c>
      <c r="H6" s="3379"/>
      <c r="I6" s="3378" t="s">
        <v>525</v>
      </c>
      <c r="J6" s="3379"/>
      <c r="K6" s="514" t="s">
        <v>526</v>
      </c>
      <c r="L6" s="2118"/>
      <c r="M6" s="2119"/>
      <c r="N6" s="2119"/>
      <c r="O6" s="2119"/>
      <c r="P6" s="3380" t="s">
        <v>527</v>
      </c>
      <c r="Q6" s="3381"/>
      <c r="R6" s="3366" t="s">
        <v>523</v>
      </c>
      <c r="S6" s="3367"/>
      <c r="T6" s="3366" t="s">
        <v>524</v>
      </c>
      <c r="U6" s="3367"/>
      <c r="V6" s="3386" t="s">
        <v>525</v>
      </c>
      <c r="W6" s="3386"/>
      <c r="X6" s="1553"/>
      <c r="Y6" s="3366" t="s">
        <v>527</v>
      </c>
      <c r="Z6" s="3367"/>
      <c r="AA6" s="3361" t="s">
        <v>523</v>
      </c>
      <c r="AB6" s="3362" t="s">
        <v>524</v>
      </c>
      <c r="AC6" s="3361" t="s">
        <v>525</v>
      </c>
    </row>
    <row r="7" spans="1:29" ht="15">
      <c r="A7" s="515"/>
      <c r="B7" s="516"/>
      <c r="C7" s="3389" t="s">
        <v>2923</v>
      </c>
      <c r="D7" s="3390"/>
      <c r="E7" s="3404" t="s">
        <v>2924</v>
      </c>
      <c r="F7" s="3405"/>
      <c r="G7" s="3389" t="s">
        <v>2925</v>
      </c>
      <c r="H7" s="3390"/>
      <c r="I7" s="3389" t="s">
        <v>2926</v>
      </c>
      <c r="J7" s="3390"/>
      <c r="K7" s="514"/>
      <c r="L7" s="2118"/>
      <c r="M7" s="2119"/>
      <c r="N7" s="2119"/>
      <c r="O7" s="2119"/>
      <c r="P7" s="3382"/>
      <c r="Q7" s="3383"/>
      <c r="R7" s="3368"/>
      <c r="S7" s="3369"/>
      <c r="T7" s="3368"/>
      <c r="U7" s="3369"/>
      <c r="V7" s="3386"/>
      <c r="W7" s="3386"/>
      <c r="X7" s="1553"/>
      <c r="Y7" s="3368"/>
      <c r="Z7" s="3369"/>
      <c r="AA7" s="3362"/>
      <c r="AB7" s="3362"/>
      <c r="AC7" s="3362"/>
    </row>
    <row r="8" spans="1:29" ht="15.75" thickBot="1">
      <c r="A8" s="517"/>
      <c r="B8" s="518"/>
      <c r="C8" s="3387" t="s">
        <v>2927</v>
      </c>
      <c r="D8" s="3388"/>
      <c r="E8" s="3406" t="s">
        <v>2927</v>
      </c>
      <c r="F8" s="3407"/>
      <c r="G8" s="3387" t="s">
        <v>2927</v>
      </c>
      <c r="H8" s="3388"/>
      <c r="I8" s="3387" t="s">
        <v>2927</v>
      </c>
      <c r="J8" s="3388"/>
      <c r="K8" s="514" t="s">
        <v>528</v>
      </c>
      <c r="L8" s="2118"/>
      <c r="M8" s="2119"/>
      <c r="N8" s="2119"/>
      <c r="O8" s="2119"/>
      <c r="P8" s="3384"/>
      <c r="Q8" s="3385"/>
      <c r="R8" s="3368"/>
      <c r="S8" s="3369"/>
      <c r="T8" s="3370"/>
      <c r="U8" s="3371"/>
      <c r="V8" s="3386"/>
      <c r="W8" s="3386"/>
      <c r="X8" s="1553"/>
      <c r="Y8" s="3370"/>
      <c r="Z8" s="3371"/>
      <c r="AA8" s="3363"/>
      <c r="AB8" s="3363"/>
      <c r="AC8" s="3363"/>
    </row>
    <row r="9" spans="1:29" s="1215" customFormat="1" ht="15.75" thickBot="1">
      <c r="A9" s="2867"/>
      <c r="B9" s="2874" t="s">
        <v>529</v>
      </c>
      <c r="C9" s="519">
        <f>'数据-取费表'!B2</f>
        <v>44034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64" t="s">
        <v>530</v>
      </c>
      <c r="Q9" s="3373"/>
      <c r="R9" s="1554" t="s">
        <v>8</v>
      </c>
      <c r="S9" s="1555">
        <f t="shared" ref="S9:S17" si="0">F9</f>
        <v>0</v>
      </c>
      <c r="T9" s="1554" t="s">
        <v>8</v>
      </c>
      <c r="U9" s="1555">
        <f t="shared" ref="U9:U17" si="1">H9</f>
        <v>0</v>
      </c>
      <c r="V9" s="1554" t="s">
        <v>8</v>
      </c>
      <c r="W9" s="1555">
        <f t="shared" ref="W9:W17" si="2">J9</f>
        <v>0</v>
      </c>
      <c r="X9" s="1556"/>
      <c r="Y9" s="3364" t="s">
        <v>530</v>
      </c>
      <c r="Z9" s="3365"/>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64" t="s">
        <v>533</v>
      </c>
      <c r="Q10" s="3365"/>
      <c r="R10" s="1554" t="s">
        <v>8</v>
      </c>
      <c r="S10" s="1555">
        <f t="shared" si="0"/>
        <v>0</v>
      </c>
      <c r="T10" s="1554" t="s">
        <v>8</v>
      </c>
      <c r="U10" s="1555">
        <f t="shared" si="1"/>
        <v>0</v>
      </c>
      <c r="V10" s="1554" t="s">
        <v>8</v>
      </c>
      <c r="W10" s="1555">
        <f t="shared" si="2"/>
        <v>0</v>
      </c>
      <c r="X10" s="1556"/>
      <c r="Y10" s="3364" t="s">
        <v>533</v>
      </c>
      <c r="Z10" s="3365"/>
      <c r="AA10" s="1557" t="e">
        <f t="shared" ref="AA10:AA42" si="3">D10/F10</f>
        <v>#DIV/0!</v>
      </c>
      <c r="AB10" s="1557" t="e">
        <f t="shared" ref="AB10:AB42" si="4">D10/H10</f>
        <v>#DIV/0!</v>
      </c>
      <c r="AC10" s="1557" t="e">
        <f t="shared" ref="AC10:AC42" si="5">D10/J10</f>
        <v>#DIV/0!</v>
      </c>
    </row>
    <row r="11" spans="1:29" s="1215" customFormat="1" ht="15">
      <c r="A11" s="2869"/>
      <c r="B11" s="2876"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2" t="s">
        <v>535</v>
      </c>
      <c r="Q11" s="1146" t="str">
        <f t="shared" ref="Q11:Q17" si="6">B11</f>
        <v>用途</v>
      </c>
      <c r="R11" s="1554" t="s">
        <v>8</v>
      </c>
      <c r="S11" s="1555">
        <f t="shared" si="0"/>
        <v>100</v>
      </c>
      <c r="T11" s="1554" t="s">
        <v>8</v>
      </c>
      <c r="U11" s="1555">
        <f t="shared" si="1"/>
        <v>100</v>
      </c>
      <c r="V11" s="1554" t="s">
        <v>8</v>
      </c>
      <c r="W11" s="1555">
        <f t="shared" si="2"/>
        <v>100</v>
      </c>
      <c r="X11" s="1556"/>
      <c r="Y11" s="3326" t="s">
        <v>536</v>
      </c>
      <c r="Z11" s="1145" t="str">
        <f t="shared" ref="Z11:Z17" si="7">Q11</f>
        <v>用途</v>
      </c>
      <c r="AA11" s="1557">
        <f t="shared" si="3"/>
        <v>1</v>
      </c>
      <c r="AB11" s="1557">
        <f t="shared" si="4"/>
        <v>1</v>
      </c>
      <c r="AC11" s="1557">
        <f t="shared" si="5"/>
        <v>1</v>
      </c>
    </row>
    <row r="12" spans="1:29" s="1333" customFormat="1" ht="27">
      <c r="A12" s="2870"/>
      <c r="B12" s="2875" t="s">
        <v>2750</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372"/>
      <c r="Q12" s="1146" t="str">
        <f t="shared" si="6"/>
        <v>土地使用年限（年）</v>
      </c>
      <c r="R12" s="1554" t="s">
        <v>8</v>
      </c>
      <c r="S12" s="1555">
        <f t="shared" si="0"/>
        <v>104</v>
      </c>
      <c r="T12" s="1554" t="s">
        <v>8</v>
      </c>
      <c r="U12" s="1555">
        <f t="shared" si="1"/>
        <v>104</v>
      </c>
      <c r="V12" s="1554" t="s">
        <v>8</v>
      </c>
      <c r="W12" s="1555">
        <f t="shared" si="2"/>
        <v>104</v>
      </c>
      <c r="X12" s="1556"/>
      <c r="Y12" s="3326"/>
      <c r="Z12" s="1145" t="str">
        <f t="shared" si="7"/>
        <v>土地使用年限（年）</v>
      </c>
      <c r="AA12" s="1557">
        <f t="shared" si="3"/>
        <v>0.96153846153846156</v>
      </c>
      <c r="AB12" s="1557">
        <f t="shared" si="4"/>
        <v>0.96153846153846156</v>
      </c>
      <c r="AC12" s="1557">
        <f t="shared" si="5"/>
        <v>0.96153846153846156</v>
      </c>
    </row>
    <row r="13" spans="1:29" ht="15">
      <c r="A13" s="2871"/>
      <c r="B13" s="287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2"/>
      <c r="Q13" s="1146" t="str">
        <f t="shared" si="6"/>
        <v>容积率</v>
      </c>
      <c r="R13" s="1554" t="s">
        <v>8</v>
      </c>
      <c r="S13" s="1555" t="e">
        <f t="shared" si="0"/>
        <v>#N/A</v>
      </c>
      <c r="T13" s="1554" t="s">
        <v>8</v>
      </c>
      <c r="U13" s="1555" t="e">
        <f t="shared" si="1"/>
        <v>#N/A</v>
      </c>
      <c r="V13" s="1554" t="s">
        <v>8</v>
      </c>
      <c r="W13" s="1555" t="e">
        <f t="shared" si="2"/>
        <v>#N/A</v>
      </c>
      <c r="X13" s="1556"/>
      <c r="Y13" s="3326"/>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2"/>
      <c r="Q14" s="1146">
        <f t="shared" si="6"/>
        <v>111</v>
      </c>
      <c r="R14" s="1554" t="s">
        <v>8</v>
      </c>
      <c r="S14" s="1555">
        <f t="shared" si="0"/>
        <v>100</v>
      </c>
      <c r="T14" s="1554" t="s">
        <v>8</v>
      </c>
      <c r="U14" s="1555">
        <f t="shared" si="1"/>
        <v>100</v>
      </c>
      <c r="V14" s="1554" t="s">
        <v>8</v>
      </c>
      <c r="W14" s="1555">
        <f t="shared" si="2"/>
        <v>100</v>
      </c>
      <c r="X14" s="1556"/>
      <c r="Y14" s="3326"/>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2"/>
      <c r="Q15" s="1146">
        <f t="shared" si="6"/>
        <v>111</v>
      </c>
      <c r="R15" s="1554" t="s">
        <v>8</v>
      </c>
      <c r="S15" s="1555">
        <f t="shared" si="0"/>
        <v>100</v>
      </c>
      <c r="T15" s="1554" t="s">
        <v>8</v>
      </c>
      <c r="U15" s="1555">
        <f t="shared" si="1"/>
        <v>100</v>
      </c>
      <c r="V15" s="1554" t="s">
        <v>8</v>
      </c>
      <c r="W15" s="1555">
        <f t="shared" si="2"/>
        <v>100</v>
      </c>
      <c r="X15" s="1556"/>
      <c r="Y15" s="3326"/>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2"/>
      <c r="Q16" s="1146">
        <f t="shared" si="6"/>
        <v>111</v>
      </c>
      <c r="R16" s="1554" t="s">
        <v>8</v>
      </c>
      <c r="S16" s="1555">
        <f t="shared" si="0"/>
        <v>100</v>
      </c>
      <c r="T16" s="1554" t="s">
        <v>8</v>
      </c>
      <c r="U16" s="1555">
        <f t="shared" si="1"/>
        <v>100</v>
      </c>
      <c r="V16" s="1554" t="s">
        <v>8</v>
      </c>
      <c r="W16" s="1555">
        <f t="shared" si="2"/>
        <v>100</v>
      </c>
      <c r="X16" s="1556"/>
      <c r="Y16" s="3326"/>
      <c r="Z16" s="1145">
        <f t="shared" si="7"/>
        <v>111</v>
      </c>
      <c r="AA16" s="1557">
        <f t="shared" si="3"/>
        <v>1</v>
      </c>
      <c r="AB16" s="1557">
        <f t="shared" si="4"/>
        <v>1</v>
      </c>
      <c r="AC16" s="1557">
        <f t="shared" si="5"/>
        <v>1</v>
      </c>
    </row>
    <row r="17" spans="1:29" ht="57">
      <c r="A17" s="2865"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74" t="s">
        <v>540</v>
      </c>
      <c r="Q17" s="1558" t="str">
        <f t="shared" si="6"/>
        <v>产业集聚程度</v>
      </c>
      <c r="R17" s="1559" t="s">
        <v>8</v>
      </c>
      <c r="S17" s="1560">
        <f t="shared" si="0"/>
        <v>100</v>
      </c>
      <c r="T17" s="1559" t="s">
        <v>8</v>
      </c>
      <c r="U17" s="1560">
        <f t="shared" si="1"/>
        <v>100</v>
      </c>
      <c r="V17" s="1559" t="s">
        <v>8</v>
      </c>
      <c r="W17" s="1560">
        <f t="shared" si="2"/>
        <v>100</v>
      </c>
      <c r="X17" s="1553"/>
      <c r="Y17" s="3374"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75"/>
      <c r="Q18" s="1558"/>
      <c r="R18" s="1559"/>
      <c r="S18" s="1560"/>
      <c r="T18" s="1559"/>
      <c r="U18" s="1560"/>
      <c r="V18" s="1559"/>
      <c r="W18" s="1560"/>
      <c r="X18" s="1553"/>
      <c r="Y18" s="3375"/>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75"/>
      <c r="Q19" s="1558" t="str">
        <f>B19</f>
        <v>交通便捷度</v>
      </c>
      <c r="R19" s="1559" t="s">
        <v>8</v>
      </c>
      <c r="S19" s="1560">
        <f>F19</f>
        <v>100</v>
      </c>
      <c r="T19" s="1559" t="s">
        <v>8</v>
      </c>
      <c r="U19" s="1560">
        <f>H19</f>
        <v>100</v>
      </c>
      <c r="V19" s="1559" t="s">
        <v>8</v>
      </c>
      <c r="W19" s="1560">
        <f>J19</f>
        <v>100</v>
      </c>
      <c r="X19" s="1553"/>
      <c r="Y19" s="3375"/>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75"/>
      <c r="Q20" s="1558"/>
      <c r="R20" s="1559"/>
      <c r="S20" s="1560"/>
      <c r="T20" s="1559"/>
      <c r="U20" s="1560"/>
      <c r="V20" s="1559"/>
      <c r="W20" s="1560"/>
      <c r="X20" s="1553"/>
      <c r="Y20" s="3375"/>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75"/>
      <c r="Q21" s="1558" t="str">
        <f t="shared" ref="Q21:Q35" si="8">B21</f>
        <v>区域土地利用方向</v>
      </c>
      <c r="R21" s="1559" t="s">
        <v>8</v>
      </c>
      <c r="S21" s="1560">
        <f>F21</f>
        <v>100</v>
      </c>
      <c r="T21" s="1559" t="s">
        <v>8</v>
      </c>
      <c r="U21" s="1560">
        <f>H21</f>
        <v>100</v>
      </c>
      <c r="V21" s="1559" t="s">
        <v>8</v>
      </c>
      <c r="W21" s="1560">
        <f>J21</f>
        <v>100</v>
      </c>
      <c r="X21" s="1553"/>
      <c r="Y21" s="337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75"/>
      <c r="Q22" s="1558"/>
      <c r="R22" s="1559"/>
      <c r="S22" s="1560"/>
      <c r="T22" s="1559"/>
      <c r="U22" s="1560"/>
      <c r="V22" s="1559"/>
      <c r="W22" s="1560"/>
      <c r="X22" s="1553"/>
      <c r="Y22" s="3375"/>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75"/>
      <c r="Q23" s="1558" t="str">
        <f t="shared" si="8"/>
        <v>环境状况</v>
      </c>
      <c r="R23" s="1559" t="s">
        <v>8</v>
      </c>
      <c r="S23" s="1560">
        <f>F23</f>
        <v>100</v>
      </c>
      <c r="T23" s="1559" t="s">
        <v>8</v>
      </c>
      <c r="U23" s="1560">
        <f>H23</f>
        <v>100</v>
      </c>
      <c r="V23" s="1559" t="s">
        <v>8</v>
      </c>
      <c r="W23" s="1560">
        <f>J23</f>
        <v>100</v>
      </c>
      <c r="X23" s="1553"/>
      <c r="Y23" s="337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75"/>
      <c r="Q24" s="1558"/>
      <c r="R24" s="1559"/>
      <c r="S24" s="1560"/>
      <c r="T24" s="1559"/>
      <c r="U24" s="1560"/>
      <c r="V24" s="1559"/>
      <c r="W24" s="1560"/>
      <c r="X24" s="1553"/>
      <c r="Y24" s="3375"/>
      <c r="Z24" s="1561"/>
      <c r="AA24" s="1562">
        <v>1</v>
      </c>
      <c r="AB24" s="1562">
        <v>1</v>
      </c>
      <c r="AC24" s="1562">
        <v>1</v>
      </c>
    </row>
    <row r="25" spans="1:29" s="1215" customFormat="1" ht="42.75">
      <c r="A25" s="577"/>
      <c r="B25" s="2557"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75"/>
      <c r="Q25" s="1146" t="str">
        <f t="shared" si="8"/>
        <v>公共配套设施</v>
      </c>
      <c r="R25" s="1554" t="s">
        <v>8</v>
      </c>
      <c r="S25" s="1555">
        <f>F25</f>
        <v>100</v>
      </c>
      <c r="T25" s="1554" t="s">
        <v>8</v>
      </c>
      <c r="U25" s="1555">
        <f>H25</f>
        <v>100</v>
      </c>
      <c r="V25" s="1554" t="s">
        <v>8</v>
      </c>
      <c r="W25" s="1555">
        <f>J25</f>
        <v>100</v>
      </c>
      <c r="X25" s="1556"/>
      <c r="Y25" s="3375"/>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75"/>
      <c r="Q26" s="1146"/>
      <c r="R26" s="1554"/>
      <c r="S26" s="1555"/>
      <c r="T26" s="1554"/>
      <c r="U26" s="1555"/>
      <c r="V26" s="1554"/>
      <c r="W26" s="1555"/>
      <c r="X26" s="1556"/>
      <c r="Y26" s="3375"/>
      <c r="Z26" s="1145"/>
      <c r="AA26" s="1557">
        <v>1</v>
      </c>
      <c r="AB26" s="1557">
        <v>1</v>
      </c>
      <c r="AC26" s="1557">
        <v>1</v>
      </c>
    </row>
    <row r="27" spans="1:29" s="1215" customFormat="1" ht="28.5">
      <c r="A27" s="577"/>
      <c r="B27" s="2557"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75"/>
      <c r="Q27" s="2542" t="str">
        <f t="shared" ref="Q27" si="9">B27</f>
        <v>基础设施水平</v>
      </c>
      <c r="R27" s="1554" t="s">
        <v>8</v>
      </c>
      <c r="S27" s="1555">
        <f>F27</f>
        <v>100</v>
      </c>
      <c r="T27" s="1554" t="s">
        <v>8</v>
      </c>
      <c r="U27" s="1555">
        <f>H27</f>
        <v>100</v>
      </c>
      <c r="V27" s="1554" t="s">
        <v>8</v>
      </c>
      <c r="W27" s="1555">
        <f>J27</f>
        <v>100</v>
      </c>
      <c r="X27" s="1556"/>
      <c r="Y27" s="3375"/>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75"/>
      <c r="Q28" s="2542"/>
      <c r="R28" s="1554"/>
      <c r="S28" s="1555"/>
      <c r="T28" s="1554"/>
      <c r="U28" s="1555"/>
      <c r="V28" s="1554"/>
      <c r="W28" s="1555"/>
      <c r="X28" s="1556"/>
      <c r="Y28" s="3375"/>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7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75"/>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75"/>
      <c r="Q30" s="1558" t="str">
        <f t="shared" si="8"/>
        <v>毗邻道路的类型与等级</v>
      </c>
      <c r="R30" s="1559" t="s">
        <v>8</v>
      </c>
      <c r="S30" s="1560">
        <f t="shared" si="10"/>
        <v>100</v>
      </c>
      <c r="T30" s="1559" t="s">
        <v>8</v>
      </c>
      <c r="U30" s="1560">
        <f t="shared" si="11"/>
        <v>100</v>
      </c>
      <c r="V30" s="1559" t="s">
        <v>8</v>
      </c>
      <c r="W30" s="1560">
        <f t="shared" si="12"/>
        <v>100</v>
      </c>
      <c r="X30" s="1553"/>
      <c r="Y30" s="337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75"/>
      <c r="Q31" s="1558"/>
      <c r="R31" s="1559"/>
      <c r="S31" s="1560"/>
      <c r="T31" s="1559"/>
      <c r="U31" s="1560"/>
      <c r="V31" s="1559"/>
      <c r="W31" s="1560"/>
      <c r="X31" s="1553"/>
      <c r="Y31" s="3375"/>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75"/>
      <c r="Q32" s="1558" t="str">
        <f t="shared" si="8"/>
        <v>土地级别</v>
      </c>
      <c r="R32" s="1559" t="s">
        <v>8</v>
      </c>
      <c r="S32" s="1560">
        <f t="shared" si="10"/>
        <v>100</v>
      </c>
      <c r="T32" s="1559" t="s">
        <v>8</v>
      </c>
      <c r="U32" s="1560">
        <f t="shared" si="11"/>
        <v>100</v>
      </c>
      <c r="V32" s="1559" t="s">
        <v>8</v>
      </c>
      <c r="W32" s="1560">
        <f t="shared" si="12"/>
        <v>100</v>
      </c>
      <c r="X32" s="1553"/>
      <c r="Y32" s="337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75"/>
      <c r="Q33" s="1558">
        <f t="shared" si="8"/>
        <v>111</v>
      </c>
      <c r="R33" s="1559" t="s">
        <v>8</v>
      </c>
      <c r="S33" s="1560">
        <f t="shared" si="10"/>
        <v>100</v>
      </c>
      <c r="T33" s="1559" t="s">
        <v>8</v>
      </c>
      <c r="U33" s="1560">
        <f t="shared" si="11"/>
        <v>100</v>
      </c>
      <c r="V33" s="1559" t="s">
        <v>8</v>
      </c>
      <c r="W33" s="1560">
        <f t="shared" si="12"/>
        <v>100</v>
      </c>
      <c r="X33" s="1553"/>
      <c r="Y33" s="337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76" t="s">
        <v>550</v>
      </c>
      <c r="Q34" s="1558">
        <f t="shared" si="8"/>
        <v>111</v>
      </c>
      <c r="R34" s="1559" t="s">
        <v>8</v>
      </c>
      <c r="S34" s="1560">
        <f t="shared" si="10"/>
        <v>100</v>
      </c>
      <c r="T34" s="1559" t="s">
        <v>8</v>
      </c>
      <c r="U34" s="1560">
        <f t="shared" si="11"/>
        <v>100</v>
      </c>
      <c r="V34" s="1559" t="s">
        <v>8</v>
      </c>
      <c r="W34" s="1560">
        <f t="shared" si="12"/>
        <v>100</v>
      </c>
      <c r="X34" s="1553"/>
      <c r="Y34" s="3377"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77"/>
      <c r="Q35" s="1558">
        <f t="shared" si="8"/>
        <v>111</v>
      </c>
      <c r="R35" s="1563" t="s">
        <v>8</v>
      </c>
      <c r="S35" s="1564">
        <f t="shared" si="10"/>
        <v>100</v>
      </c>
      <c r="T35" s="1563" t="s">
        <v>8</v>
      </c>
      <c r="U35" s="1564">
        <f t="shared" si="11"/>
        <v>100</v>
      </c>
      <c r="V35" s="1563" t="s">
        <v>8</v>
      </c>
      <c r="W35" s="1564">
        <f t="shared" si="12"/>
        <v>100</v>
      </c>
      <c r="X35" s="1565"/>
      <c r="Y35" s="3377"/>
      <c r="Z35" s="1566">
        <f t="shared" si="13"/>
        <v>111</v>
      </c>
      <c r="AA35" s="1562">
        <f t="shared" si="3"/>
        <v>1</v>
      </c>
      <c r="AB35" s="1562">
        <f t="shared" si="4"/>
        <v>1</v>
      </c>
      <c r="AC35" s="1562">
        <f t="shared" si="5"/>
        <v>1</v>
      </c>
    </row>
    <row r="36" spans="1:29" ht="15">
      <c r="A36" s="2862"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77"/>
      <c r="Q36" s="1558" t="str">
        <f>B36</f>
        <v>宗地面积</v>
      </c>
      <c r="R36" s="1559" t="s">
        <v>8</v>
      </c>
      <c r="S36" s="1560" t="e">
        <f t="shared" si="10"/>
        <v>#N/A</v>
      </c>
      <c r="T36" s="1559" t="s">
        <v>8</v>
      </c>
      <c r="U36" s="1560" t="e">
        <f t="shared" si="11"/>
        <v>#N/A</v>
      </c>
      <c r="V36" s="1559" t="s">
        <v>8</v>
      </c>
      <c r="W36" s="1560" t="e">
        <f t="shared" si="12"/>
        <v>#N/A</v>
      </c>
      <c r="X36" s="1553"/>
      <c r="Y36" s="3377"/>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77"/>
      <c r="Q37" s="1558" t="str">
        <f t="shared" ref="Q37:Q42" si="14">B37</f>
        <v>宗地形状</v>
      </c>
      <c r="R37" s="1559" t="s">
        <v>8</v>
      </c>
      <c r="S37" s="1560">
        <f t="shared" si="10"/>
        <v>100</v>
      </c>
      <c r="T37" s="1559" t="s">
        <v>8</v>
      </c>
      <c r="U37" s="1560">
        <f t="shared" si="11"/>
        <v>100</v>
      </c>
      <c r="V37" s="1559" t="s">
        <v>8</v>
      </c>
      <c r="W37" s="1560">
        <f t="shared" si="12"/>
        <v>100</v>
      </c>
      <c r="X37" s="1553"/>
      <c r="Y37" s="3377"/>
      <c r="Z37" s="1561" t="str">
        <f t="shared" si="13"/>
        <v>宗地形状</v>
      </c>
      <c r="AA37" s="1562">
        <f t="shared" si="3"/>
        <v>1</v>
      </c>
      <c r="AB37" s="1562">
        <f t="shared" si="4"/>
        <v>1</v>
      </c>
      <c r="AC37" s="1562">
        <f t="shared" si="5"/>
        <v>1</v>
      </c>
    </row>
    <row r="38" spans="1:29" s="1215" customFormat="1" ht="15">
      <c r="A38" s="600"/>
      <c r="B38" s="1880"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77"/>
      <c r="Q38" s="1558" t="str">
        <f t="shared" si="14"/>
        <v>宗地开发程度</v>
      </c>
      <c r="R38" s="1554" t="s">
        <v>8</v>
      </c>
      <c r="S38" s="1555">
        <f t="shared" si="10"/>
        <v>100</v>
      </c>
      <c r="T38" s="1554" t="s">
        <v>8</v>
      </c>
      <c r="U38" s="1555">
        <f t="shared" si="11"/>
        <v>100</v>
      </c>
      <c r="V38" s="1554" t="s">
        <v>8</v>
      </c>
      <c r="W38" s="1555">
        <f t="shared" si="12"/>
        <v>100</v>
      </c>
      <c r="X38" s="1556"/>
      <c r="Y38" s="3377"/>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7" t="s">
        <v>601</v>
      </c>
      <c r="Q39" s="1558" t="str">
        <f t="shared" si="14"/>
        <v>工程地质条件</v>
      </c>
      <c r="R39" s="1559" t="s">
        <v>8</v>
      </c>
      <c r="S39" s="1560">
        <f t="shared" si="10"/>
        <v>100</v>
      </c>
      <c r="T39" s="1559" t="s">
        <v>8</v>
      </c>
      <c r="U39" s="1560">
        <f t="shared" si="11"/>
        <v>100</v>
      </c>
      <c r="V39" s="1559" t="s">
        <v>8</v>
      </c>
      <c r="W39" s="1560">
        <f t="shared" si="12"/>
        <v>100</v>
      </c>
      <c r="X39" s="1553"/>
      <c r="Y39" s="3377"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77"/>
      <c r="Q40" s="1558">
        <f t="shared" si="14"/>
        <v>111</v>
      </c>
      <c r="R40" s="1559" t="s">
        <v>8</v>
      </c>
      <c r="S40" s="1560">
        <f t="shared" si="10"/>
        <v>100</v>
      </c>
      <c r="T40" s="1559" t="s">
        <v>8</v>
      </c>
      <c r="U40" s="1560">
        <f t="shared" si="11"/>
        <v>100</v>
      </c>
      <c r="V40" s="1559" t="s">
        <v>8</v>
      </c>
      <c r="W40" s="1560">
        <f t="shared" si="12"/>
        <v>100</v>
      </c>
      <c r="X40" s="1553"/>
      <c r="Y40" s="337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77"/>
      <c r="Q41" s="1558">
        <f t="shared" si="14"/>
        <v>111</v>
      </c>
      <c r="R41" s="1559" t="s">
        <v>8</v>
      </c>
      <c r="S41" s="1560">
        <f t="shared" si="10"/>
        <v>100</v>
      </c>
      <c r="T41" s="1559" t="s">
        <v>8</v>
      </c>
      <c r="U41" s="1560">
        <f t="shared" si="11"/>
        <v>100</v>
      </c>
      <c r="V41" s="1559" t="s">
        <v>8</v>
      </c>
      <c r="W41" s="1560">
        <f t="shared" si="12"/>
        <v>100</v>
      </c>
      <c r="X41" s="1553"/>
      <c r="Y41" s="3377"/>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77"/>
      <c r="Q42" s="1558">
        <f t="shared" si="14"/>
        <v>111</v>
      </c>
      <c r="R42" s="1563" t="s">
        <v>8</v>
      </c>
      <c r="S42" s="1564">
        <f t="shared" si="10"/>
        <v>100</v>
      </c>
      <c r="T42" s="1563" t="s">
        <v>8</v>
      </c>
      <c r="U42" s="1564">
        <f t="shared" si="11"/>
        <v>100</v>
      </c>
      <c r="V42" s="1563" t="s">
        <v>8</v>
      </c>
      <c r="W42" s="1564">
        <f t="shared" si="12"/>
        <v>100</v>
      </c>
      <c r="X42" s="1565"/>
      <c r="Y42" s="3377"/>
      <c r="Z42" s="1566">
        <f t="shared" si="13"/>
        <v>111</v>
      </c>
      <c r="AA42" s="1562">
        <f t="shared" si="3"/>
        <v>1</v>
      </c>
      <c r="AB42" s="1562">
        <f t="shared" si="4"/>
        <v>1</v>
      </c>
      <c r="AC42" s="1562">
        <f t="shared" si="5"/>
        <v>1</v>
      </c>
    </row>
    <row r="43" spans="1:29" ht="15">
      <c r="A43" s="607" t="s">
        <v>556</v>
      </c>
      <c r="B43" s="608" t="s">
        <v>2928</v>
      </c>
      <c r="C43" s="609" t="s">
        <v>1</v>
      </c>
      <c r="D43" s="610"/>
      <c r="E43" s="611"/>
      <c r="F43" s="612"/>
      <c r="G43" s="613"/>
      <c r="H43" s="614"/>
      <c r="I43" s="611"/>
      <c r="J43" s="614"/>
      <c r="K43" s="1335"/>
      <c r="L43" s="2129"/>
      <c r="M43" s="2119"/>
      <c r="N43" s="2119"/>
      <c r="O43" s="2130"/>
      <c r="P43" s="3372" t="str">
        <f>A43</f>
        <v>成交单价</v>
      </c>
      <c r="Q43" s="3372"/>
      <c r="R43" s="3386">
        <f>E43</f>
        <v>0</v>
      </c>
      <c r="S43" s="3386"/>
      <c r="T43" s="3386">
        <f>G43</f>
        <v>0</v>
      </c>
      <c r="U43" s="3386"/>
      <c r="V43" s="3386">
        <f>I43</f>
        <v>0</v>
      </c>
      <c r="W43" s="3386"/>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372" t="str">
        <f>A44</f>
        <v>比较价格（元/平方米）</v>
      </c>
      <c r="Q44" s="3372"/>
      <c r="R44" s="3396" t="e">
        <f>ROUND(PRODUCT(R43,AA9:AA42),0)</f>
        <v>#DIV/0!</v>
      </c>
      <c r="S44" s="3396"/>
      <c r="T44" s="3396" t="e">
        <f>ROUND(PRODUCT(T43,AB9:AB42),0)</f>
        <v>#DIV/0!</v>
      </c>
      <c r="U44" s="3396"/>
      <c r="V44" s="3396" t="e">
        <f>ROUND(PRODUCT(V43,AC9:AC42),0)</f>
        <v>#DIV/0!</v>
      </c>
      <c r="W44" s="3396"/>
      <c r="X44" s="1545"/>
      <c r="Y44" s="1545"/>
      <c r="Z44" s="1545"/>
      <c r="AA44" s="1545"/>
      <c r="AB44" s="1545"/>
      <c r="AC44" s="1545"/>
    </row>
    <row r="45" spans="1:29" ht="15.75" thickBot="1">
      <c r="A45" s="621" t="s">
        <v>2929</v>
      </c>
      <c r="B45" s="622"/>
      <c r="C45" s="623" t="e">
        <f>R45</f>
        <v>#DIV/0!</v>
      </c>
      <c r="D45" s="623"/>
      <c r="E45" s="623"/>
      <c r="F45" s="623"/>
      <c r="G45" s="623"/>
      <c r="H45" s="623"/>
      <c r="I45" s="623"/>
      <c r="J45" s="623"/>
      <c r="K45" s="1337"/>
      <c r="L45" s="2129"/>
      <c r="M45" s="2119"/>
      <c r="N45" s="2119"/>
      <c r="O45" s="2130"/>
      <c r="P45" s="3393" t="str">
        <f>A45</f>
        <v>估价对象XX用房的比较价格（楼面单价，元/平方米）</v>
      </c>
      <c r="Q45" s="3394"/>
      <c r="R45" s="3395" t="e">
        <f>ROUND(AVERAGE(R44:V44),0)</f>
        <v>#DIV/0!</v>
      </c>
      <c r="S45" s="3395"/>
      <c r="T45" s="3395"/>
      <c r="U45" s="3395"/>
      <c r="V45" s="3395"/>
      <c r="W45" s="339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397" t="s">
        <v>2279</v>
      </c>
      <c r="H52" s="3398"/>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264622.69</v>
      </c>
      <c r="F53" s="1935" t="e">
        <f t="shared" ref="F53:F62" si="15">ROUND(B53*E53/10000,0)</f>
        <v>#DIV/0!</v>
      </c>
      <c r="G53" s="3399"/>
      <c r="H53" s="340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01"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01"/>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01"/>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01"/>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133327.24</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2020-7-1</v>
      </c>
      <c r="D65" s="2754">
        <f>EDATE(C65,-3)</f>
        <v>43922</v>
      </c>
      <c r="E65" s="2754">
        <f t="shared" ref="E65:N65" si="18">EDATE(D65,-3)</f>
        <v>43831</v>
      </c>
      <c r="F65" s="2754">
        <f t="shared" si="18"/>
        <v>43739</v>
      </c>
      <c r="G65" s="2754">
        <f t="shared" si="18"/>
        <v>43647</v>
      </c>
      <c r="H65" s="2754">
        <f t="shared" si="18"/>
        <v>43556</v>
      </c>
      <c r="I65" s="2754">
        <f t="shared" si="18"/>
        <v>43466</v>
      </c>
      <c r="J65" s="2754">
        <f t="shared" si="18"/>
        <v>43374</v>
      </c>
      <c r="K65" s="2754">
        <f t="shared" si="18"/>
        <v>43282</v>
      </c>
      <c r="L65" s="2754">
        <f t="shared" si="18"/>
        <v>43191</v>
      </c>
      <c r="M65" s="2754">
        <f t="shared" si="18"/>
        <v>43101</v>
      </c>
      <c r="N65" s="2754">
        <f t="shared" si="18"/>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2527</v>
      </c>
      <c r="B67" s="646"/>
      <c r="C67" s="2750" t="str">
        <f>YEAR(C65)&amp;"-"&amp;ROUNDUP(MONTH(C65)/3,0)</f>
        <v>2020-3</v>
      </c>
      <c r="D67" s="2756" t="str">
        <f t="shared" ref="D67:N67" si="19">YEAR(D65)&amp;"-"&amp;ROUNDUP(MONTH(D65)/3,0)</f>
        <v>2020-2</v>
      </c>
      <c r="E67" s="2756" t="str">
        <f t="shared" si="19"/>
        <v>2020-1</v>
      </c>
      <c r="F67" s="2756" t="str">
        <f t="shared" si="19"/>
        <v>2019-4</v>
      </c>
      <c r="G67" s="2756" t="str">
        <f t="shared" si="19"/>
        <v>2019-3</v>
      </c>
      <c r="H67" s="2756" t="str">
        <f t="shared" si="19"/>
        <v>2019-2</v>
      </c>
      <c r="I67" s="2756" t="str">
        <f t="shared" si="19"/>
        <v>2019-1</v>
      </c>
      <c r="J67" s="2756" t="str">
        <f t="shared" si="19"/>
        <v>2018-4</v>
      </c>
      <c r="K67" s="2756" t="str">
        <f t="shared" si="19"/>
        <v>2018-3</v>
      </c>
      <c r="L67" s="2756" t="str">
        <f t="shared" si="19"/>
        <v>2018-2</v>
      </c>
      <c r="M67" s="2756" t="str">
        <f t="shared" si="19"/>
        <v>2018-1</v>
      </c>
      <c r="N67" s="2756" t="str">
        <f t="shared" si="19"/>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2542</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2544</v>
      </c>
      <c r="C95" s="2562" t="s">
        <v>2545</v>
      </c>
      <c r="D95" s="2562" t="s">
        <v>2546</v>
      </c>
      <c r="E95" s="2562" t="s">
        <v>2547</v>
      </c>
      <c r="F95" s="2562" t="s">
        <v>2548</v>
      </c>
      <c r="G95" s="2562" t="s">
        <v>2549</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2419</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2420</v>
      </c>
      <c r="D1" s="1508">
        <f>SUM(D29:D30,D33:D39)</f>
        <v>0</v>
      </c>
      <c r="E1" s="1402" t="s">
        <v>2421</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2755</v>
      </c>
      <c r="S1" s="2891" t="s">
        <v>2756</v>
      </c>
      <c r="T1" s="2891" t="s">
        <v>2777</v>
      </c>
      <c r="U1" s="2891" t="s">
        <v>2778</v>
      </c>
      <c r="V1" s="2891" t="s">
        <v>2779</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2</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2250</v>
      </c>
      <c r="D4" s="1879" t="e">
        <f>ROUND(B2/(F1/666.67),0)</f>
        <v>#DIV/0!</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6" t="e">
        <f>ROUND(C6+C16,0)</f>
        <v>#DIV/0!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09"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2758</v>
      </c>
      <c r="X7" s="2882">
        <f>G2</f>
        <v>0</v>
      </c>
      <c r="Y7" s="2882" t="s">
        <v>2759</v>
      </c>
      <c r="Z7" s="2883">
        <f>G3</f>
        <v>2</v>
      </c>
      <c r="AA7" s="2177"/>
      <c r="AB7" s="2177"/>
      <c r="AC7" s="2178"/>
      <c r="AD7" s="2884"/>
      <c r="AE7" s="2884"/>
      <c r="AF7" s="2884"/>
      <c r="AG7" s="2884"/>
      <c r="AH7" s="2884"/>
      <c r="AI7" s="2884"/>
      <c r="AJ7" s="2885"/>
    </row>
    <row r="8" spans="1:39" ht="15">
      <c r="A8" s="3410"/>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0" t="s">
        <v>2776</v>
      </c>
      <c r="X8" s="3421"/>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10"/>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9" t="s">
        <v>2772</v>
      </c>
      <c r="X9" s="2886" t="s">
        <v>2773</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0"/>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0"/>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9" t="s">
        <v>2774</v>
      </c>
      <c r="X11" s="1047" t="s">
        <v>2759</v>
      </c>
      <c r="Y11" s="1638">
        <f>$G$3</f>
        <v>2</v>
      </c>
      <c r="Z11" s="1638">
        <f t="shared" ref="Z11:AJ11" si="3">$G$3</f>
        <v>2</v>
      </c>
      <c r="AA11" s="1638">
        <f t="shared" si="3"/>
        <v>2</v>
      </c>
      <c r="AB11" s="1638">
        <f t="shared" si="3"/>
        <v>2</v>
      </c>
      <c r="AC11" s="1638">
        <f t="shared" si="3"/>
        <v>2</v>
      </c>
      <c r="AD11" s="1638">
        <f t="shared" si="3"/>
        <v>2</v>
      </c>
      <c r="AE11" s="1638">
        <f t="shared" si="3"/>
        <v>2</v>
      </c>
      <c r="AF11" s="1638">
        <f t="shared" si="3"/>
        <v>2</v>
      </c>
      <c r="AG11" s="1638">
        <f t="shared" si="3"/>
        <v>2</v>
      </c>
      <c r="AH11" s="1638">
        <f t="shared" si="3"/>
        <v>2</v>
      </c>
      <c r="AI11" s="1638">
        <f t="shared" si="3"/>
        <v>2</v>
      </c>
      <c r="AJ11" s="1638">
        <f t="shared" si="3"/>
        <v>2</v>
      </c>
    </row>
    <row r="12" spans="1:39" ht="25.5" thickBot="1">
      <c r="A12" s="3409"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9"/>
      <c r="X12" s="2889" t="s">
        <v>2775</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1"/>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t="e">
        <f t="shared" si="0"/>
        <v>#DIV/0!</v>
      </c>
      <c r="U13" s="2881"/>
      <c r="V13" s="2892" t="e">
        <f t="shared" si="1"/>
        <v>#DIV/0!</v>
      </c>
      <c r="W13" s="3419"/>
      <c r="X13" s="2889"/>
      <c r="Y13" s="2888">
        <f>(-0.163*(Y12^2)-0.59*Y12+7617)*(10^(-4))/Y11</f>
        <v>0.38085000000000002</v>
      </c>
      <c r="Z13" s="2888">
        <f t="shared" ref="Z13:AJ13" si="5">(-0.163*(Z12^2)-0.59*Z12+7617)*(10^(-4))/Z11</f>
        <v>0.38085000000000002</v>
      </c>
      <c r="AA13" s="2888">
        <f t="shared" si="5"/>
        <v>0.38085000000000002</v>
      </c>
      <c r="AB13" s="2888">
        <f t="shared" si="5"/>
        <v>0.38085000000000002</v>
      </c>
      <c r="AC13" s="2888">
        <f t="shared" si="5"/>
        <v>0.38085000000000002</v>
      </c>
      <c r="AD13" s="2888">
        <f t="shared" si="5"/>
        <v>0.38085000000000002</v>
      </c>
      <c r="AE13" s="2888">
        <f t="shared" si="5"/>
        <v>0.38085000000000002</v>
      </c>
      <c r="AF13" s="2888">
        <f t="shared" si="5"/>
        <v>0.38085000000000002</v>
      </c>
      <c r="AG13" s="2888">
        <f t="shared" si="5"/>
        <v>0.38085000000000002</v>
      </c>
      <c r="AH13" s="2888">
        <f t="shared" si="5"/>
        <v>0.38085000000000002</v>
      </c>
      <c r="AI13" s="2888">
        <f t="shared" si="5"/>
        <v>0.38085000000000002</v>
      </c>
      <c r="AJ13" s="2888">
        <f t="shared" si="5"/>
        <v>0.38085000000000002</v>
      </c>
    </row>
    <row r="14" spans="1:39" ht="12.75" customHeight="1">
      <c r="A14" s="3411"/>
      <c r="B14" s="1447"/>
      <c r="C14" s="1448"/>
      <c r="D14" s="1449"/>
      <c r="E14" s="1449"/>
      <c r="F14" s="1450"/>
      <c r="G14" s="1451" t="s">
        <v>947</v>
      </c>
      <c r="H14" s="1452"/>
      <c r="I14" s="1453"/>
      <c r="J14" s="1454"/>
      <c r="K14" s="3144"/>
      <c r="L14" s="3144"/>
      <c r="M14" s="3144"/>
      <c r="N14" s="3144"/>
      <c r="O14" s="314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12"/>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09" t="s">
        <v>1836</v>
      </c>
      <c r="B16" s="1423" t="s">
        <v>948</v>
      </c>
      <c r="C16" s="1051" t="e">
        <f>ROUND(IF(F17="与级别开发程度一致",0,(G17-E17)/C17),0)</f>
        <v>#DIV/0!</v>
      </c>
      <c r="D16" s="3427" t="s">
        <v>952</v>
      </c>
      <c r="E16" s="3428"/>
      <c r="F16" s="3427" t="s">
        <v>949</v>
      </c>
      <c r="G16" s="3428"/>
      <c r="H16" s="1455"/>
      <c r="I16" s="1455"/>
      <c r="J16" s="1455"/>
      <c r="K16" s="1455"/>
      <c r="L16" s="1455"/>
      <c r="M16" s="1455"/>
      <c r="N16" s="1455"/>
      <c r="O16" s="316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13"/>
      <c r="B17" s="3169" t="s">
        <v>951</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0</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44034</v>
      </c>
      <c r="H19" s="1463" t="s">
        <v>2984</v>
      </c>
      <c r="I19" s="2740" t="str">
        <f>IF(H19="季度增幅（自定义）",SUMIF(N21:N24,E2,O21:O24),"")</f>
        <v/>
      </c>
      <c r="J19" s="1459"/>
      <c r="K19" s="3143"/>
      <c r="L19" s="2992" t="s">
        <v>2834</v>
      </c>
      <c r="M19" s="2993">
        <f>ROUND(SUMIF(地价!B2:F2,E2,地价!B30:F30),0)</f>
        <v>0</v>
      </c>
      <c r="N19" s="2742" t="s">
        <v>1674</v>
      </c>
      <c r="O19" s="2741">
        <f>ROUNDDOWN(DATEDIF(E19,G19,"M")/3,0)</f>
        <v>26</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1">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5"/>
      <c r="L20" s="2994" t="s">
        <v>2835</v>
      </c>
      <c r="M20" s="3152">
        <f>ROUND(SUMPRODUCT((地价!A4:A30=YEAR(G19)&amp;"-"&amp;ROUNDUP(MONTH(G19)/3,0))*(地价!B2:F2=E2)*(地价!B4:F30)),0)</f>
        <v>0</v>
      </c>
      <c r="N20" s="2745" t="s">
        <v>2638</v>
      </c>
      <c r="O20" s="2743" t="s">
        <v>2637</v>
      </c>
      <c r="P20" s="2744" t="s">
        <v>2643</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3"/>
      <c r="L21" s="1469"/>
      <c r="M21" s="1469"/>
      <c r="N21" s="1466" t="s">
        <v>973</v>
      </c>
      <c r="O21" s="1529"/>
      <c r="P21" s="2732">
        <f>SUMPRODUCT((地价!A3:A30=YEAR(G19)&amp;"-"&amp;ROUNDUP(MONTH(G19)/3,0))*(地价!AD2:AH2=N21)*(地价!AD3:AH30))</f>
        <v>0</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2</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6"/>
      <c r="L22" s="1469"/>
      <c r="M22" s="1469"/>
      <c r="N22" s="1466" t="s">
        <v>976</v>
      </c>
      <c r="O22" s="1529"/>
      <c r="P22" s="2732">
        <f>SUMPRODUCT((地价!A3:A30=YEAR(G19)&amp;"-"&amp;ROUNDUP(MONTH(G19)/3,0))*(地价!AD2:AH2=N22)*(地价!AD3:AH30))</f>
        <v>0</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7"/>
      <c r="L23" s="1397"/>
      <c r="M23" s="1397"/>
      <c r="N23" s="1466" t="s">
        <v>921</v>
      </c>
      <c r="O23" s="1529"/>
      <c r="P23" s="2732">
        <f>SUMPRODUCT((地价!A3:A30=YEAR(G19)&amp;"-"&amp;ROUNDUP(MONTH(G19)/3,0))*(地价!AD2:AH2=N23)*(地价!AD3:AH30))</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7"/>
      <c r="L24" s="1469"/>
      <c r="M24" s="1469"/>
      <c r="N24" s="1466" t="s">
        <v>979</v>
      </c>
      <c r="O24" s="3151"/>
      <c r="P24" s="2732">
        <f>SUMPRODUCT((地价!A3:A30=YEAR(G19)&amp;"-"&amp;ROUNDUP(MONTH(G19)/3,0))*(地价!AD2:AH2=N24)*(地价!AD3:AH30))</f>
        <v>0</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2641</v>
      </c>
      <c r="O25" s="3154"/>
      <c r="P25" s="2411">
        <f>SUMPRODUCT((地价!A3:A30=YEAR(G19)&amp;"-"&amp;ROUNDUP(MONTH(G19)/3,0))*(地价!AD2:AH2=N25)*(地价!AD3:AH30))</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16" t="s">
        <v>2954</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17"/>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17"/>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18"/>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2978</v>
      </c>
      <c r="C41" s="839" t="e">
        <f>ROUND(POWER(1+E41,H41-G41)*(POWER(1+E41,G41)-1)/(POWER(1+E41,H41)-1),4)</f>
        <v>#DIV/0!</v>
      </c>
      <c r="D41" s="378" t="s">
        <v>2976</v>
      </c>
      <c r="E41" s="3140">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2412</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2931</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2930</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2412</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2932</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2930</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2412</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2930</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2412</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2930</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14" t="s">
        <v>1631</v>
      </c>
      <c r="B90" s="3414"/>
      <c r="C90" s="3414"/>
      <c r="D90" s="3414"/>
      <c r="E90" s="3414"/>
      <c r="F90" s="3414"/>
      <c r="G90" s="3414"/>
      <c r="H90" s="3414"/>
      <c r="I90" s="3414"/>
      <c r="J90" s="3414"/>
      <c r="K90" s="2414"/>
      <c r="L90" s="2414"/>
      <c r="M90" s="2414"/>
      <c r="N90" s="2414"/>
    </row>
    <row r="91" spans="1:40">
      <c r="A91" s="3415" t="s">
        <v>1441</v>
      </c>
      <c r="B91" s="3415" t="s">
        <v>1632</v>
      </c>
      <c r="C91" s="1135" t="s">
        <v>1633</v>
      </c>
      <c r="D91" s="1136"/>
      <c r="E91" s="1136"/>
      <c r="F91" s="1136"/>
      <c r="G91" s="1136"/>
      <c r="H91" s="1136"/>
      <c r="I91" s="1136"/>
      <c r="J91" s="1137"/>
      <c r="K91" s="1129"/>
      <c r="L91" s="1129"/>
      <c r="M91" s="1129"/>
      <c r="N91" s="1129"/>
    </row>
    <row r="92" spans="1:40">
      <c r="A92" s="3415"/>
      <c r="B92" s="3415"/>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22"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3"/>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2" t="s">
        <v>1635</v>
      </c>
      <c r="B101" s="1142" t="s">
        <v>904</v>
      </c>
      <c r="C101" s="1143">
        <f>$G$3</f>
        <v>2</v>
      </c>
      <c r="D101" s="1143">
        <f t="shared" ref="D101:N101" si="31">$G$3</f>
        <v>2</v>
      </c>
      <c r="E101" s="1143">
        <f t="shared" si="31"/>
        <v>2</v>
      </c>
      <c r="F101" s="1143">
        <f t="shared" si="31"/>
        <v>2</v>
      </c>
      <c r="G101" s="1143">
        <f t="shared" si="31"/>
        <v>2</v>
      </c>
      <c r="H101" s="1143">
        <f t="shared" si="31"/>
        <v>2</v>
      </c>
      <c r="I101" s="1143">
        <f t="shared" si="31"/>
        <v>2</v>
      </c>
      <c r="J101" s="1143">
        <f t="shared" si="31"/>
        <v>2</v>
      </c>
      <c r="K101" s="1143">
        <f t="shared" si="31"/>
        <v>2</v>
      </c>
      <c r="L101" s="1143">
        <f t="shared" si="31"/>
        <v>2</v>
      </c>
      <c r="M101" s="1143">
        <f t="shared" si="31"/>
        <v>2</v>
      </c>
      <c r="N101" s="1143">
        <f t="shared" si="31"/>
        <v>2</v>
      </c>
    </row>
    <row r="102" spans="1:14">
      <c r="A102" s="3423"/>
      <c r="B102" s="1138">
        <v>1</v>
      </c>
      <c r="C102" s="1139">
        <f>1.9362/C101</f>
        <v>0.96809999999999996</v>
      </c>
      <c r="D102" s="1139">
        <f>1.9362/D101</f>
        <v>0.96809999999999996</v>
      </c>
      <c r="E102" s="1139">
        <f>1.8629/E101</f>
        <v>0.93145</v>
      </c>
      <c r="F102" s="1139">
        <f>1.8629/F101</f>
        <v>0.93145</v>
      </c>
      <c r="G102" s="1139">
        <f>1.8629/G101</f>
        <v>0.93145</v>
      </c>
      <c r="H102" s="1139">
        <f>1.8629/H101</f>
        <v>0.93145</v>
      </c>
      <c r="I102" s="1139">
        <f>1.8629/I101</f>
        <v>0.93145</v>
      </c>
      <c r="J102" s="1139">
        <f>1.942/J101</f>
        <v>0.97099999999999997</v>
      </c>
      <c r="K102" s="1139">
        <f>1.942/K101</f>
        <v>0.97099999999999997</v>
      </c>
      <c r="L102" s="1139">
        <f>1.942/L101</f>
        <v>0.97099999999999997</v>
      </c>
      <c r="M102" s="1139">
        <f>1.942/M101</f>
        <v>0.97099999999999997</v>
      </c>
      <c r="N102" s="1139">
        <f>1.942/N101</f>
        <v>0.97099999999999997</v>
      </c>
    </row>
    <row r="103" spans="1:14">
      <c r="A103" s="3423"/>
      <c r="B103" s="1138">
        <v>2</v>
      </c>
      <c r="C103" s="1139">
        <f>1.4198/C101</f>
        <v>0.70989999999999998</v>
      </c>
      <c r="D103" s="1139">
        <f>1.4198/D101</f>
        <v>0.70989999999999998</v>
      </c>
      <c r="E103" s="1139">
        <f>1.3372/E101</f>
        <v>0.66859999999999997</v>
      </c>
      <c r="F103" s="1139">
        <f>1.3372/F101</f>
        <v>0.66859999999999997</v>
      </c>
      <c r="G103" s="1139">
        <f>1.3372/G101</f>
        <v>0.66859999999999997</v>
      </c>
      <c r="H103" s="1139">
        <f>1.3372/H101</f>
        <v>0.66859999999999997</v>
      </c>
      <c r="I103" s="1139">
        <f>1.3372/I101</f>
        <v>0.66859999999999997</v>
      </c>
      <c r="J103" s="1139">
        <f>1.2799/J101</f>
        <v>0.63995000000000002</v>
      </c>
      <c r="K103" s="1139">
        <f>1.2799/K101</f>
        <v>0.63995000000000002</v>
      </c>
      <c r="L103" s="1139">
        <f>1.2799/L101</f>
        <v>0.63995000000000002</v>
      </c>
      <c r="M103" s="1139">
        <f>1.2799/M101</f>
        <v>0.63995000000000002</v>
      </c>
      <c r="N103" s="1139">
        <f>1.2799/N101</f>
        <v>0.63995000000000002</v>
      </c>
    </row>
    <row r="104" spans="1:14">
      <c r="A104" s="3423"/>
      <c r="B104" s="1138">
        <v>3</v>
      </c>
      <c r="C104" s="1139">
        <f>1.1594/C101</f>
        <v>0.57969999999999999</v>
      </c>
      <c r="D104" s="1139">
        <f>1.1594/D101</f>
        <v>0.57969999999999999</v>
      </c>
      <c r="E104" s="1139">
        <f>1.0788/E101</f>
        <v>0.53939999999999999</v>
      </c>
      <c r="F104" s="1139">
        <f>1.0788/F101</f>
        <v>0.53939999999999999</v>
      </c>
      <c r="G104" s="1139">
        <f>1.0788/G101</f>
        <v>0.53939999999999999</v>
      </c>
      <c r="H104" s="1139">
        <f>1.0788/H101</f>
        <v>0.53939999999999999</v>
      </c>
      <c r="I104" s="1139">
        <f>1.0788/I101</f>
        <v>0.53939999999999999</v>
      </c>
      <c r="J104" s="1139">
        <f>1.0072/J101</f>
        <v>0.50360000000000005</v>
      </c>
      <c r="K104" s="1139">
        <f>1.0072/K101</f>
        <v>0.50360000000000005</v>
      </c>
      <c r="L104" s="1139">
        <f>1.0072/L101</f>
        <v>0.50360000000000005</v>
      </c>
      <c r="M104" s="1139">
        <f>1.0072/M101</f>
        <v>0.50360000000000005</v>
      </c>
      <c r="N104" s="1139">
        <f>1.0072/N101</f>
        <v>0.50360000000000005</v>
      </c>
    </row>
    <row r="105" spans="1:14">
      <c r="A105" s="3423"/>
      <c r="B105" s="1138">
        <v>4</v>
      </c>
      <c r="C105" s="1139">
        <f>0.9622/C101</f>
        <v>0.48110000000000003</v>
      </c>
      <c r="D105" s="1139">
        <f>0.9622/D101</f>
        <v>0.48110000000000003</v>
      </c>
      <c r="E105" s="1139">
        <f>0.8656/E101</f>
        <v>0.43280000000000002</v>
      </c>
      <c r="F105" s="1139">
        <f>0.8656/F101</f>
        <v>0.43280000000000002</v>
      </c>
      <c r="G105" s="1139">
        <f>0.8656/G101</f>
        <v>0.43280000000000002</v>
      </c>
      <c r="H105" s="1139">
        <f>0.8656/H101</f>
        <v>0.43280000000000002</v>
      </c>
      <c r="I105" s="1139">
        <f>0.8656/I101</f>
        <v>0.43280000000000002</v>
      </c>
      <c r="J105" s="1139">
        <f>0.7525/J101</f>
        <v>0.37624999999999997</v>
      </c>
      <c r="K105" s="1139">
        <f>0.7525/K101</f>
        <v>0.37624999999999997</v>
      </c>
      <c r="L105" s="1139">
        <f>0.7525/L101</f>
        <v>0.37624999999999997</v>
      </c>
      <c r="M105" s="1139">
        <f>0.7525/M101</f>
        <v>0.37624999999999997</v>
      </c>
      <c r="N105" s="1139">
        <f>0.7525/N101</f>
        <v>0.37624999999999997</v>
      </c>
    </row>
    <row r="106" spans="1:14">
      <c r="A106" s="3423"/>
      <c r="B106" s="1138">
        <v>5</v>
      </c>
      <c r="C106" s="1139">
        <f>0.8417/C101</f>
        <v>0.42085</v>
      </c>
      <c r="D106" s="1139">
        <f>0.8417/D101</f>
        <v>0.42085</v>
      </c>
      <c r="E106" s="1139">
        <f>0.7371/E101</f>
        <v>0.36854999999999999</v>
      </c>
      <c r="F106" s="1139">
        <f>0.7371/F101</f>
        <v>0.36854999999999999</v>
      </c>
      <c r="G106" s="1139">
        <f>0.7371/G101</f>
        <v>0.36854999999999999</v>
      </c>
      <c r="H106" s="1139">
        <f>0.7371/H101</f>
        <v>0.36854999999999999</v>
      </c>
      <c r="I106" s="1139">
        <f>0.7371/I101</f>
        <v>0.36854999999999999</v>
      </c>
      <c r="J106" s="1139">
        <f>0.5659/J101</f>
        <v>0.28294999999999998</v>
      </c>
      <c r="K106" s="1139">
        <f>0.5659/K101</f>
        <v>0.28294999999999998</v>
      </c>
      <c r="L106" s="1139">
        <f>0.5659/L101</f>
        <v>0.28294999999999998</v>
      </c>
      <c r="M106" s="1139">
        <f>0.5659/M101</f>
        <v>0.28294999999999998</v>
      </c>
      <c r="N106" s="1139">
        <f>0.5659/N101</f>
        <v>0.28294999999999998</v>
      </c>
    </row>
    <row r="107" spans="1:14">
      <c r="A107" s="3423"/>
      <c r="B107" s="1138">
        <v>6</v>
      </c>
      <c r="C107" s="1139">
        <f>0.7608/C101</f>
        <v>0.38040000000000002</v>
      </c>
      <c r="D107" s="1139">
        <f>0.7608/D101</f>
        <v>0.38040000000000002</v>
      </c>
      <c r="E107" s="1139">
        <f>0.6482/E101</f>
        <v>0.3241</v>
      </c>
      <c r="F107" s="1139">
        <f>0.6482/F101</f>
        <v>0.3241</v>
      </c>
      <c r="G107" s="1139">
        <f>0.6482/G101</f>
        <v>0.3241</v>
      </c>
      <c r="H107" s="1139">
        <f>0.6482/H101</f>
        <v>0.3241</v>
      </c>
      <c r="I107" s="1139">
        <f>0.6482/I101</f>
        <v>0.3241</v>
      </c>
      <c r="J107" s="1139">
        <f>0.4525/J101</f>
        <v>0.22625000000000001</v>
      </c>
      <c r="K107" s="1139">
        <f>0.4525/K101</f>
        <v>0.22625000000000001</v>
      </c>
      <c r="L107" s="1139">
        <f>0.4525/L101</f>
        <v>0.22625000000000001</v>
      </c>
      <c r="M107" s="1139">
        <f>0.4525/M101</f>
        <v>0.22625000000000001</v>
      </c>
      <c r="N107" s="1139">
        <f>0.4525/N101</f>
        <v>0.22625000000000001</v>
      </c>
    </row>
    <row r="108" spans="1:14">
      <c r="A108" s="3423"/>
      <c r="B108" s="3425"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4"/>
      <c r="B109" s="3426"/>
      <c r="C109" s="1141">
        <f>(-0.163*(C108^2)-0.59*C108+7617)*(10^(-4))/C101</f>
        <v>0.3800924</v>
      </c>
      <c r="D109" s="1141">
        <f>(-0.163*(D108^2)-0.59*D108+7617)*(10^(-4))/D101</f>
        <v>0.3800924</v>
      </c>
      <c r="E109" s="1141">
        <f>(-0.161*(E108^2)-7.509*E108+6533)*(10^(-4))/E101</f>
        <v>0.32313120000000001</v>
      </c>
      <c r="F109" s="1141">
        <f>(-0.161*(F108^2)-7.509*F108+6533)*(10^(-4))/F101</f>
        <v>0.32313120000000001</v>
      </c>
      <c r="G109" s="1141">
        <f>(-0.161*(G108^2)-7.509*G108+6533)*(10^(-4))/G101</f>
        <v>0.32313120000000001</v>
      </c>
      <c r="H109" s="1141">
        <f>(-0.161*(H108^2)-7.509*H108+6533)*(10^(-4))/H101</f>
        <v>0.32313120000000001</v>
      </c>
      <c r="I109" s="1141">
        <f>(-0.161*(I108^2)-7.509*I108+6533)*(10^(-4))/I101</f>
        <v>0.32313120000000001</v>
      </c>
      <c r="J109" s="1141">
        <f>(-0.214*(J108^2)-21.991*J108+4665)*(10^(-4))/J101</f>
        <v>0.22376880000000002</v>
      </c>
      <c r="K109" s="1141">
        <f>(-0.214*(K108^2)-21.991*K108+4665)*(10^(-4))/K101</f>
        <v>0.22376880000000002</v>
      </c>
      <c r="L109" s="1141">
        <f>(-0.214*(L108^2)-21.991*L108+4665)*(10^(-4))/L101</f>
        <v>0.22376880000000002</v>
      </c>
      <c r="M109" s="1141">
        <f>(-0.214*(M108^2)-21.991*M108+4665)*(10^(-4))/M101</f>
        <v>0.22376880000000002</v>
      </c>
      <c r="N109" s="1141">
        <f>(-0.214*(N108^2)-21.991*N108+4665)*(10^(-4))/N101</f>
        <v>0.22376880000000002</v>
      </c>
    </row>
    <row r="110" spans="1:14">
      <c r="A110" s="3408" t="s">
        <v>1637</v>
      </c>
      <c r="B110" s="3408"/>
      <c r="C110" s="3408"/>
      <c r="D110" s="3408"/>
      <c r="E110" s="3408"/>
      <c r="F110" s="3408"/>
      <c r="G110" s="3408"/>
      <c r="H110" s="3408"/>
      <c r="I110" s="3408"/>
      <c r="J110" s="3408"/>
      <c r="K110" s="2412"/>
      <c r="L110" s="2412"/>
      <c r="M110" s="2412"/>
      <c r="N110" s="2412"/>
    </row>
    <row r="112" spans="1:14" ht="12.75" thickBot="1"/>
    <row r="113" spans="1:13" ht="25.5" thickBot="1">
      <c r="A113" s="1015" t="s">
        <v>894</v>
      </c>
      <c r="B113" s="2415">
        <f>G3</f>
        <v>2</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899</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900</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901</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2981</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15" t="s">
        <v>1005</v>
      </c>
      <c r="B18" s="1149" t="s">
        <v>1444</v>
      </c>
      <c r="C18" s="1126" t="s">
        <v>1445</v>
      </c>
      <c r="D18" s="1127"/>
      <c r="E18" s="1149">
        <v>1</v>
      </c>
      <c r="F18" s="1128" t="s">
        <v>1446</v>
      </c>
      <c r="G18" s="1129"/>
      <c r="H18" s="1100"/>
      <c r="I18" s="1100"/>
    </row>
    <row r="19" spans="1:9" s="1584" customFormat="1" ht="19.5" customHeight="1">
      <c r="A19" s="3415"/>
      <c r="B19" s="3415" t="s">
        <v>1447</v>
      </c>
      <c r="C19" s="1126" t="s">
        <v>1448</v>
      </c>
      <c r="D19" s="1127"/>
      <c r="E19" s="1149">
        <v>0.9</v>
      </c>
      <c r="F19" s="1128" t="s">
        <v>1449</v>
      </c>
      <c r="G19" s="1129"/>
      <c r="H19" s="1100"/>
      <c r="I19" s="1100"/>
    </row>
    <row r="20" spans="1:9" s="1584" customFormat="1" ht="19.5" customHeight="1">
      <c r="A20" s="3415"/>
      <c r="B20" s="3415"/>
      <c r="C20" s="1126" t="s">
        <v>1450</v>
      </c>
      <c r="D20" s="1127"/>
      <c r="E20" s="1149">
        <v>1.1000000000000001</v>
      </c>
      <c r="F20" s="1128" t="s">
        <v>1451</v>
      </c>
      <c r="G20" s="1129"/>
      <c r="H20" s="1100"/>
      <c r="I20" s="1100"/>
    </row>
    <row r="21" spans="1:9" s="1584" customFormat="1" ht="19.5" customHeight="1">
      <c r="A21" s="3415"/>
      <c r="B21" s="3415"/>
      <c r="C21" s="1126" t="s">
        <v>1452</v>
      </c>
      <c r="D21" s="1127"/>
      <c r="E21" s="1149">
        <v>0.8</v>
      </c>
      <c r="F21" s="1128" t="s">
        <v>1453</v>
      </c>
      <c r="G21" s="1129"/>
      <c r="H21" s="1100"/>
      <c r="I21" s="1100"/>
    </row>
    <row r="22" spans="1:9" s="1584" customFormat="1" ht="19.5" customHeight="1">
      <c r="A22" s="3415"/>
      <c r="B22" s="3415"/>
      <c r="C22" s="1126" t="s">
        <v>1454</v>
      </c>
      <c r="D22" s="1127"/>
      <c r="E22" s="1149">
        <v>0.5</v>
      </c>
      <c r="F22" s="1128"/>
      <c r="G22" s="1129"/>
      <c r="H22" s="1100"/>
      <c r="I22" s="1100"/>
    </row>
    <row r="23" spans="1:9" s="1584" customFormat="1" ht="19.5" customHeight="1">
      <c r="A23" s="3415" t="s">
        <v>1027</v>
      </c>
      <c r="B23" s="1149" t="s">
        <v>1444</v>
      </c>
      <c r="C23" s="1126" t="s">
        <v>1455</v>
      </c>
      <c r="D23" s="1127"/>
      <c r="E23" s="1149">
        <v>1</v>
      </c>
      <c r="F23" s="1128" t="s">
        <v>1456</v>
      </c>
      <c r="G23" s="1129"/>
      <c r="H23" s="1100"/>
      <c r="I23" s="1100"/>
    </row>
    <row r="24" spans="1:9" s="1584" customFormat="1" ht="19.5" customHeight="1">
      <c r="A24" s="3415"/>
      <c r="B24" s="3415" t="s">
        <v>1447</v>
      </c>
      <c r="C24" s="1126" t="s">
        <v>1457</v>
      </c>
      <c r="D24" s="1127"/>
      <c r="E24" s="1149">
        <v>0.5</v>
      </c>
      <c r="F24" s="1128"/>
      <c r="G24" s="1129"/>
      <c r="H24" s="1100"/>
      <c r="I24" s="1100"/>
    </row>
    <row r="25" spans="1:9" s="1584" customFormat="1" ht="19.5" customHeight="1">
      <c r="A25" s="3415"/>
      <c r="B25" s="3415"/>
      <c r="C25" s="1126" t="s">
        <v>1458</v>
      </c>
      <c r="D25" s="1127"/>
      <c r="E25" s="1149">
        <v>1.1000000000000001</v>
      </c>
      <c r="F25" s="1128"/>
      <c r="G25" s="1129"/>
      <c r="H25" s="1100"/>
      <c r="I25" s="1100"/>
    </row>
    <row r="26" spans="1:9" s="1584" customFormat="1" ht="19.5" customHeight="1">
      <c r="A26" s="3415"/>
      <c r="B26" s="3415"/>
      <c r="C26" s="1126" t="s">
        <v>1459</v>
      </c>
      <c r="D26" s="1127"/>
      <c r="E26" s="1149">
        <v>1.1000000000000001</v>
      </c>
      <c r="F26" s="1128"/>
      <c r="G26" s="1129"/>
      <c r="H26" s="1100"/>
      <c r="I26" s="1100"/>
    </row>
    <row r="27" spans="1:9" s="1584" customFormat="1" ht="19.5" customHeight="1">
      <c r="A27" s="3415"/>
      <c r="B27" s="3415"/>
      <c r="C27" s="1126" t="s">
        <v>1460</v>
      </c>
      <c r="D27" s="1127"/>
      <c r="E27" s="1149">
        <v>0.9</v>
      </c>
      <c r="F27" s="1128" t="s">
        <v>1461</v>
      </c>
      <c r="G27" s="1129"/>
      <c r="H27" s="1100"/>
      <c r="I27" s="1100"/>
    </row>
    <row r="28" spans="1:9" s="1584" customFormat="1" ht="19.5" customHeight="1">
      <c r="A28" s="3415"/>
      <c r="B28" s="3415"/>
      <c r="C28" s="1126" t="s">
        <v>1462</v>
      </c>
      <c r="D28" s="1127"/>
      <c r="E28" s="1149">
        <v>0.9</v>
      </c>
      <c r="F28" s="1128" t="s">
        <v>1463</v>
      </c>
      <c r="G28" s="1129"/>
      <c r="H28" s="1100"/>
      <c r="I28" s="1100"/>
    </row>
    <row r="29" spans="1:9" s="1584" customFormat="1" ht="19.5" customHeight="1">
      <c r="A29" s="3415"/>
      <c r="B29" s="3415"/>
      <c r="C29" s="1126" t="s">
        <v>1464</v>
      </c>
      <c r="D29" s="1127"/>
      <c r="E29" s="1149">
        <v>0.9</v>
      </c>
      <c r="F29" s="1128" t="s">
        <v>1465</v>
      </c>
      <c r="G29" s="1129"/>
      <c r="H29" s="1100"/>
      <c r="I29" s="1100"/>
    </row>
    <row r="30" spans="1:9" s="1584" customFormat="1" ht="19.5" customHeight="1">
      <c r="A30" s="3415"/>
      <c r="B30" s="3415"/>
      <c r="C30" s="1126" t="s">
        <v>1466</v>
      </c>
      <c r="D30" s="1127"/>
      <c r="E30" s="1149">
        <v>0.9</v>
      </c>
      <c r="F30" s="1128" t="s">
        <v>1467</v>
      </c>
      <c r="G30" s="1129"/>
      <c r="H30" s="1100"/>
      <c r="I30" s="1100"/>
    </row>
    <row r="31" spans="1:9" s="1584" customFormat="1" ht="19.5" customHeight="1">
      <c r="A31" s="3415"/>
      <c r="B31" s="3415"/>
      <c r="C31" s="1126" t="s">
        <v>1468</v>
      </c>
      <c r="D31" s="1127"/>
      <c r="E31" s="1149">
        <v>0.8</v>
      </c>
      <c r="F31" s="1128" t="s">
        <v>1469</v>
      </c>
      <c r="G31" s="1129"/>
      <c r="H31" s="1100"/>
      <c r="I31" s="1100"/>
    </row>
    <row r="32" spans="1:9" s="1584" customFormat="1" ht="19.5" customHeight="1">
      <c r="A32" s="3415"/>
      <c r="B32" s="3415"/>
      <c r="C32" s="1126" t="s">
        <v>1470</v>
      </c>
      <c r="D32" s="1127"/>
      <c r="E32" s="1149">
        <v>0.8</v>
      </c>
      <c r="F32" s="1128" t="s">
        <v>1471</v>
      </c>
      <c r="G32" s="1129"/>
      <c r="H32" s="1100"/>
      <c r="I32" s="1100"/>
    </row>
    <row r="33" spans="1:9" s="1584" customFormat="1" ht="19.5" customHeight="1">
      <c r="A33" s="3415" t="s">
        <v>1472</v>
      </c>
      <c r="B33" s="1149" t="s">
        <v>1444</v>
      </c>
      <c r="C33" s="1126" t="s">
        <v>1473</v>
      </c>
      <c r="D33" s="1127"/>
      <c r="E33" s="1149">
        <v>1</v>
      </c>
      <c r="F33" s="1128" t="s">
        <v>1474</v>
      </c>
      <c r="G33" s="1129"/>
      <c r="H33" s="1100"/>
      <c r="I33" s="1100"/>
    </row>
    <row r="34" spans="1:9" s="1584" customFormat="1" ht="19.5" customHeight="1">
      <c r="A34" s="3415"/>
      <c r="B34" s="1149" t="s">
        <v>1447</v>
      </c>
      <c r="C34" s="1126" t="s">
        <v>1475</v>
      </c>
      <c r="D34" s="1127"/>
      <c r="E34" s="1149">
        <v>1.5</v>
      </c>
      <c r="F34" s="1128" t="s">
        <v>1476</v>
      </c>
      <c r="G34" s="1129"/>
      <c r="H34" s="1100"/>
      <c r="I34" s="1100"/>
    </row>
    <row r="35" spans="1:9" s="1584" customFormat="1" ht="19.5" customHeight="1">
      <c r="A35" s="3415" t="s">
        <v>1430</v>
      </c>
      <c r="B35" s="1149" t="s">
        <v>1444</v>
      </c>
      <c r="C35" s="1126" t="s">
        <v>1477</v>
      </c>
      <c r="D35" s="1127"/>
      <c r="E35" s="1149">
        <v>1</v>
      </c>
      <c r="F35" s="1128" t="s">
        <v>1478</v>
      </c>
      <c r="G35" s="1129"/>
      <c r="H35" s="1100"/>
      <c r="I35" s="1100"/>
    </row>
    <row r="36" spans="1:9" s="1584" customFormat="1" ht="19.5" customHeight="1">
      <c r="A36" s="3415"/>
      <c r="B36" s="3415" t="s">
        <v>1447</v>
      </c>
      <c r="C36" s="1126" t="s">
        <v>1479</v>
      </c>
      <c r="D36" s="1127"/>
      <c r="E36" s="1149">
        <v>1</v>
      </c>
      <c r="F36" s="1128" t="s">
        <v>1480</v>
      </c>
      <c r="G36" s="1129"/>
      <c r="H36" s="1100"/>
      <c r="I36" s="1100"/>
    </row>
    <row r="37" spans="1:9" s="1584" customFormat="1" ht="19.5" customHeight="1">
      <c r="A37" s="3415"/>
      <c r="B37" s="3415"/>
      <c r="C37" s="1126" t="s">
        <v>1481</v>
      </c>
      <c r="D37" s="1127"/>
      <c r="E37" s="1149">
        <v>1.5</v>
      </c>
      <c r="F37" s="1128" t="s">
        <v>1482</v>
      </c>
      <c r="G37" s="1129"/>
      <c r="H37" s="1100"/>
      <c r="I37" s="1100"/>
    </row>
    <row r="38" spans="1:9" s="1584" customFormat="1" ht="19.5" customHeight="1">
      <c r="A38" s="3415"/>
      <c r="B38" s="3415"/>
      <c r="C38" s="1126" t="s">
        <v>1483</v>
      </c>
      <c r="D38" s="1127"/>
      <c r="E38" s="1149">
        <v>1</v>
      </c>
      <c r="F38" s="1128" t="s">
        <v>1484</v>
      </c>
      <c r="G38" s="1129"/>
      <c r="H38" s="1100"/>
      <c r="I38" s="1100"/>
    </row>
    <row r="39" spans="1:9" s="1584" customFormat="1" ht="19.5" customHeight="1">
      <c r="A39" s="3415"/>
      <c r="B39" s="3415"/>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15" t="s">
        <v>1499</v>
      </c>
      <c r="C61" s="1063" t="s">
        <v>1500</v>
      </c>
      <c r="D61" s="1063" t="s">
        <v>1501</v>
      </c>
      <c r="E61" s="1134">
        <v>0.5</v>
      </c>
      <c r="F61" s="1149">
        <v>80</v>
      </c>
      <c r="H61" s="1100">
        <f>SUMIF(C59:C119,基准地价!C8,E59:E119)</f>
        <v>0</v>
      </c>
    </row>
    <row r="62" spans="1:8" s="1100" customFormat="1" ht="24">
      <c r="A62" s="1149">
        <v>2</v>
      </c>
      <c r="B62" s="3415"/>
      <c r="C62" s="1063" t="s">
        <v>1502</v>
      </c>
      <c r="D62" s="1063" t="s">
        <v>1503</v>
      </c>
      <c r="E62" s="1134">
        <v>0.5</v>
      </c>
      <c r="F62" s="1149">
        <v>80</v>
      </c>
    </row>
    <row r="63" spans="1:8" s="1100" customFormat="1" ht="36">
      <c r="A63" s="1149">
        <v>3</v>
      </c>
      <c r="B63" s="3415"/>
      <c r="C63" s="1063" t="s">
        <v>1504</v>
      </c>
      <c r="D63" s="1063" t="s">
        <v>1505</v>
      </c>
      <c r="E63" s="1134">
        <v>0.5</v>
      </c>
      <c r="F63" s="1149">
        <v>80</v>
      </c>
    </row>
    <row r="64" spans="1:8" s="1100" customFormat="1" ht="36">
      <c r="A64" s="1149">
        <v>4</v>
      </c>
      <c r="B64" s="3415"/>
      <c r="C64" s="1063" t="s">
        <v>1506</v>
      </c>
      <c r="D64" s="1063" t="s">
        <v>1507</v>
      </c>
      <c r="E64" s="1134">
        <v>0.4</v>
      </c>
      <c r="F64" s="1149">
        <v>60</v>
      </c>
    </row>
    <row r="65" spans="1:6" s="1100" customFormat="1" ht="36">
      <c r="A65" s="1149">
        <v>5</v>
      </c>
      <c r="B65" s="3415"/>
      <c r="C65" s="1063" t="s">
        <v>1508</v>
      </c>
      <c r="D65" s="1063" t="s">
        <v>1509</v>
      </c>
      <c r="E65" s="1134">
        <v>0.2</v>
      </c>
      <c r="F65" s="1149">
        <v>30</v>
      </c>
    </row>
    <row r="66" spans="1:6" s="1100" customFormat="1" ht="36">
      <c r="A66" s="1149">
        <v>6</v>
      </c>
      <c r="B66" s="3415"/>
      <c r="C66" s="1063" t="s">
        <v>1510</v>
      </c>
      <c r="D66" s="1063" t="s">
        <v>1511</v>
      </c>
      <c r="E66" s="1134">
        <v>0.3</v>
      </c>
      <c r="F66" s="1149">
        <v>50</v>
      </c>
    </row>
    <row r="67" spans="1:6" s="1100" customFormat="1" ht="36">
      <c r="A67" s="1149">
        <v>7</v>
      </c>
      <c r="B67" s="3415"/>
      <c r="C67" s="1063" t="s">
        <v>1512</v>
      </c>
      <c r="D67" s="1063" t="s">
        <v>1513</v>
      </c>
      <c r="E67" s="1134">
        <v>0.2</v>
      </c>
      <c r="F67" s="1149">
        <v>30</v>
      </c>
    </row>
    <row r="68" spans="1:6" s="1100" customFormat="1" ht="36">
      <c r="A68" s="1149">
        <v>8</v>
      </c>
      <c r="B68" s="3415"/>
      <c r="C68" s="1063" t="s">
        <v>1514</v>
      </c>
      <c r="D68" s="1063" t="s">
        <v>1515</v>
      </c>
      <c r="E68" s="1134">
        <v>0.2</v>
      </c>
      <c r="F68" s="1149">
        <v>30</v>
      </c>
    </row>
    <row r="69" spans="1:6" s="1100" customFormat="1" ht="36">
      <c r="A69" s="1149">
        <v>9</v>
      </c>
      <c r="B69" s="3415"/>
      <c r="C69" s="1063" t="s">
        <v>1516</v>
      </c>
      <c r="D69" s="1063" t="s">
        <v>1517</v>
      </c>
      <c r="E69" s="1134">
        <v>0.2</v>
      </c>
      <c r="F69" s="1149">
        <v>30</v>
      </c>
    </row>
    <row r="70" spans="1:6" s="1100" customFormat="1" ht="48">
      <c r="A70" s="1149">
        <v>10</v>
      </c>
      <c r="B70" s="3415"/>
      <c r="C70" s="1063" t="s">
        <v>1518</v>
      </c>
      <c r="D70" s="1063" t="s">
        <v>1519</v>
      </c>
      <c r="E70" s="1134">
        <v>0.2</v>
      </c>
      <c r="F70" s="1149">
        <v>30</v>
      </c>
    </row>
    <row r="71" spans="1:6" s="1100" customFormat="1" ht="48">
      <c r="A71" s="1149">
        <v>11</v>
      </c>
      <c r="B71" s="3415"/>
      <c r="C71" s="1063" t="s">
        <v>1520</v>
      </c>
      <c r="D71" s="1063" t="s">
        <v>1521</v>
      </c>
      <c r="E71" s="1134">
        <v>0.2</v>
      </c>
      <c r="F71" s="1149">
        <v>30</v>
      </c>
    </row>
    <row r="72" spans="1:6" s="1100" customFormat="1" ht="36">
      <c r="A72" s="1149">
        <v>12</v>
      </c>
      <c r="B72" s="3415"/>
      <c r="C72" s="1063" t="s">
        <v>1522</v>
      </c>
      <c r="D72" s="1063" t="s">
        <v>1523</v>
      </c>
      <c r="E72" s="1134">
        <v>0.5</v>
      </c>
      <c r="F72" s="1149">
        <v>80</v>
      </c>
    </row>
    <row r="73" spans="1:6" s="1100" customFormat="1" ht="24">
      <c r="A73" s="1149">
        <v>13</v>
      </c>
      <c r="B73" s="3415"/>
      <c r="C73" s="1063" t="s">
        <v>1524</v>
      </c>
      <c r="D73" s="1063" t="s">
        <v>1525</v>
      </c>
      <c r="E73" s="1134">
        <v>0.4</v>
      </c>
      <c r="F73" s="1149">
        <v>60</v>
      </c>
    </row>
    <row r="74" spans="1:6" s="1100" customFormat="1" ht="24">
      <c r="A74" s="1149">
        <v>14</v>
      </c>
      <c r="B74" s="3415"/>
      <c r="C74" s="1063" t="s">
        <v>1526</v>
      </c>
      <c r="D74" s="1063" t="s">
        <v>1527</v>
      </c>
      <c r="E74" s="1134">
        <v>0.2</v>
      </c>
      <c r="F74" s="1149">
        <v>30</v>
      </c>
    </row>
    <row r="75" spans="1:6" s="1100" customFormat="1" ht="24">
      <c r="A75" s="1149">
        <v>15</v>
      </c>
      <c r="B75" s="3415"/>
      <c r="C75" s="1063" t="s">
        <v>1528</v>
      </c>
      <c r="D75" s="1063" t="s">
        <v>1529</v>
      </c>
      <c r="E75" s="1134">
        <v>0.2</v>
      </c>
      <c r="F75" s="1149">
        <v>30</v>
      </c>
    </row>
    <row r="76" spans="1:6" s="1100" customFormat="1" ht="24">
      <c r="A76" s="1149">
        <v>16</v>
      </c>
      <c r="B76" s="3415" t="s">
        <v>1530</v>
      </c>
      <c r="C76" s="1063" t="s">
        <v>1531</v>
      </c>
      <c r="D76" s="1063" t="s">
        <v>1532</v>
      </c>
      <c r="E76" s="1134">
        <v>0.5</v>
      </c>
      <c r="F76" s="1149">
        <v>80</v>
      </c>
    </row>
    <row r="77" spans="1:6" s="1100" customFormat="1" ht="24">
      <c r="A77" s="1149">
        <v>17</v>
      </c>
      <c r="B77" s="3415"/>
      <c r="C77" s="1063" t="s">
        <v>1533</v>
      </c>
      <c r="D77" s="1063" t="s">
        <v>1534</v>
      </c>
      <c r="E77" s="1134">
        <v>0.5</v>
      </c>
      <c r="F77" s="1149">
        <v>80</v>
      </c>
    </row>
    <row r="78" spans="1:6" s="1100" customFormat="1" ht="24">
      <c r="A78" s="1149">
        <v>18</v>
      </c>
      <c r="B78" s="3415"/>
      <c r="C78" s="1063" t="s">
        <v>1535</v>
      </c>
      <c r="D78" s="1063" t="s">
        <v>1536</v>
      </c>
      <c r="E78" s="1134">
        <v>0.2</v>
      </c>
      <c r="F78" s="1149">
        <v>30</v>
      </c>
    </row>
    <row r="79" spans="1:6" s="1100" customFormat="1" ht="24">
      <c r="A79" s="1149">
        <v>19</v>
      </c>
      <c r="B79" s="3415"/>
      <c r="C79" s="1063" t="s">
        <v>1537</v>
      </c>
      <c r="D79" s="1063" t="s">
        <v>1538</v>
      </c>
      <c r="E79" s="1134">
        <v>0.5</v>
      </c>
      <c r="F79" s="1149">
        <v>80</v>
      </c>
    </row>
    <row r="80" spans="1:6" s="1100" customFormat="1" ht="36">
      <c r="A80" s="1149">
        <v>20</v>
      </c>
      <c r="B80" s="3415"/>
      <c r="C80" s="1063" t="s">
        <v>1539</v>
      </c>
      <c r="D80" s="1063" t="s">
        <v>1540</v>
      </c>
      <c r="E80" s="1134">
        <v>0.2</v>
      </c>
      <c r="F80" s="1149">
        <v>30</v>
      </c>
    </row>
    <row r="81" spans="1:6" s="1100" customFormat="1" ht="36">
      <c r="A81" s="1149">
        <v>21</v>
      </c>
      <c r="B81" s="3415"/>
      <c r="C81" s="1063" t="s">
        <v>1541</v>
      </c>
      <c r="D81" s="1063" t="s">
        <v>1542</v>
      </c>
      <c r="E81" s="1134">
        <v>0.2</v>
      </c>
      <c r="F81" s="1149">
        <v>30</v>
      </c>
    </row>
    <row r="82" spans="1:6" s="1100" customFormat="1" ht="48">
      <c r="A82" s="1149">
        <v>22</v>
      </c>
      <c r="B82" s="3415"/>
      <c r="C82" s="1063" t="s">
        <v>1543</v>
      </c>
      <c r="D82" s="1063" t="s">
        <v>1544</v>
      </c>
      <c r="E82" s="1134">
        <v>0.2</v>
      </c>
      <c r="F82" s="1149">
        <v>30</v>
      </c>
    </row>
    <row r="83" spans="1:6" s="1100" customFormat="1" ht="48">
      <c r="A83" s="1149">
        <v>23</v>
      </c>
      <c r="B83" s="3415"/>
      <c r="C83" s="1063" t="s">
        <v>1545</v>
      </c>
      <c r="D83" s="1063" t="s">
        <v>1546</v>
      </c>
      <c r="E83" s="1134">
        <v>0.2</v>
      </c>
      <c r="F83" s="1149">
        <v>30</v>
      </c>
    </row>
    <row r="84" spans="1:6" s="1100" customFormat="1" ht="36">
      <c r="A84" s="1149">
        <v>24</v>
      </c>
      <c r="B84" s="3415"/>
      <c r="C84" s="1063" t="s">
        <v>1547</v>
      </c>
      <c r="D84" s="1063" t="s">
        <v>1548</v>
      </c>
      <c r="E84" s="1134">
        <v>0.2</v>
      </c>
      <c r="F84" s="1149">
        <v>30</v>
      </c>
    </row>
    <row r="85" spans="1:6" s="1100" customFormat="1" ht="36">
      <c r="A85" s="1149">
        <v>25</v>
      </c>
      <c r="B85" s="3415"/>
      <c r="C85" s="1063" t="s">
        <v>1549</v>
      </c>
      <c r="D85" s="1063" t="s">
        <v>1550</v>
      </c>
      <c r="E85" s="1134">
        <v>0.5</v>
      </c>
      <c r="F85" s="1149">
        <v>80</v>
      </c>
    </row>
    <row r="86" spans="1:6" s="1100" customFormat="1" ht="36">
      <c r="A86" s="1149">
        <v>26</v>
      </c>
      <c r="B86" s="3415"/>
      <c r="C86" s="1063" t="s">
        <v>1551</v>
      </c>
      <c r="D86" s="1063" t="s">
        <v>1552</v>
      </c>
      <c r="E86" s="1134">
        <v>0.2</v>
      </c>
      <c r="F86" s="1149">
        <v>30</v>
      </c>
    </row>
    <row r="87" spans="1:6" s="1100" customFormat="1" ht="36">
      <c r="A87" s="1149">
        <v>27</v>
      </c>
      <c r="B87" s="3415"/>
      <c r="C87" s="1063" t="s">
        <v>1553</v>
      </c>
      <c r="D87" s="1063" t="s">
        <v>1554</v>
      </c>
      <c r="E87" s="1134">
        <v>0.2</v>
      </c>
      <c r="F87" s="1149">
        <v>30</v>
      </c>
    </row>
    <row r="88" spans="1:6" s="1100" customFormat="1" ht="36">
      <c r="A88" s="1149">
        <v>28</v>
      </c>
      <c r="B88" s="3415"/>
      <c r="C88" s="1063" t="s">
        <v>1555</v>
      </c>
      <c r="D88" s="1063" t="s">
        <v>1556</v>
      </c>
      <c r="E88" s="1134">
        <v>0.2</v>
      </c>
      <c r="F88" s="1149">
        <v>30</v>
      </c>
    </row>
    <row r="89" spans="1:6" s="1100" customFormat="1" ht="24">
      <c r="A89" s="1149">
        <v>29</v>
      </c>
      <c r="B89" s="3415"/>
      <c r="C89" s="1063" t="s">
        <v>1557</v>
      </c>
      <c r="D89" s="1063" t="s">
        <v>1558</v>
      </c>
      <c r="E89" s="1134">
        <v>0.2</v>
      </c>
      <c r="F89" s="1149">
        <v>30</v>
      </c>
    </row>
    <row r="90" spans="1:6" s="1100" customFormat="1" ht="24">
      <c r="A90" s="1149">
        <v>30</v>
      </c>
      <c r="B90" s="3415"/>
      <c r="C90" s="1063" t="s">
        <v>1559</v>
      </c>
      <c r="D90" s="1063" t="s">
        <v>1560</v>
      </c>
      <c r="E90" s="1134">
        <v>0.2</v>
      </c>
      <c r="F90" s="1149">
        <v>30</v>
      </c>
    </row>
    <row r="91" spans="1:6" s="1100" customFormat="1" ht="36">
      <c r="A91" s="1149">
        <v>31</v>
      </c>
      <c r="B91" s="3415"/>
      <c r="C91" s="1063" t="s">
        <v>1561</v>
      </c>
      <c r="D91" s="1063" t="s">
        <v>1562</v>
      </c>
      <c r="E91" s="1134">
        <v>0.2</v>
      </c>
      <c r="F91" s="1149">
        <v>30</v>
      </c>
    </row>
    <row r="92" spans="1:6" s="1100" customFormat="1" ht="24">
      <c r="A92" s="1149">
        <v>32</v>
      </c>
      <c r="B92" s="3415" t="s">
        <v>1563</v>
      </c>
      <c r="C92" s="1149" t="s">
        <v>1564</v>
      </c>
      <c r="D92" s="1063" t="s">
        <v>1565</v>
      </c>
      <c r="E92" s="1134">
        <v>0.2</v>
      </c>
      <c r="F92" s="1149">
        <v>30</v>
      </c>
    </row>
    <row r="93" spans="1:6" s="1100" customFormat="1" ht="36">
      <c r="A93" s="1149">
        <v>33</v>
      </c>
      <c r="B93" s="3415"/>
      <c r="C93" s="1149" t="s">
        <v>1566</v>
      </c>
      <c r="D93" s="1063" t="s">
        <v>1567</v>
      </c>
      <c r="E93" s="1134">
        <v>0.2</v>
      </c>
      <c r="F93" s="1149">
        <v>30</v>
      </c>
    </row>
    <row r="94" spans="1:6" s="1100" customFormat="1" ht="48">
      <c r="A94" s="1149">
        <v>34</v>
      </c>
      <c r="B94" s="3415"/>
      <c r="C94" s="1149" t="s">
        <v>1568</v>
      </c>
      <c r="D94" s="1063" t="s">
        <v>1569</v>
      </c>
      <c r="E94" s="1134">
        <v>0.2</v>
      </c>
      <c r="F94" s="1149">
        <v>30</v>
      </c>
    </row>
    <row r="95" spans="1:6" s="1100" customFormat="1" ht="36">
      <c r="A95" s="1149">
        <v>35</v>
      </c>
      <c r="B95" s="3415"/>
      <c r="C95" s="1149" t="s">
        <v>1570</v>
      </c>
      <c r="D95" s="1063" t="s">
        <v>1571</v>
      </c>
      <c r="E95" s="1134">
        <v>0.2</v>
      </c>
      <c r="F95" s="1149">
        <v>30</v>
      </c>
    </row>
    <row r="96" spans="1:6" s="1100" customFormat="1" ht="48">
      <c r="A96" s="1149">
        <v>36</v>
      </c>
      <c r="B96" s="3415"/>
      <c r="C96" s="1063" t="s">
        <v>1572</v>
      </c>
      <c r="D96" s="1063" t="s">
        <v>1573</v>
      </c>
      <c r="E96" s="1134">
        <v>0.2</v>
      </c>
      <c r="F96" s="1149">
        <v>30</v>
      </c>
    </row>
    <row r="97" spans="1:6" s="1100" customFormat="1" ht="36">
      <c r="A97" s="1149">
        <v>37</v>
      </c>
      <c r="B97" s="3415"/>
      <c r="C97" s="1149" t="s">
        <v>1574</v>
      </c>
      <c r="D97" s="1063" t="s">
        <v>1575</v>
      </c>
      <c r="E97" s="1134">
        <v>0.2</v>
      </c>
      <c r="F97" s="1149">
        <v>30</v>
      </c>
    </row>
    <row r="98" spans="1:6" s="1100" customFormat="1" ht="36">
      <c r="A98" s="1149">
        <v>38</v>
      </c>
      <c r="B98" s="3415"/>
      <c r="C98" s="1149" t="s">
        <v>1576</v>
      </c>
      <c r="D98" s="1063" t="s">
        <v>1577</v>
      </c>
      <c r="E98" s="1134">
        <v>0.2</v>
      </c>
      <c r="F98" s="1149">
        <v>30</v>
      </c>
    </row>
    <row r="99" spans="1:6" s="1100" customFormat="1" ht="36">
      <c r="A99" s="1149">
        <v>39</v>
      </c>
      <c r="B99" s="3415" t="s">
        <v>1578</v>
      </c>
      <c r="C99" s="1149" t="s">
        <v>1579</v>
      </c>
      <c r="D99" s="1063" t="s">
        <v>1580</v>
      </c>
      <c r="E99" s="1134">
        <v>0.3</v>
      </c>
      <c r="F99" s="1149">
        <v>50</v>
      </c>
    </row>
    <row r="100" spans="1:6" s="1100" customFormat="1" ht="24">
      <c r="A100" s="1149">
        <v>40</v>
      </c>
      <c r="B100" s="3415"/>
      <c r="C100" s="1149" t="s">
        <v>1581</v>
      </c>
      <c r="D100" s="1063" t="s">
        <v>1582</v>
      </c>
      <c r="E100" s="1134">
        <v>0.2</v>
      </c>
      <c r="F100" s="1149">
        <v>30</v>
      </c>
    </row>
    <row r="101" spans="1:6" s="1100" customFormat="1" ht="36">
      <c r="A101" s="1149">
        <v>41</v>
      </c>
      <c r="B101" s="3415"/>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15" t="s">
        <v>1593</v>
      </c>
      <c r="C105" s="1149" t="s">
        <v>1594</v>
      </c>
      <c r="D105" s="1063" t="s">
        <v>1595</v>
      </c>
      <c r="E105" s="1134">
        <v>0.2</v>
      </c>
      <c r="F105" s="1149">
        <v>30</v>
      </c>
    </row>
    <row r="106" spans="1:6" s="1100" customFormat="1" ht="36">
      <c r="A106" s="1149">
        <v>46</v>
      </c>
      <c r="B106" s="3415"/>
      <c r="C106" s="1149" t="s">
        <v>1596</v>
      </c>
      <c r="D106" s="1063" t="s">
        <v>1597</v>
      </c>
      <c r="E106" s="1134">
        <v>0.2</v>
      </c>
      <c r="F106" s="1149">
        <v>30</v>
      </c>
    </row>
    <row r="107" spans="1:6" s="1100" customFormat="1" ht="36">
      <c r="A107" s="1149">
        <v>47</v>
      </c>
      <c r="B107" s="3415" t="s">
        <v>1598</v>
      </c>
      <c r="C107" s="1149" t="s">
        <v>1599</v>
      </c>
      <c r="D107" s="1063" t="s">
        <v>1600</v>
      </c>
      <c r="E107" s="1134">
        <v>0.3</v>
      </c>
      <c r="F107" s="1149">
        <v>50</v>
      </c>
    </row>
    <row r="108" spans="1:6" s="1100" customFormat="1" ht="36">
      <c r="A108" s="1149">
        <v>48</v>
      </c>
      <c r="B108" s="3415"/>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15" t="s">
        <v>1609</v>
      </c>
      <c r="C111" s="1149" t="s">
        <v>1610</v>
      </c>
      <c r="D111" s="1063" t="s">
        <v>1611</v>
      </c>
      <c r="E111" s="1134">
        <v>0.2</v>
      </c>
      <c r="F111" s="1149">
        <v>30</v>
      </c>
    </row>
    <row r="112" spans="1:6" s="1100" customFormat="1" ht="24">
      <c r="A112" s="1149">
        <v>52</v>
      </c>
      <c r="B112" s="3415"/>
      <c r="C112" s="1149" t="s">
        <v>1612</v>
      </c>
      <c r="D112" s="1063" t="s">
        <v>1613</v>
      </c>
      <c r="E112" s="1134">
        <v>0.2</v>
      </c>
      <c r="F112" s="1149">
        <v>30</v>
      </c>
    </row>
    <row r="113" spans="1:14" s="1100" customFormat="1" ht="24">
      <c r="A113" s="1149">
        <v>53</v>
      </c>
      <c r="B113" s="3415"/>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15" t="s">
        <v>1622</v>
      </c>
      <c r="C116" s="1149" t="s">
        <v>1623</v>
      </c>
      <c r="D116" s="1063" t="s">
        <v>1624</v>
      </c>
      <c r="E116" s="1134">
        <v>0.2</v>
      </c>
      <c r="F116" s="1149">
        <v>30</v>
      </c>
    </row>
    <row r="117" spans="1:14" ht="36">
      <c r="A117" s="1149">
        <v>57</v>
      </c>
      <c r="B117" s="3415"/>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14" t="s">
        <v>1631</v>
      </c>
      <c r="B121" s="3414"/>
      <c r="C121" s="3414"/>
      <c r="D121" s="3414"/>
      <c r="E121" s="3414"/>
      <c r="F121" s="3414"/>
      <c r="G121" s="3414"/>
      <c r="H121" s="3414"/>
      <c r="I121" s="3414"/>
      <c r="J121" s="341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9" t="s">
        <v>1037</v>
      </c>
      <c r="B1" s="3429"/>
      <c r="C1" s="3429"/>
      <c r="D1" s="3429"/>
      <c r="E1" s="3429"/>
      <c r="F1" s="3429"/>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30" t="s">
        <v>1050</v>
      </c>
      <c r="B2" s="3430"/>
      <c r="C2" s="3430"/>
      <c r="D2" s="3430"/>
      <c r="E2" s="3430"/>
      <c r="F2" s="3430"/>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31"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32"/>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2416</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2417</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33" t="s">
        <v>2075</v>
      </c>
      <c r="B1" s="3433"/>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2089</v>
      </c>
      <c r="C72" s="1854"/>
      <c r="D72" s="1854"/>
      <c r="E72" s="1854"/>
      <c r="F72" s="1846">
        <v>0.05</v>
      </c>
    </row>
    <row r="73" spans="1:6" ht="14.25" thickBot="1">
      <c r="A73" s="1840" t="s">
        <v>923</v>
      </c>
      <c r="B73" s="1844" t="s">
        <v>2090</v>
      </c>
      <c r="C73" s="1854"/>
      <c r="D73" s="1854"/>
      <c r="E73" s="1854"/>
      <c r="F73" s="1846">
        <v>0.05</v>
      </c>
    </row>
    <row r="74" spans="1:6" ht="14.25" thickBot="1">
      <c r="A74" s="1840" t="s">
        <v>923</v>
      </c>
      <c r="B74" s="1844" t="s">
        <v>2091</v>
      </c>
      <c r="C74" s="1854"/>
      <c r="D74" s="1854"/>
      <c r="E74" s="1854"/>
      <c r="F74" s="1846">
        <v>0.05</v>
      </c>
    </row>
    <row r="75" spans="1:6" ht="14.2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14.2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36" t="s">
        <v>2569</v>
      </c>
      <c r="C1" s="3436"/>
      <c r="D1" s="3436"/>
      <c r="E1" s="3436"/>
      <c r="F1" s="3436"/>
      <c r="G1" s="3435" t="s">
        <v>2570</v>
      </c>
      <c r="H1" s="3435"/>
      <c r="I1" s="3435"/>
      <c r="J1" s="3435"/>
      <c r="K1" s="3435"/>
      <c r="L1" s="3435"/>
      <c r="N1" s="3435" t="s">
        <v>2571</v>
      </c>
      <c r="O1" s="3435"/>
      <c r="P1" s="3435"/>
      <c r="Q1" s="3435"/>
      <c r="R1" s="2618"/>
      <c r="S1" s="3435" t="s">
        <v>2572</v>
      </c>
      <c r="T1" s="3435"/>
      <c r="U1" s="3435"/>
      <c r="V1" s="3435"/>
      <c r="X1" s="3434" t="s">
        <v>2632</v>
      </c>
      <c r="Y1" s="3435"/>
      <c r="Z1" s="3435"/>
      <c r="AA1" s="3435"/>
      <c r="AB1" s="3435"/>
      <c r="AD1" s="3434" t="s">
        <v>2636</v>
      </c>
      <c r="AE1" s="3435"/>
      <c r="AF1" s="3435"/>
      <c r="AG1" s="3435"/>
      <c r="AH1" s="3435"/>
    </row>
    <row r="2" spans="1:34" s="2719" customFormat="1" ht="14.25" thickBot="1">
      <c r="B2" s="2727" t="s">
        <v>2573</v>
      </c>
      <c r="C2" s="2727" t="s">
        <v>2634</v>
      </c>
      <c r="D2" s="2720" t="s">
        <v>1642</v>
      </c>
      <c r="E2" s="2720" t="s">
        <v>1945</v>
      </c>
      <c r="F2" s="2727" t="s">
        <v>2635</v>
      </c>
      <c r="G2" s="2723"/>
      <c r="H2" s="2722"/>
      <c r="I2" s="2727" t="s">
        <v>2949</v>
      </c>
      <c r="J2" s="2720" t="s">
        <v>2951</v>
      </c>
      <c r="K2" s="2720" t="s">
        <v>2952</v>
      </c>
      <c r="L2" s="2727" t="s">
        <v>2953</v>
      </c>
      <c r="N2" s="2727" t="s">
        <v>2573</v>
      </c>
      <c r="O2" s="2720" t="s">
        <v>2950</v>
      </c>
      <c r="P2" s="2720" t="s">
        <v>1945</v>
      </c>
      <c r="Q2" s="2727" t="s">
        <v>2635</v>
      </c>
      <c r="R2" s="2721"/>
      <c r="S2" s="2727" t="s">
        <v>2573</v>
      </c>
      <c r="T2" s="2720" t="s">
        <v>2950</v>
      </c>
      <c r="U2" s="2720" t="s">
        <v>1945</v>
      </c>
      <c r="V2" s="2727" t="s">
        <v>2635</v>
      </c>
      <c r="X2" s="2727" t="s">
        <v>2573</v>
      </c>
      <c r="Y2" s="2727" t="s">
        <v>2634</v>
      </c>
      <c r="Z2" s="2720" t="s">
        <v>1642</v>
      </c>
      <c r="AA2" s="2720" t="s">
        <v>1945</v>
      </c>
      <c r="AB2" s="2727" t="s">
        <v>2635</v>
      </c>
      <c r="AD2" s="2727" t="s">
        <v>2573</v>
      </c>
      <c r="AE2" s="2727" t="s">
        <v>2634</v>
      </c>
      <c r="AF2" s="2720" t="s">
        <v>1642</v>
      </c>
      <c r="AG2" s="2720" t="s">
        <v>1945</v>
      </c>
      <c r="AH2" s="2727" t="s">
        <v>2635</v>
      </c>
    </row>
    <row r="3" spans="1:34" s="3077" customFormat="1" ht="14.25">
      <c r="A3" s="3089" t="s">
        <v>2962</v>
      </c>
      <c r="B3" s="3078"/>
      <c r="C3" s="3078"/>
      <c r="D3" s="3079"/>
      <c r="E3" s="3079"/>
      <c r="F3" s="3078"/>
      <c r="G3" s="3080"/>
      <c r="H3" s="3081"/>
      <c r="I3" s="3088">
        <f>ROUND(AVERAGE($I4:$I30),2)</f>
        <v>1.85</v>
      </c>
      <c r="J3" s="3088">
        <f>ROUND(AVERAGE($J4:$J30),2)</f>
        <v>1.28</v>
      </c>
      <c r="K3" s="3088">
        <f>ROUND(AVERAGE($K4:$K30),2)</f>
        <v>2.0299999999999998</v>
      </c>
      <c r="L3" s="3088">
        <f>ROUND(AVERAGE($L4:$L30),2)</f>
        <v>1.31</v>
      </c>
      <c r="N3" s="3080"/>
      <c r="O3" s="3082"/>
      <c r="P3" s="3082"/>
      <c r="Q3" s="3082"/>
      <c r="R3" s="3082"/>
      <c r="S3" s="3080"/>
      <c r="T3" s="3082"/>
      <c r="U3" s="3082"/>
      <c r="V3" s="3082"/>
      <c r="W3" s="3085"/>
      <c r="X3" s="3083">
        <f>ROUND(SUMPRODUCT(PRODUCT(1+N3:N$29)),4)</f>
        <v>1.5605</v>
      </c>
      <c r="Y3" s="3083">
        <f>ROUND(SUMPRODUCT(PRODUCT(1+O3:O$29)),4)</f>
        <v>1.3577999999999999</v>
      </c>
      <c r="Z3" s="3083">
        <f t="shared" ref="Z3:Z27" si="0">Y3</f>
        <v>1.3577999999999999</v>
      </c>
      <c r="AA3" s="3083">
        <f>ROUND(SUMPRODUCT(PRODUCT(1+P3:P$29)),4)</f>
        <v>1.6254999999999999</v>
      </c>
      <c r="AB3" s="3083">
        <f>ROUND(SUMPRODUCT(PRODUCT(1+Q3:Q$29)),4)</f>
        <v>1.3815999999999999</v>
      </c>
      <c r="AD3" s="3084">
        <f>ROUND(AVERAGE(I3:I$30)/100,4)</f>
        <v>1.8499999999999999E-2</v>
      </c>
      <c r="AE3" s="3084">
        <f>ROUND(AVERAGE(J3:J$30)/100,4)</f>
        <v>1.2800000000000001E-2</v>
      </c>
      <c r="AF3" s="3084">
        <f t="shared" ref="AF3:AF28" si="1">AE3</f>
        <v>1.2800000000000001E-2</v>
      </c>
      <c r="AG3" s="3084">
        <f>ROUND(AVERAGE(K3:K$30)/100,4)</f>
        <v>2.0299999999999999E-2</v>
      </c>
      <c r="AH3" s="3084">
        <f>ROUND(AVERAGE(L3:L$30)/100,4)</f>
        <v>1.3100000000000001E-2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2992</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2</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2963</v>
      </c>
      <c r="X5" s="3064">
        <f>ROUND(IF(项目基本情况!B8="出让",SUMPRODUCT(PRODUCT(1+N5:N$30)),SUMPRODUCT(PRODUCT(1+N5:N$29))),4)</f>
        <v>1.5605</v>
      </c>
      <c r="Y5" s="3064">
        <f>ROUND(IF(项目基本情况!B8="出让",SUMPRODUCT(PRODUCT(1+O5:O$30)),SUMPRODUCT(PRODUCT(1+O5:O$29))),4)</f>
        <v>1.3577999999999999</v>
      </c>
      <c r="Z5" s="3064">
        <f t="shared" ref="Z5" si="11">Y5</f>
        <v>1.3577999999999999</v>
      </c>
      <c r="AA5" s="3064">
        <f>ROUND(IF(项目基本情况!B8="出让",SUMPRODUCT(PRODUCT(1+P5:P$30)),SUMPRODUCT(PRODUCT(1+P5:P$29))),4)</f>
        <v>1.6254999999999999</v>
      </c>
      <c r="AB5" s="3064">
        <f>ROUND(IF(项目基本情况!B8="出让",SUMPRODUCT(PRODUCT(1+Q5:Q$30)),SUMPRODUCT(PRODUCT(1+Q5:Q$29))),4)</f>
        <v>1.3815999999999999</v>
      </c>
      <c r="AD5" s="3065">
        <f>ROUND(AVERAGE(I5:I$30)/100,4)</f>
        <v>1.8499999999999999E-2</v>
      </c>
      <c r="AE5" s="3065">
        <f>ROUND(AVERAGE(J5:J$30)/100,4)</f>
        <v>1.2800000000000001E-2</v>
      </c>
      <c r="AF5" s="3065">
        <f t="shared" ref="AF5" si="12">AE5</f>
        <v>1.2800000000000001E-2</v>
      </c>
      <c r="AG5" s="3065">
        <f>ROUND(AVERAGE(K5:K$30)/100,4)</f>
        <v>2.0299999999999999E-2</v>
      </c>
      <c r="AH5" s="3065">
        <f>ROUND(AVERAGE(L5:L$30)/100,4)</f>
        <v>1.3100000000000001E-2</v>
      </c>
    </row>
    <row r="6" spans="1:34" s="2724" customFormat="1">
      <c r="A6" s="2619" t="s">
        <v>2991</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6">
        <v>0.12</v>
      </c>
      <c r="J6" s="3176">
        <v>-0.4</v>
      </c>
      <c r="K6" s="3176">
        <v>0.21</v>
      </c>
      <c r="L6" s="3177">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2987</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5" thickBot="1">
      <c r="A8" s="2619" t="s">
        <v>2986</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2983</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5" thickBot="1">
      <c r="A10" s="2619" t="s">
        <v>2982</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2979</v>
      </c>
      <c r="B11" s="3173">
        <f t="shared" si="46"/>
        <v>464.37293017158942</v>
      </c>
      <c r="C11" s="3173">
        <f t="shared" ref="C11" si="67">C12*(1+O11)</f>
        <v>344.73679941385956</v>
      </c>
      <c r="D11" s="3173">
        <f t="shared" ref="D11" si="68">C11</f>
        <v>344.73679941385956</v>
      </c>
      <c r="E11" s="3173">
        <f t="shared" ref="E11" si="69">E12*(1+P11)</f>
        <v>663.2377795103107</v>
      </c>
      <c r="F11" s="3174">
        <f t="shared" ref="F11" si="70">F12*(1+Q11)</f>
        <v>304.75936311478398</v>
      </c>
      <c r="G11" s="3438">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5" customHeight="1">
      <c r="A12" s="2619" t="s">
        <v>2972</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38"/>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5" customHeight="1">
      <c r="A13" s="2619" t="s">
        <v>2973</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38"/>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2969</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44"/>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2960</v>
      </c>
      <c r="B15" s="3091">
        <v>439</v>
      </c>
      <c r="C15" s="3091">
        <v>327</v>
      </c>
      <c r="D15" s="3091">
        <f t="shared" si="98"/>
        <v>327</v>
      </c>
      <c r="E15" s="3091">
        <v>627</v>
      </c>
      <c r="F15" s="3092">
        <v>283</v>
      </c>
      <c r="G15" s="3443">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2964</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38"/>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2574</v>
      </c>
      <c r="B17" s="2632">
        <f t="shared" si="110"/>
        <v>419.31181600000002</v>
      </c>
      <c r="C17" s="2632">
        <f t="shared" si="110"/>
        <v>313.95436800000004</v>
      </c>
      <c r="D17" s="2632">
        <f t="shared" si="98"/>
        <v>313.95436800000004</v>
      </c>
      <c r="E17" s="2632">
        <f t="shared" si="111"/>
        <v>596.63028431999999</v>
      </c>
      <c r="F17" s="2632">
        <f t="shared" si="111"/>
        <v>274.74220703999998</v>
      </c>
      <c r="G17" s="3438"/>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2575</v>
      </c>
      <c r="B18" s="2632">
        <f t="shared" si="110"/>
        <v>405.524</v>
      </c>
      <c r="C18" s="2632">
        <f t="shared" si="110"/>
        <v>307.79840000000002</v>
      </c>
      <c r="D18" s="2632">
        <f t="shared" si="98"/>
        <v>307.79840000000002</v>
      </c>
      <c r="E18" s="2632">
        <f t="shared" si="111"/>
        <v>574.67759999999998</v>
      </c>
      <c r="F18" s="2632">
        <f t="shared" si="111"/>
        <v>270.20280000000002</v>
      </c>
      <c r="G18" s="3444"/>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43">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38"/>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38"/>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39"/>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965</v>
      </c>
      <c r="B23" s="2624">
        <v>333</v>
      </c>
      <c r="C23" s="2624">
        <v>277</v>
      </c>
      <c r="D23" s="2624">
        <f t="shared" si="120"/>
        <v>277</v>
      </c>
      <c r="E23" s="2624">
        <v>459</v>
      </c>
      <c r="F23" s="2625">
        <v>249</v>
      </c>
      <c r="G23" s="3437">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38"/>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38"/>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39"/>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961</v>
      </c>
      <c r="B27" s="2646">
        <v>318</v>
      </c>
      <c r="C27" s="2646">
        <v>268</v>
      </c>
      <c r="D27" s="2646">
        <f t="shared" si="120"/>
        <v>268</v>
      </c>
      <c r="E27" s="2646">
        <v>437</v>
      </c>
      <c r="F27" s="2647">
        <v>237</v>
      </c>
      <c r="G27" s="3437">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38"/>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38"/>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5"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39"/>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2633</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2576</v>
      </c>
      <c r="B31" s="2624">
        <v>299</v>
      </c>
      <c r="C31" s="2624">
        <v>252</v>
      </c>
      <c r="D31" s="2624">
        <f t="shared" si="120"/>
        <v>252</v>
      </c>
      <c r="E31" s="2624">
        <v>409</v>
      </c>
      <c r="F31" s="2625">
        <v>227</v>
      </c>
      <c r="G31" s="3440">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2577</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41"/>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2578</v>
      </c>
      <c r="B33" s="2632">
        <f t="shared" si="129"/>
        <v>288.2649053828776</v>
      </c>
      <c r="C33" s="2632">
        <f t="shared" si="129"/>
        <v>243.64564425013293</v>
      </c>
      <c r="D33" s="2632">
        <f t="shared" si="120"/>
        <v>243.64564425013293</v>
      </c>
      <c r="E33" s="2632">
        <f t="shared" si="130"/>
        <v>393.31080825986544</v>
      </c>
      <c r="F33" s="2632">
        <f t="shared" si="130"/>
        <v>223.07903790551154</v>
      </c>
      <c r="G33" s="3441"/>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2579</v>
      </c>
      <c r="B34" s="2632">
        <f t="shared" si="129"/>
        <v>282.50186729015837</v>
      </c>
      <c r="C34" s="2632">
        <f t="shared" si="129"/>
        <v>238.09796174155468</v>
      </c>
      <c r="D34" s="2632">
        <f t="shared" si="120"/>
        <v>238.09796174155468</v>
      </c>
      <c r="E34" s="2632">
        <f t="shared" si="130"/>
        <v>385.33438646014054</v>
      </c>
      <c r="F34" s="2632">
        <f t="shared" si="130"/>
        <v>221.55034055567739</v>
      </c>
      <c r="G34" s="3442"/>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2580</v>
      </c>
      <c r="B35" s="2662">
        <v>278</v>
      </c>
      <c r="C35" s="2662">
        <v>234</v>
      </c>
      <c r="D35" s="2662">
        <f t="shared" si="120"/>
        <v>234</v>
      </c>
      <c r="E35" s="2662">
        <v>379</v>
      </c>
      <c r="F35" s="2663">
        <v>220</v>
      </c>
      <c r="G35" s="3437">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2581</v>
      </c>
      <c r="B36" s="2632">
        <f>B35/(1+N35)</f>
        <v>275.49301357645425</v>
      </c>
      <c r="C36" s="2632">
        <f>C35/(1+O35)</f>
        <v>232.41954707985698</v>
      </c>
      <c r="D36" s="2632">
        <f t="shared" si="120"/>
        <v>232.41954707985698</v>
      </c>
      <c r="E36" s="2632">
        <f t="shared" ref="E36:F38" si="131">E35/(1+P35)</f>
        <v>375.32184591008121</v>
      </c>
      <c r="F36" s="2632">
        <f t="shared" si="131"/>
        <v>218.03766105054513</v>
      </c>
      <c r="G36" s="3438"/>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2582</v>
      </c>
      <c r="B37" s="2632">
        <f>B36/(1+N36)</f>
        <v>275.24529281292263</v>
      </c>
      <c r="C37" s="2632">
        <f>C36/(1+O36)</f>
        <v>231.74747938962707</v>
      </c>
      <c r="D37" s="2632">
        <f t="shared" si="120"/>
        <v>231.74747938962707</v>
      </c>
      <c r="E37" s="2632">
        <f t="shared" si="131"/>
        <v>375.35938184826603</v>
      </c>
      <c r="F37" s="2632">
        <f t="shared" si="131"/>
        <v>216.78033510692495</v>
      </c>
      <c r="G37" s="3438"/>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5" thickBot="1">
      <c r="A38" s="2619" t="s">
        <v>2583</v>
      </c>
      <c r="B38" s="2632">
        <f>B37/(1+N37)</f>
        <v>275.19025476197027</v>
      </c>
      <c r="C38" s="2664">
        <v>232</v>
      </c>
      <c r="D38" s="2664">
        <f t="shared" si="120"/>
        <v>232</v>
      </c>
      <c r="E38" s="2632">
        <f t="shared" si="131"/>
        <v>375.65990977608692</v>
      </c>
      <c r="F38" s="2632">
        <f t="shared" si="131"/>
        <v>214.12518283971252</v>
      </c>
      <c r="G38" s="3439"/>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2584</v>
      </c>
      <c r="B39" s="2624">
        <v>275</v>
      </c>
      <c r="C39" s="2624">
        <v>232</v>
      </c>
      <c r="D39" s="2624">
        <f t="shared" si="120"/>
        <v>232</v>
      </c>
      <c r="E39" s="2624">
        <v>376</v>
      </c>
      <c r="F39" s="2625">
        <v>213</v>
      </c>
      <c r="G39" s="3437">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2585</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38">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2586</v>
      </c>
      <c r="B41" s="2632">
        <f t="shared" si="132"/>
        <v>275.19335084830601</v>
      </c>
      <c r="C41" s="2632">
        <f t="shared" si="132"/>
        <v>230.18088050139744</v>
      </c>
      <c r="D41" s="2632">
        <f t="shared" si="120"/>
        <v>230.18088050139744</v>
      </c>
      <c r="E41" s="2632">
        <f t="shared" si="133"/>
        <v>377.58482925212331</v>
      </c>
      <c r="F41" s="2632">
        <f t="shared" si="133"/>
        <v>210.90687997847917</v>
      </c>
      <c r="G41" s="3438">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5" thickBot="1">
      <c r="A42" s="2619" t="s">
        <v>2587</v>
      </c>
      <c r="B42" s="2632">
        <f t="shared" si="132"/>
        <v>276.29854502841971</v>
      </c>
      <c r="C42" s="2632">
        <f t="shared" si="132"/>
        <v>229.79023709833027</v>
      </c>
      <c r="D42" s="2632">
        <f t="shared" si="120"/>
        <v>229.79023709833027</v>
      </c>
      <c r="E42" s="2632">
        <f t="shared" si="133"/>
        <v>379.78759731655936</v>
      </c>
      <c r="F42" s="2632">
        <f t="shared" si="133"/>
        <v>211.32953905659235</v>
      </c>
      <c r="G42" s="3439">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2588</v>
      </c>
      <c r="B43" s="2624">
        <v>269</v>
      </c>
      <c r="C43" s="2624">
        <v>221</v>
      </c>
      <c r="D43" s="2624">
        <f t="shared" si="120"/>
        <v>221</v>
      </c>
      <c r="E43" s="2624">
        <v>373</v>
      </c>
      <c r="F43" s="2625">
        <v>196</v>
      </c>
      <c r="G43" s="3437">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2589</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38">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2590</v>
      </c>
      <c r="B45" s="2632">
        <f t="shared" si="134"/>
        <v>242.95398227588385</v>
      </c>
      <c r="C45" s="2632">
        <f t="shared" si="134"/>
        <v>199.59137053614126</v>
      </c>
      <c r="D45" s="2632">
        <f t="shared" si="120"/>
        <v>199.59137053614126</v>
      </c>
      <c r="E45" s="2632">
        <f t="shared" si="135"/>
        <v>335.92189522342125</v>
      </c>
      <c r="F45" s="2632">
        <f t="shared" si="135"/>
        <v>183.10139991109489</v>
      </c>
      <c r="G45" s="3438">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5" thickBot="1">
      <c r="A46" s="2619" t="s">
        <v>2591</v>
      </c>
      <c r="B46" s="2632">
        <f t="shared" si="134"/>
        <v>232.06990378821649</v>
      </c>
      <c r="C46" s="2632">
        <f t="shared" si="134"/>
        <v>192.74878854286936</v>
      </c>
      <c r="D46" s="2632">
        <f t="shared" si="120"/>
        <v>192.74878854286936</v>
      </c>
      <c r="E46" s="2632">
        <f t="shared" si="135"/>
        <v>319.71247284992984</v>
      </c>
      <c r="F46" s="2632">
        <f t="shared" si="135"/>
        <v>175.67053622862409</v>
      </c>
      <c r="G46" s="3439">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2592</v>
      </c>
      <c r="B47" s="2624">
        <v>220</v>
      </c>
      <c r="C47" s="2624">
        <v>187</v>
      </c>
      <c r="D47" s="2624">
        <f t="shared" si="120"/>
        <v>187</v>
      </c>
      <c r="E47" s="2624">
        <v>301</v>
      </c>
      <c r="F47" s="2625">
        <v>168</v>
      </c>
      <c r="G47" s="3437">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2593</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38">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2594</v>
      </c>
      <c r="B49" s="2632">
        <f t="shared" si="136"/>
        <v>210.630522469011</v>
      </c>
      <c r="C49" s="2632">
        <f t="shared" si="136"/>
        <v>181.69567812247232</v>
      </c>
      <c r="D49" s="2632">
        <f t="shared" si="120"/>
        <v>181.69567812247232</v>
      </c>
      <c r="E49" s="2632">
        <f t="shared" si="137"/>
        <v>286.13517466736738</v>
      </c>
      <c r="F49" s="2632">
        <f t="shared" si="137"/>
        <v>165.47535084591149</v>
      </c>
      <c r="G49" s="3438">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2595</v>
      </c>
      <c r="B50" s="2632">
        <f t="shared" si="136"/>
        <v>208.83454537875372</v>
      </c>
      <c r="C50" s="2632">
        <f t="shared" si="136"/>
        <v>183.77230517090351</v>
      </c>
      <c r="D50" s="2632">
        <f t="shared" si="120"/>
        <v>183.77230517090351</v>
      </c>
      <c r="E50" s="2632">
        <f t="shared" si="137"/>
        <v>281.10342338870947</v>
      </c>
      <c r="F50" s="2632">
        <f t="shared" si="137"/>
        <v>168.97309388942256</v>
      </c>
      <c r="G50" s="3439">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2596</v>
      </c>
      <c r="B51" s="2662">
        <v>214</v>
      </c>
      <c r="C51" s="2662">
        <v>188</v>
      </c>
      <c r="D51" s="2662">
        <f t="shared" si="120"/>
        <v>188</v>
      </c>
      <c r="E51" s="2662">
        <v>289</v>
      </c>
      <c r="F51" s="2663">
        <v>166</v>
      </c>
      <c r="G51" s="3437">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2597</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38">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2598</v>
      </c>
      <c r="B53" s="2632">
        <f t="shared" si="138"/>
        <v>206.31694671589116</v>
      </c>
      <c r="C53" s="2632">
        <f t="shared" si="138"/>
        <v>183.61041121036101</v>
      </c>
      <c r="D53" s="2632">
        <f t="shared" si="120"/>
        <v>183.61041121036101</v>
      </c>
      <c r="E53" s="2632">
        <f t="shared" si="139"/>
        <v>276.66850301795557</v>
      </c>
      <c r="F53" s="2632">
        <f t="shared" si="139"/>
        <v>165.1360938278614</v>
      </c>
      <c r="G53" s="3438">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5" thickBot="1">
      <c r="A54" s="2619" t="s">
        <v>2599</v>
      </c>
      <c r="B54" s="2665">
        <f t="shared" si="138"/>
        <v>196.62341248059772</v>
      </c>
      <c r="C54" s="2665">
        <f t="shared" si="138"/>
        <v>170.99125648199012</v>
      </c>
      <c r="D54" s="2665">
        <f t="shared" si="120"/>
        <v>170.99125648199012</v>
      </c>
      <c r="E54" s="2665">
        <f t="shared" si="139"/>
        <v>266.07857570490052</v>
      </c>
      <c r="F54" s="2665">
        <f t="shared" si="139"/>
        <v>154.53499328828505</v>
      </c>
      <c r="G54" s="3439">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2600</v>
      </c>
      <c r="B55" s="2624">
        <v>188</v>
      </c>
      <c r="C55" s="2624">
        <v>165</v>
      </c>
      <c r="D55" s="2624">
        <f t="shared" si="120"/>
        <v>165</v>
      </c>
      <c r="E55" s="2624">
        <v>254</v>
      </c>
      <c r="F55" s="2625">
        <v>148</v>
      </c>
      <c r="G55" s="3437">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2601</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38">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2602</v>
      </c>
      <c r="B57" s="2632">
        <f t="shared" si="142"/>
        <v>168.82017748715555</v>
      </c>
      <c r="C57" s="2632">
        <f t="shared" si="142"/>
        <v>148.06267029972753</v>
      </c>
      <c r="D57" s="2632">
        <f t="shared" si="120"/>
        <v>148.06267029972753</v>
      </c>
      <c r="E57" s="2632">
        <f t="shared" si="143"/>
        <v>216.46288379323747</v>
      </c>
      <c r="F57" s="2632">
        <f t="shared" si="143"/>
        <v>134.23529411764704</v>
      </c>
      <c r="G57" s="3438">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2603</v>
      </c>
      <c r="B58" s="2632">
        <f t="shared" si="142"/>
        <v>163.84913591779542</v>
      </c>
      <c r="C58" s="2632">
        <f t="shared" si="142"/>
        <v>145.0283378746594</v>
      </c>
      <c r="D58" s="2632">
        <f t="shared" si="120"/>
        <v>145.0283378746594</v>
      </c>
      <c r="E58" s="2632">
        <f t="shared" si="143"/>
        <v>204.95180722891567</v>
      </c>
      <c r="F58" s="2632">
        <f t="shared" si="143"/>
        <v>125.95920303605313</v>
      </c>
      <c r="G58" s="3439">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2604</v>
      </c>
      <c r="B59" s="2646">
        <v>159</v>
      </c>
      <c r="C59" s="2646">
        <v>141</v>
      </c>
      <c r="D59" s="2646">
        <f t="shared" si="120"/>
        <v>141</v>
      </c>
      <c r="E59" s="2646">
        <v>195</v>
      </c>
      <c r="F59" s="2647">
        <v>122</v>
      </c>
      <c r="G59" s="3437">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2605</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38">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2606</v>
      </c>
      <c r="B61" s="2632">
        <f t="shared" si="146"/>
        <v>146.57412060301507</v>
      </c>
      <c r="C61" s="2632">
        <f t="shared" si="146"/>
        <v>136.46831955922866</v>
      </c>
      <c r="D61" s="2632">
        <f t="shared" si="120"/>
        <v>136.46831955922866</v>
      </c>
      <c r="E61" s="2632">
        <f t="shared" si="147"/>
        <v>166.73864894795128</v>
      </c>
      <c r="F61" s="2632">
        <f t="shared" si="147"/>
        <v>115.05882352941177</v>
      </c>
      <c r="G61" s="3438">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2607</v>
      </c>
      <c r="B62" s="2632">
        <f t="shared" si="146"/>
        <v>144.04145728643215</v>
      </c>
      <c r="C62" s="2632">
        <f t="shared" si="146"/>
        <v>136.12396694214877</v>
      </c>
      <c r="D62" s="2632">
        <f t="shared" si="120"/>
        <v>136.12396694214877</v>
      </c>
      <c r="E62" s="2632">
        <f t="shared" si="147"/>
        <v>158.32225913621264</v>
      </c>
      <c r="F62" s="2632">
        <f t="shared" si="147"/>
        <v>114.04278074866311</v>
      </c>
      <c r="G62" s="3439">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2608</v>
      </c>
      <c r="B63" s="2646">
        <v>138</v>
      </c>
      <c r="C63" s="2646">
        <v>131</v>
      </c>
      <c r="D63" s="2646">
        <f t="shared" si="120"/>
        <v>131</v>
      </c>
      <c r="E63" s="2646">
        <v>155</v>
      </c>
      <c r="F63" s="2647">
        <v>114</v>
      </c>
      <c r="G63" s="3437">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2609</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38">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2610</v>
      </c>
      <c r="B65" s="2632">
        <f t="shared" si="150"/>
        <v>124.29032258064517</v>
      </c>
      <c r="C65" s="2632">
        <f t="shared" si="150"/>
        <v>123.8968609865471</v>
      </c>
      <c r="D65" s="2632">
        <f t="shared" si="120"/>
        <v>123.8968609865471</v>
      </c>
      <c r="E65" s="2632">
        <f t="shared" si="151"/>
        <v>138.00507614213197</v>
      </c>
      <c r="F65" s="2632">
        <f t="shared" si="151"/>
        <v>107.96106557377048</v>
      </c>
      <c r="G65" s="3438">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2611</v>
      </c>
      <c r="B66" s="2632">
        <f t="shared" si="150"/>
        <v>122.57204301075269</v>
      </c>
      <c r="C66" s="2632">
        <f t="shared" si="150"/>
        <v>123.4932735426009</v>
      </c>
      <c r="D66" s="2632">
        <f t="shared" si="120"/>
        <v>123.4932735426009</v>
      </c>
      <c r="E66" s="2632">
        <f t="shared" si="151"/>
        <v>129.82233502538071</v>
      </c>
      <c r="F66" s="2632">
        <f t="shared" si="151"/>
        <v>107.39446721311475</v>
      </c>
      <c r="G66" s="3439">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2612</v>
      </c>
      <c r="B67" s="2662">
        <v>121</v>
      </c>
      <c r="C67" s="2662">
        <v>122</v>
      </c>
      <c r="D67" s="2662">
        <f t="shared" si="120"/>
        <v>122</v>
      </c>
      <c r="E67" s="2662">
        <v>124</v>
      </c>
      <c r="F67" s="2663">
        <v>107</v>
      </c>
      <c r="G67" s="3437">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2613</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38">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2614</v>
      </c>
      <c r="B69" s="2632">
        <f t="shared" si="154"/>
        <v>116.99099099099099</v>
      </c>
      <c r="C69" s="2632">
        <f t="shared" si="154"/>
        <v>118.84848484848486</v>
      </c>
      <c r="D69" s="2632">
        <f t="shared" si="120"/>
        <v>118.84848484848486</v>
      </c>
      <c r="E69" s="2632">
        <f t="shared" si="155"/>
        <v>117.60960960960961</v>
      </c>
      <c r="F69" s="2632">
        <f t="shared" si="155"/>
        <v>104</v>
      </c>
      <c r="G69" s="3438">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5" thickBot="1">
      <c r="A70" s="2619" t="s">
        <v>2615</v>
      </c>
      <c r="B70" s="2665">
        <f t="shared" si="154"/>
        <v>112.48648648648648</v>
      </c>
      <c r="C70" s="2665">
        <f t="shared" si="154"/>
        <v>115.21212121212122</v>
      </c>
      <c r="D70" s="2665">
        <f t="shared" si="120"/>
        <v>115.21212121212122</v>
      </c>
      <c r="E70" s="2665">
        <f t="shared" si="155"/>
        <v>110.4024024024024</v>
      </c>
      <c r="F70" s="2665">
        <f t="shared" si="155"/>
        <v>104</v>
      </c>
      <c r="G70" s="3439">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2616</v>
      </c>
      <c r="B71" s="2683">
        <v>111</v>
      </c>
      <c r="C71" s="2683">
        <v>114</v>
      </c>
      <c r="D71" s="2683">
        <f t="shared" si="120"/>
        <v>114</v>
      </c>
      <c r="E71" s="2683">
        <v>108</v>
      </c>
      <c r="F71" s="2684">
        <v>104</v>
      </c>
      <c r="G71" s="3437">
        <v>2003</v>
      </c>
      <c r="H71" s="2673">
        <v>4</v>
      </c>
      <c r="I71" s="2685"/>
      <c r="J71" s="2685"/>
      <c r="K71" s="2685"/>
      <c r="L71" s="2685"/>
      <c r="N71" s="2686"/>
      <c r="O71" s="2685"/>
      <c r="P71" s="2685"/>
      <c r="Q71" s="2685"/>
      <c r="S71" s="2686"/>
      <c r="T71" s="2685"/>
      <c r="U71" s="2685"/>
      <c r="V71" s="2685"/>
      <c r="X71" s="2677"/>
      <c r="Y71" s="2677"/>
      <c r="Z71" s="2677"/>
    </row>
    <row r="72" spans="1:26">
      <c r="A72" s="2619" t="s">
        <v>2617</v>
      </c>
      <c r="B72" s="2687">
        <f t="shared" ref="B72:C74" si="156">B73+(B$71-B$75)/4</f>
        <v>109.75</v>
      </c>
      <c r="C72" s="2687">
        <f t="shared" si="156"/>
        <v>112.25</v>
      </c>
      <c r="D72" s="2687">
        <f t="shared" si="120"/>
        <v>112.25</v>
      </c>
      <c r="E72" s="2687">
        <f t="shared" ref="E72:F74" si="157">E73+(E$71-E$75)/4</f>
        <v>107.25</v>
      </c>
      <c r="F72" s="2687">
        <f t="shared" si="157"/>
        <v>103.5</v>
      </c>
      <c r="G72" s="3438">
        <v>2003</v>
      </c>
      <c r="H72" s="2643">
        <v>3</v>
      </c>
      <c r="I72" s="2685"/>
      <c r="J72" s="2685"/>
      <c r="K72" s="2685"/>
      <c r="L72" s="2685"/>
      <c r="X72" s="2677"/>
      <c r="Y72" s="2677"/>
      <c r="Z72" s="2677"/>
    </row>
    <row r="73" spans="1:26">
      <c r="A73" s="2619" t="s">
        <v>2618</v>
      </c>
      <c r="B73" s="2687">
        <f t="shared" si="156"/>
        <v>108.5</v>
      </c>
      <c r="C73" s="2687">
        <f t="shared" si="156"/>
        <v>110.5</v>
      </c>
      <c r="D73" s="2687">
        <f t="shared" si="120"/>
        <v>110.5</v>
      </c>
      <c r="E73" s="2687">
        <f t="shared" si="157"/>
        <v>106.5</v>
      </c>
      <c r="F73" s="2687">
        <f t="shared" si="157"/>
        <v>103</v>
      </c>
      <c r="G73" s="3438">
        <v>2003</v>
      </c>
      <c r="H73" s="2623">
        <v>2</v>
      </c>
      <c r="I73" s="2685"/>
      <c r="J73" s="2685"/>
      <c r="K73" s="2685"/>
      <c r="L73" s="2685"/>
      <c r="X73" s="2677"/>
      <c r="Y73" s="2677"/>
      <c r="Z73" s="2677"/>
    </row>
    <row r="74" spans="1:26" ht="13.5" thickBot="1">
      <c r="A74" s="2619" t="s">
        <v>2619</v>
      </c>
      <c r="B74" s="2687">
        <f t="shared" si="156"/>
        <v>107.25</v>
      </c>
      <c r="C74" s="2687">
        <f t="shared" si="156"/>
        <v>108.75</v>
      </c>
      <c r="D74" s="2687">
        <f t="shared" si="120"/>
        <v>108.75</v>
      </c>
      <c r="E74" s="2687">
        <f t="shared" si="157"/>
        <v>105.75</v>
      </c>
      <c r="F74" s="2687">
        <f t="shared" si="157"/>
        <v>102.5</v>
      </c>
      <c r="G74" s="3439">
        <v>2003</v>
      </c>
      <c r="H74" s="2688">
        <v>1</v>
      </c>
      <c r="I74" s="2685"/>
      <c r="J74" s="2685"/>
      <c r="K74" s="2685"/>
      <c r="L74" s="2685"/>
      <c r="S74" s="2627"/>
      <c r="T74" s="2628"/>
      <c r="U74" s="2628"/>
      <c r="X74" s="2677"/>
      <c r="Y74" s="2677"/>
      <c r="Z74" s="2677"/>
    </row>
    <row r="75" spans="1:26" ht="13.5" thickBot="1">
      <c r="A75" s="2619" t="s">
        <v>2620</v>
      </c>
      <c r="B75" s="2689">
        <v>106</v>
      </c>
      <c r="C75" s="2689">
        <v>107</v>
      </c>
      <c r="D75" s="2689">
        <f t="shared" si="120"/>
        <v>107</v>
      </c>
      <c r="E75" s="2689">
        <v>105</v>
      </c>
      <c r="F75" s="2690">
        <v>102</v>
      </c>
      <c r="G75" s="3437">
        <v>2002</v>
      </c>
      <c r="H75" s="2638">
        <v>4</v>
      </c>
      <c r="I75" s="2685"/>
      <c r="J75" s="2685"/>
      <c r="K75" s="2685"/>
      <c r="L75" s="2685"/>
      <c r="N75" s="2686"/>
      <c r="O75" s="2685"/>
      <c r="P75" s="2685"/>
      <c r="Q75" s="2685"/>
      <c r="S75" s="2686"/>
      <c r="T75" s="2685"/>
      <c r="U75" s="2685"/>
      <c r="V75" s="2685"/>
      <c r="X75" s="2677"/>
      <c r="Y75" s="2677"/>
      <c r="Z75" s="2677"/>
    </row>
    <row r="76" spans="1:26">
      <c r="A76" s="2619" t="s">
        <v>2621</v>
      </c>
      <c r="B76" s="2687">
        <f t="shared" ref="B76:C78" si="158">B77+(B$75-B$79)/4</f>
        <v>105</v>
      </c>
      <c r="C76" s="2687">
        <f t="shared" si="158"/>
        <v>106</v>
      </c>
      <c r="D76" s="2687">
        <f t="shared" si="120"/>
        <v>106</v>
      </c>
      <c r="E76" s="2687">
        <f t="shared" ref="E76:F78" si="159">E77+(E$75-E$79)/4</f>
        <v>104.5</v>
      </c>
      <c r="F76" s="2687">
        <f t="shared" si="159"/>
        <v>101.5</v>
      </c>
      <c r="G76" s="3438">
        <v>2002</v>
      </c>
      <c r="H76" s="2643">
        <v>3</v>
      </c>
      <c r="I76" s="2685"/>
      <c r="J76" s="2685"/>
      <c r="K76" s="2685"/>
      <c r="L76" s="2685"/>
      <c r="X76" s="2677"/>
      <c r="Y76" s="2677"/>
      <c r="Z76" s="2677"/>
    </row>
    <row r="77" spans="1:26">
      <c r="A77" s="2619" t="s">
        <v>2622</v>
      </c>
      <c r="B77" s="2687">
        <f t="shared" si="158"/>
        <v>104</v>
      </c>
      <c r="C77" s="2687">
        <f t="shared" si="158"/>
        <v>105</v>
      </c>
      <c r="D77" s="2687">
        <f t="shared" si="120"/>
        <v>105</v>
      </c>
      <c r="E77" s="2687">
        <f t="shared" si="159"/>
        <v>104</v>
      </c>
      <c r="F77" s="2687">
        <f t="shared" si="159"/>
        <v>101</v>
      </c>
      <c r="G77" s="3438">
        <v>2002</v>
      </c>
      <c r="H77" s="2623">
        <v>2</v>
      </c>
      <c r="I77" s="2685"/>
      <c r="J77" s="2685"/>
      <c r="K77" s="2685"/>
      <c r="L77" s="2685"/>
      <c r="X77" s="2677"/>
      <c r="Y77" s="2677"/>
      <c r="Z77" s="2677"/>
    </row>
    <row r="78" spans="1:26" s="2654" customFormat="1" ht="13.5" thickBot="1">
      <c r="A78" s="2650" t="s">
        <v>2623</v>
      </c>
      <c r="B78" s="2691">
        <f t="shared" si="158"/>
        <v>103</v>
      </c>
      <c r="C78" s="2691">
        <f t="shared" si="158"/>
        <v>104</v>
      </c>
      <c r="D78" s="2691">
        <f t="shared" si="120"/>
        <v>104</v>
      </c>
      <c r="E78" s="2691">
        <f t="shared" si="159"/>
        <v>103.5</v>
      </c>
      <c r="F78" s="2691">
        <f t="shared" si="159"/>
        <v>100.5</v>
      </c>
      <c r="G78" s="3439">
        <v>2002</v>
      </c>
      <c r="H78" s="2692">
        <v>1</v>
      </c>
      <c r="I78" s="2693"/>
      <c r="J78" s="2693"/>
      <c r="K78" s="2693"/>
      <c r="L78" s="2693"/>
      <c r="N78" s="2694"/>
      <c r="S78" s="2694"/>
      <c r="X78" s="2695"/>
      <c r="Y78" s="2695"/>
      <c r="Z78" s="2695"/>
    </row>
    <row r="79" spans="1:26" ht="13.5"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2624</v>
      </c>
      <c r="G81" s="2701"/>
      <c r="N81" s="2701"/>
      <c r="S81" s="2701"/>
    </row>
    <row r="82" spans="1:22" s="2700" customFormat="1">
      <c r="A82" s="2700" t="s">
        <v>2625</v>
      </c>
      <c r="G82" s="2701"/>
      <c r="N82" s="2701"/>
      <c r="S82" s="2701"/>
    </row>
    <row r="83" spans="1:22" s="2700" customFormat="1">
      <c r="A83" s="2700" t="s">
        <v>2626</v>
      </c>
      <c r="G83" s="2701"/>
      <c r="I83" s="2702"/>
      <c r="J83" s="2702"/>
      <c r="K83" s="2702"/>
      <c r="L83" s="2702"/>
      <c r="N83" s="2703"/>
      <c r="O83" s="2702"/>
      <c r="P83" s="2702"/>
      <c r="Q83" s="2702"/>
      <c r="S83" s="2703"/>
      <c r="T83" s="2702"/>
      <c r="U83" s="2702"/>
      <c r="V83" s="2702"/>
    </row>
    <row r="84" spans="1:22" s="2700" customFormat="1">
      <c r="A84" s="2700" t="s">
        <v>2627</v>
      </c>
      <c r="G84" s="2701"/>
      <c r="N84" s="2701"/>
      <c r="S84" s="2701"/>
    </row>
    <row r="91" spans="1:22" ht="13.5" thickBot="1"/>
    <row r="92" spans="1:22">
      <c r="G92" s="2626"/>
      <c r="S92" s="2704" t="s">
        <v>2628</v>
      </c>
      <c r="T92" s="2705" t="s">
        <v>2629</v>
      </c>
      <c r="U92" s="2705" t="s">
        <v>2630</v>
      </c>
      <c r="V92" s="2705" t="s">
        <v>2631</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133327.24平方米。根据《建设工程规划许可证》[]、《出让合同》[]，估价对象规划建筑面积为324852.64平方米。</v>
      </c>
    </row>
    <row r="7" spans="1:4" ht="56.25">
      <c r="A7" s="1780" t="s">
        <v>2740</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2020年7月22日</v>
      </c>
    </row>
    <row r="12" spans="1:4" ht="18.75">
      <c r="A12" s="1782" t="s">
        <v>2021</v>
      </c>
    </row>
    <row r="13" spans="1:4" ht="18.75">
      <c r="A13" s="1776" t="s">
        <v>2935</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根据《国有土地使用证》[]，估价对象（分摊）出让国有建设用地使用权面积为133327.24平方米。根据《建设工程规划许可证》[]、《出让合同》[]，估价对象规划建筑面积为324852.64平方米。</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2942</v>
      </c>
      <c r="B1" s="3051"/>
      <c r="C1" s="3051"/>
      <c r="D1" s="3051"/>
      <c r="E1" s="3051"/>
      <c r="F1" s="3051"/>
    </row>
    <row r="2" spans="1:6" ht="14.25">
      <c r="A2" s="3052" t="s">
        <v>2937</v>
      </c>
      <c r="B2" s="3053" t="e">
        <f ca="1">SUMIF(B7:B14,"&lt;&gt;#ref!",B7:B14)</f>
        <v>#DIV/0!</v>
      </c>
      <c r="C2" s="3052" t="s">
        <v>2938</v>
      </c>
      <c r="D2" s="3051"/>
      <c r="E2" s="3051"/>
      <c r="F2" s="3051"/>
    </row>
    <row r="3" spans="1:6" ht="14.25">
      <c r="A3" s="3052" t="s">
        <v>2970</v>
      </c>
      <c r="B3" s="3053" t="e">
        <f ca="1">ROUND(B2*10000/E3,0)</f>
        <v>#DIV/0!</v>
      </c>
      <c r="C3" s="3052" t="s">
        <v>2074</v>
      </c>
      <c r="D3" s="3052" t="s">
        <v>2939</v>
      </c>
      <c r="E3" s="3053">
        <f ca="1">SUMIF(E7:E14,"&lt;&gt;#ref!",E7:E14)</f>
        <v>0</v>
      </c>
      <c r="F3" s="3051"/>
    </row>
    <row r="4" spans="1:6" ht="14.25">
      <c r="A4" s="3052" t="s">
        <v>2946</v>
      </c>
      <c r="B4" s="3053" t="e">
        <f ca="1">ROUND(B2*10000/E4,0)</f>
        <v>#DIV/0!</v>
      </c>
      <c r="C4" s="3052" t="s">
        <v>2074</v>
      </c>
      <c r="D4" s="3052" t="s">
        <v>2947</v>
      </c>
      <c r="E4" s="3053">
        <f ca="1">SUMIF(F7:F14,"&lt;&gt;#ref!",F7:F14)</f>
        <v>0</v>
      </c>
      <c r="F4" s="3051"/>
    </row>
    <row r="5" spans="1:6" ht="14.25">
      <c r="A5" s="3054"/>
      <c r="B5" s="1866"/>
      <c r="C5" s="1866"/>
      <c r="D5" s="1866"/>
      <c r="E5" s="1866"/>
      <c r="F5" s="3051"/>
    </row>
    <row r="6" spans="1:6" ht="28.5">
      <c r="A6" s="3055" t="s">
        <v>2943</v>
      </c>
      <c r="B6" s="3052" t="s">
        <v>2940</v>
      </c>
      <c r="C6" s="3053"/>
      <c r="D6" s="1866"/>
      <c r="E6" s="3052" t="s">
        <v>2941</v>
      </c>
      <c r="F6" s="3052" t="s">
        <v>2945</v>
      </c>
    </row>
    <row r="7" spans="1:6" ht="14.25">
      <c r="A7" s="260" t="s">
        <v>2944</v>
      </c>
      <c r="B7" s="3056" t="e">
        <f ca="1">SUMIF(INDIRECT("'"&amp;A7&amp;"'"&amp;"!A:A"),"总价",INDIRECT("'"&amp;A7&amp;"'"&amp;"!B:B"))</f>
        <v>#DIV/0!</v>
      </c>
      <c r="C7" s="3052" t="s">
        <v>2938</v>
      </c>
      <c r="D7" s="1866"/>
      <c r="E7" s="3057">
        <f ca="1">SUMIF(INDIRECT("'"&amp;A7&amp;"'"&amp;"!C:C"),"建筑面积",INDIRECT("'"&amp;A7&amp;"'"&amp;"!D:D"))</f>
        <v>0</v>
      </c>
      <c r="F7" s="3057">
        <f ca="1">SUMIF(INDIRECT("'"&amp;A7&amp;"'"&amp;"!E:E"),"土地面积",INDIRECT("'"&amp;A7&amp;"'"&amp;"!F:F"))</f>
        <v>0</v>
      </c>
    </row>
    <row r="8" spans="1:6" ht="14.25">
      <c r="A8" s="260"/>
      <c r="B8" s="3056" t="e">
        <f t="shared" ref="B8:B14" ca="1" si="0">SUMIF(INDIRECT("'"&amp;A8&amp;"'"&amp;"!A:A"),"总价",INDIRECT("'"&amp;A8&amp;"'"&amp;"!B:B"))</f>
        <v>#REF!</v>
      </c>
      <c r="C8" s="3052" t="s">
        <v>2938</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2938</v>
      </c>
      <c r="D9" s="1866"/>
      <c r="E9" s="3057" t="e">
        <f t="shared" ca="1" si="1"/>
        <v>#REF!</v>
      </c>
      <c r="F9" s="3057" t="e">
        <f t="shared" ca="1" si="2"/>
        <v>#REF!</v>
      </c>
    </row>
    <row r="10" spans="1:6" ht="14.25">
      <c r="A10" s="260"/>
      <c r="B10" s="3056" t="e">
        <f t="shared" ca="1" si="0"/>
        <v>#REF!</v>
      </c>
      <c r="C10" s="3052" t="s">
        <v>2938</v>
      </c>
      <c r="D10" s="1866"/>
      <c r="E10" s="3057" t="e">
        <f t="shared" ca="1" si="1"/>
        <v>#REF!</v>
      </c>
      <c r="F10" s="3057" t="e">
        <f t="shared" ca="1" si="2"/>
        <v>#REF!</v>
      </c>
    </row>
    <row r="11" spans="1:6" ht="14.25">
      <c r="A11" s="260"/>
      <c r="B11" s="3056" t="e">
        <f t="shared" ca="1" si="0"/>
        <v>#REF!</v>
      </c>
      <c r="C11" s="3052" t="s">
        <v>2938</v>
      </c>
      <c r="D11" s="1866"/>
      <c r="E11" s="3057" t="e">
        <f t="shared" ca="1" si="1"/>
        <v>#REF!</v>
      </c>
      <c r="F11" s="3057" t="e">
        <f t="shared" ca="1" si="2"/>
        <v>#REF!</v>
      </c>
    </row>
    <row r="12" spans="1:6" ht="14.25">
      <c r="A12" s="260"/>
      <c r="B12" s="3056" t="e">
        <f t="shared" ca="1" si="0"/>
        <v>#REF!</v>
      </c>
      <c r="C12" s="3052" t="s">
        <v>2938</v>
      </c>
      <c r="D12" s="1866"/>
      <c r="E12" s="3057" t="e">
        <f t="shared" ca="1" si="1"/>
        <v>#REF!</v>
      </c>
      <c r="F12" s="3057" t="e">
        <f t="shared" ca="1" si="2"/>
        <v>#REF!</v>
      </c>
    </row>
    <row r="13" spans="1:6" ht="14.25">
      <c r="A13" s="260"/>
      <c r="B13" s="3056" t="e">
        <f t="shared" ca="1" si="0"/>
        <v>#REF!</v>
      </c>
      <c r="C13" s="3052" t="s">
        <v>2938</v>
      </c>
      <c r="D13" s="1866"/>
      <c r="E13" s="3057" t="e">
        <f t="shared" ca="1" si="1"/>
        <v>#REF!</v>
      </c>
      <c r="F13" s="3057" t="e">
        <f t="shared" ca="1" si="2"/>
        <v>#REF!</v>
      </c>
    </row>
    <row r="14" spans="1:6" ht="14.25">
      <c r="A14" s="3050"/>
      <c r="B14" s="3056" t="e">
        <f t="shared" ca="1" si="0"/>
        <v>#REF!</v>
      </c>
      <c r="C14" s="3052" t="s">
        <v>2938</v>
      </c>
      <c r="D14" s="1866"/>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2368</v>
      </c>
      <c r="F1" s="2352">
        <f ca="1">J54</f>
        <v>-3</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2452</v>
      </c>
      <c r="C7" s="53">
        <f ca="1">C8+C12+C14</f>
        <v>0</v>
      </c>
      <c r="D7" s="2460" t="s">
        <v>2455</v>
      </c>
      <c r="E7" s="2454"/>
      <c r="F7" s="2455"/>
      <c r="G7" s="1578"/>
      <c r="H7" s="781">
        <v>1</v>
      </c>
      <c r="I7" s="782" t="s">
        <v>2452</v>
      </c>
      <c r="J7" s="53">
        <f ca="1">J8+J12+J14</f>
        <v>0</v>
      </c>
      <c r="K7" s="2460" t="s">
        <v>2455</v>
      </c>
      <c r="L7" s="2454"/>
      <c r="M7" s="2455"/>
    </row>
    <row r="8" spans="1:25" ht="18" customHeight="1">
      <c r="A8" s="1815" t="s">
        <v>1822</v>
      </c>
      <c r="B8" s="3446" t="s">
        <v>2457</v>
      </c>
      <c r="C8" s="1810">
        <f ca="1">ROUND(F8*F10*F9*(1-F11)/10000,0)</f>
        <v>0</v>
      </c>
      <c r="D8" s="1807" t="s">
        <v>2528</v>
      </c>
      <c r="E8" s="61" t="s">
        <v>637</v>
      </c>
      <c r="F8" s="785">
        <f ca="1">INDIRECT("'数据-取费表'!u"&amp;$G$1)</f>
        <v>0</v>
      </c>
      <c r="G8" s="1578"/>
      <c r="H8" s="2468" t="s">
        <v>1822</v>
      </c>
      <c r="I8" s="3446" t="s">
        <v>2457</v>
      </c>
      <c r="J8" s="783">
        <f ca="1">ROUND(M8*M10*M9*(1-M11)/10000,0)</f>
        <v>0</v>
      </c>
      <c r="K8" s="341" t="s">
        <v>2528</v>
      </c>
      <c r="L8" s="784" t="s">
        <v>1736</v>
      </c>
      <c r="M8" s="785">
        <f ca="1">INDIRECT("'数据-取费表'!z"&amp;$G$1)</f>
        <v>0</v>
      </c>
    </row>
    <row r="9" spans="1:25" ht="18" customHeight="1">
      <c r="A9" s="2464"/>
      <c r="B9" s="3447"/>
      <c r="C9" s="1811"/>
      <c r="D9" s="1808"/>
      <c r="E9" s="61" t="s">
        <v>638</v>
      </c>
      <c r="F9" s="785">
        <f ca="1">IF(INDIRECT("'数据-取费表'!ah"&amp;$G$1)="",INDIRECT("'数据-取费表'!k"&amp;$G$1),INDIRECT("'数据-取费表'!ah"&amp;$G$1))</f>
        <v>0</v>
      </c>
      <c r="G9" s="1578"/>
      <c r="H9" s="2453"/>
      <c r="I9" s="3447"/>
      <c r="J9" s="788"/>
      <c r="K9" s="789"/>
      <c r="L9" s="784" t="s">
        <v>1737</v>
      </c>
      <c r="M9" s="785">
        <f ca="1">F9</f>
        <v>0</v>
      </c>
    </row>
    <row r="10" spans="1:25" ht="18" customHeight="1">
      <c r="A10" s="2457"/>
      <c r="B10" s="3448"/>
      <c r="C10" s="1811"/>
      <c r="D10" s="1808"/>
      <c r="E10" s="61" t="s">
        <v>639</v>
      </c>
      <c r="F10" s="785">
        <f ca="1">INDIRECT("'数据-取费表'!ai"&amp;$G$1)</f>
        <v>0</v>
      </c>
      <c r="G10" s="1578"/>
      <c r="H10" s="2453"/>
      <c r="I10" s="3448"/>
      <c r="J10" s="788"/>
      <c r="K10" s="789"/>
      <c r="L10" s="784" t="s">
        <v>1738</v>
      </c>
      <c r="M10" s="785">
        <f ca="1">INDIRECT("'数据-取费表'!ai"&amp;$G$1)</f>
        <v>0</v>
      </c>
    </row>
    <row r="11" spans="1:25" ht="18" customHeight="1">
      <c r="A11" s="786"/>
      <c r="B11" s="3449"/>
      <c r="C11" s="1811"/>
      <c r="D11" s="1808"/>
      <c r="E11" s="61" t="s">
        <v>640</v>
      </c>
      <c r="F11" s="794">
        <f ca="1">INDIRECT("'数据-取费表'!w"&amp;$G$1)</f>
        <v>0</v>
      </c>
      <c r="G11" s="1578"/>
      <c r="H11" s="2469"/>
      <c r="I11" s="3448"/>
      <c r="J11" s="788"/>
      <c r="K11" s="789"/>
      <c r="L11" s="795" t="s">
        <v>1739</v>
      </c>
      <c r="M11" s="796">
        <f ca="1">INDIRECT("'数据-取费表'!ab"&amp;$G$1)</f>
        <v>0</v>
      </c>
    </row>
    <row r="12" spans="1:25" ht="18" customHeight="1">
      <c r="A12" s="1815" t="s">
        <v>1823</v>
      </c>
      <c r="B12" s="2458" t="s">
        <v>2453</v>
      </c>
      <c r="C12" s="799">
        <f ca="1">ROUND(IF(F12="押一",C8/12*F13,IF(F12="押二",C8/12*2*F13,IF(F12="押三",C8/12*3*F13,C13*F13))),0)</f>
        <v>0</v>
      </c>
      <c r="D12" s="2465" t="s">
        <v>2967</v>
      </c>
      <c r="E12" s="2462" t="s">
        <v>2458</v>
      </c>
      <c r="F12" s="2585"/>
      <c r="G12" s="1578"/>
      <c r="H12" s="2525" t="s">
        <v>1823</v>
      </c>
      <c r="I12" s="2530" t="s">
        <v>2453</v>
      </c>
      <c r="J12" s="783">
        <f ca="1">ROUND(IF(M12="押一",J8/12*M13,IF(M12="押二",J8/12*2*M13,IF(M12="押三",J8/12*3*M13,J13*M13))),0)</f>
        <v>0</v>
      </c>
      <c r="K12" s="2465" t="s">
        <v>2967</v>
      </c>
      <c r="L12" s="2462" t="s">
        <v>2458</v>
      </c>
      <c r="M12" s="2585"/>
    </row>
    <row r="13" spans="1:25" ht="18" customHeight="1">
      <c r="A13" s="790"/>
      <c r="B13" s="2459" t="s">
        <v>2567</v>
      </c>
      <c r="C13" s="2463"/>
      <c r="D13" s="789"/>
      <c r="E13" s="2462" t="s">
        <v>2450</v>
      </c>
      <c r="F13" s="796">
        <f ca="1">'数据-取费表'!B39</f>
        <v>1.4999999999999999E-2</v>
      </c>
      <c r="G13" s="1578"/>
      <c r="H13" s="2526"/>
      <c r="I13" s="2459" t="s">
        <v>2567</v>
      </c>
      <c r="J13" s="2463"/>
      <c r="K13" s="2527"/>
      <c r="L13" s="2462" t="s">
        <v>2450</v>
      </c>
      <c r="M13" s="2456">
        <f ca="1">'数据-取费表'!B39</f>
        <v>1.4999999999999999E-2</v>
      </c>
    </row>
    <row r="14" spans="1:25" ht="18" customHeight="1" thickBot="1">
      <c r="A14" s="2501" t="s">
        <v>2461</v>
      </c>
      <c r="B14" s="2502" t="s">
        <v>2454</v>
      </c>
      <c r="C14" s="2503"/>
      <c r="D14" s="2504"/>
      <c r="E14" s="2505"/>
      <c r="F14" s="2506"/>
      <c r="G14" s="1578"/>
      <c r="H14" s="2515" t="s">
        <v>2461</v>
      </c>
      <c r="I14" s="2528" t="s">
        <v>2454</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2818</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2431</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3</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2815</v>
      </c>
      <c r="J27" s="799">
        <f ca="1">J7-J18</f>
        <v>0</v>
      </c>
      <c r="K27" s="1964" t="s">
        <v>700</v>
      </c>
      <c r="L27" s="1966"/>
      <c r="M27" s="820"/>
    </row>
    <row r="28" spans="1:25" ht="18" customHeight="1">
      <c r="A28" s="803" t="s">
        <v>1873</v>
      </c>
      <c r="B28" s="784" t="s">
        <v>2432</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f ca="1">ROUND((C21+C22+C25+C28)/(1-F23-C26-C29-C30),0)</f>
        <v>0</v>
      </c>
      <c r="D31" s="2509"/>
      <c r="E31" s="2510"/>
      <c r="F31" s="2511"/>
      <c r="G31" s="1579"/>
      <c r="H31" s="823" t="s">
        <v>1870</v>
      </c>
      <c r="I31" s="2964"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5</v>
      </c>
      <c r="G36" s="2047"/>
      <c r="H36" s="2050"/>
      <c r="I36" s="3445"/>
      <c r="J36" s="2064"/>
      <c r="K36" s="2065"/>
      <c r="L36" s="2064"/>
      <c r="M36" s="2064"/>
    </row>
    <row r="37" spans="1:18" ht="18" customHeight="1">
      <c r="A37" s="815"/>
      <c r="B37" s="793"/>
      <c r="C37" s="69"/>
      <c r="D37" s="816"/>
      <c r="E37" s="784" t="s">
        <v>674</v>
      </c>
      <c r="F37" s="785">
        <f ca="1">INDIRECT("'数据-取费表'!r"&amp;$G$1)</f>
        <v>0</v>
      </c>
      <c r="G37" s="2047"/>
      <c r="H37" s="2050"/>
      <c r="I37" s="3445"/>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8" t="s">
        <v>2955</v>
      </c>
      <c r="F43" s="3069">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2337</v>
      </c>
      <c r="J47" s="2343"/>
      <c r="K47" s="2344"/>
      <c r="L47" s="3102" t="str">
        <f ca="1">IF(M48="住宅",0,IF(L49&gt;J52,L61,J61))</f>
        <v>0</v>
      </c>
      <c r="O47" s="2358" t="s">
        <v>2404</v>
      </c>
      <c r="P47" s="1578"/>
      <c r="Q47" s="1589"/>
      <c r="R47" s="1578"/>
    </row>
    <row r="48" spans="1:18" s="2044" customFormat="1" ht="18" customHeight="1" thickBot="1">
      <c r="A48" s="2069"/>
      <c r="C48" s="2072"/>
      <c r="D48" s="2073"/>
      <c r="E48" s="2073"/>
      <c r="F48" s="2074"/>
      <c r="G48" s="2075"/>
      <c r="I48" s="3093" t="s">
        <v>2338</v>
      </c>
      <c r="J48" s="2345"/>
      <c r="K48" s="3099" t="s">
        <v>2343</v>
      </c>
      <c r="L48" s="3103">
        <f ca="1">INDIRECT("'数据-取费表'!d"&amp;$G$1)</f>
        <v>0</v>
      </c>
      <c r="M48" s="3067" t="str">
        <f>IF(ISNUMBER(FIND("住宅",C1)),"住宅","非住宅")</f>
        <v>非住宅</v>
      </c>
      <c r="O48" s="2359" t="s">
        <v>2369</v>
      </c>
      <c r="P48" s="2360" t="s">
        <v>2370</v>
      </c>
      <c r="Q48" s="2361" t="s">
        <v>2371</v>
      </c>
      <c r="R48" s="2360" t="s">
        <v>2372</v>
      </c>
    </row>
    <row r="49" spans="1:18" s="2044" customFormat="1" ht="18" customHeight="1" thickBot="1">
      <c r="A49" s="2069"/>
      <c r="D49" s="2076"/>
      <c r="E49" s="2077"/>
      <c r="F49" s="2074"/>
      <c r="G49" s="2075"/>
      <c r="H49" s="2078"/>
      <c r="I49" s="3072" t="s">
        <v>2339</v>
      </c>
      <c r="J49" s="2346"/>
      <c r="K49" s="3100" t="s">
        <v>2345</v>
      </c>
      <c r="L49" s="1893">
        <f ca="1">INDIRECT("'数据-取费表'!f"&amp;$G$1)</f>
        <v>0</v>
      </c>
      <c r="O49" s="2362" t="s">
        <v>2373</v>
      </c>
      <c r="P49" s="2363" t="s">
        <v>2399</v>
      </c>
      <c r="Q49" s="2364">
        <f ca="1">C41+J31</f>
        <v>0</v>
      </c>
      <c r="R49" s="2363" t="s">
        <v>2374</v>
      </c>
    </row>
    <row r="50" spans="1:18" s="2044" customFormat="1" ht="18" customHeight="1" thickBot="1">
      <c r="A50" s="2069"/>
      <c r="D50" s="2079"/>
      <c r="E50" s="2079"/>
      <c r="F50" s="2073"/>
      <c r="G50" s="2080"/>
      <c r="H50" s="2078"/>
      <c r="I50" s="3072" t="s">
        <v>2340</v>
      </c>
      <c r="J50" s="2347"/>
      <c r="K50" s="3101" t="s">
        <v>2346</v>
      </c>
      <c r="L50" s="2348"/>
      <c r="O50" s="2362" t="s">
        <v>2375</v>
      </c>
      <c r="P50" s="2363" t="s">
        <v>2400</v>
      </c>
      <c r="Q50" s="2364" t="str">
        <f ca="1">J61</f>
        <v>0</v>
      </c>
      <c r="R50" s="2363" t="s">
        <v>2376</v>
      </c>
    </row>
    <row r="51" spans="1:18" s="2044" customFormat="1" ht="18" customHeight="1" thickBot="1">
      <c r="A51" s="2081"/>
      <c r="D51" s="2079"/>
      <c r="E51" s="2079"/>
      <c r="F51" s="2070"/>
      <c r="H51" s="2078"/>
      <c r="I51" s="3072" t="s">
        <v>2341</v>
      </c>
      <c r="J51" s="3097">
        <f>SUMPRODUCT((I64:I66=J48)*(J63:L63=J49)*(J64:L66))</f>
        <v>0</v>
      </c>
      <c r="K51" s="3101" t="s">
        <v>2347</v>
      </c>
      <c r="L51" s="2348"/>
      <c r="O51" s="2365" t="s">
        <v>2377</v>
      </c>
      <c r="P51" s="2363" t="s">
        <v>2401</v>
      </c>
      <c r="Q51" s="2364">
        <f ca="1">C31</f>
        <v>0</v>
      </c>
      <c r="R51" s="2363" t="s">
        <v>2374</v>
      </c>
    </row>
    <row r="52" spans="1:18" s="2044" customFormat="1" ht="18" customHeight="1" thickBot="1">
      <c r="A52" s="2081"/>
      <c r="F52" s="2070"/>
      <c r="I52" s="3094" t="s">
        <v>2342</v>
      </c>
      <c r="J52" s="3098">
        <f>IF(J50="",J51,J50+J51-YEAR('数据-取费表'!B3))</f>
        <v>0</v>
      </c>
      <c r="K52" s="3072" t="s">
        <v>2348</v>
      </c>
      <c r="L52" s="3104">
        <f ca="1">C45</f>
        <v>0</v>
      </c>
      <c r="O52" s="2365" t="s">
        <v>2378</v>
      </c>
      <c r="P52" s="2363" t="s">
        <v>2379</v>
      </c>
      <c r="Q52" s="2366" t="e">
        <f ca="1">J59</f>
        <v>#VALUE!</v>
      </c>
      <c r="R52" s="2367"/>
    </row>
    <row r="53" spans="1:18" s="2044" customFormat="1" ht="18" customHeight="1" thickBot="1">
      <c r="A53" s="2081"/>
      <c r="F53" s="2070"/>
      <c r="I53" s="3095" t="s">
        <v>2415</v>
      </c>
      <c r="J53" s="2349"/>
      <c r="K53" s="3095" t="s">
        <v>2414</v>
      </c>
      <c r="L53" s="2349"/>
      <c r="O53" s="2365" t="s">
        <v>2380</v>
      </c>
      <c r="P53" s="2363" t="s">
        <v>2381</v>
      </c>
      <c r="Q53" s="2366">
        <f>J53</f>
        <v>0</v>
      </c>
      <c r="R53" s="2367"/>
    </row>
    <row r="54" spans="1:18" s="2044" customFormat="1" ht="29.25" thickBot="1">
      <c r="A54" s="2081"/>
      <c r="I54" s="3096" t="s">
        <v>2971</v>
      </c>
      <c r="J54" s="3175">
        <f ca="1">IF(M48="住宅",MAX(J52,L49-'数据-取费表'!B20),MIN(J52,L49-'数据-取费表'!B20))</f>
        <v>-3</v>
      </c>
      <c r="K54" s="3450"/>
      <c r="L54" s="3451"/>
      <c r="O54" s="2365" t="s">
        <v>2382</v>
      </c>
      <c r="P54" s="2363" t="s">
        <v>2383</v>
      </c>
      <c r="Q54" s="2364">
        <f ca="1">J54</f>
        <v>-3</v>
      </c>
      <c r="R54" s="2363" t="s">
        <v>2384</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2385</v>
      </c>
      <c r="P55" s="2363" t="s">
        <v>2402</v>
      </c>
      <c r="Q55" s="2364">
        <f ca="1">Q49+Q50</f>
        <v>0</v>
      </c>
      <c r="R55" s="2367" t="s">
        <v>2386</v>
      </c>
    </row>
    <row r="56" spans="1:18" s="2044" customFormat="1" ht="16.5" thickBot="1">
      <c r="A56" s="2081"/>
      <c r="B56" s="2082"/>
      <c r="C56" s="2082"/>
      <c r="I56" s="3107" t="s">
        <v>2349</v>
      </c>
      <c r="J56" s="3047" t="e">
        <f ca="1">ROUND(IF(J48="钢混",J58/J51,1-(1-2%)*(J51-J58)/J51),3)</f>
        <v>#VALUE!</v>
      </c>
      <c r="K56" s="3108" t="s">
        <v>2350</v>
      </c>
      <c r="L56" s="2350"/>
      <c r="O56" s="2368" t="s">
        <v>2405</v>
      </c>
      <c r="P56" s="1578"/>
      <c r="Q56" s="1589"/>
      <c r="R56" s="1578"/>
    </row>
    <row r="57" spans="1:18" s="2044" customFormat="1" ht="43.5" thickBot="1">
      <c r="A57" s="2081"/>
      <c r="B57" s="2082"/>
      <c r="C57" s="2082"/>
      <c r="I57" s="3109" t="s">
        <v>2351</v>
      </c>
      <c r="J57" s="3119" t="s">
        <v>1676</v>
      </c>
      <c r="K57" s="3072" t="s">
        <v>2356</v>
      </c>
      <c r="L57" s="1893">
        <f ca="1">IF(L49&lt;J52,"——",L49-J52)</f>
        <v>0</v>
      </c>
      <c r="O57" s="2359" t="s">
        <v>2369</v>
      </c>
      <c r="P57" s="2360" t="s">
        <v>2370</v>
      </c>
      <c r="Q57" s="2361" t="s">
        <v>2371</v>
      </c>
      <c r="R57" s="2360" t="s">
        <v>2372</v>
      </c>
    </row>
    <row r="58" spans="1:18" s="2044" customFormat="1" ht="29.25" thickBot="1">
      <c r="A58" s="2081"/>
      <c r="B58" s="2082"/>
      <c r="C58" s="2082"/>
      <c r="I58" s="3110" t="s">
        <v>2352</v>
      </c>
      <c r="J58" s="3111" t="str">
        <f ca="1">IF(OR(M48="住宅",J52&lt;L49,J57="是"),"——",J52-L49)</f>
        <v>——</v>
      </c>
      <c r="K58" s="3072" t="s">
        <v>2357</v>
      </c>
      <c r="L58" s="1893">
        <f ca="1">IF(L49&lt;J52,"——",IF(L56="比较法",L50,IF(L56="基准地价",L51,L52)))</f>
        <v>0</v>
      </c>
      <c r="O58" s="2362" t="s">
        <v>2373</v>
      </c>
      <c r="P58" s="2363" t="s">
        <v>2399</v>
      </c>
      <c r="Q58" s="2364">
        <f ca="1">C41+J31</f>
        <v>0</v>
      </c>
      <c r="R58" s="2363" t="s">
        <v>2374</v>
      </c>
    </row>
    <row r="59" spans="1:18" s="2044" customFormat="1" ht="29.25" thickBot="1">
      <c r="A59" s="2081"/>
      <c r="B59" s="2082"/>
      <c r="C59" s="2082"/>
      <c r="I59" s="3110" t="s">
        <v>2353</v>
      </c>
      <c r="J59" s="3048" t="e">
        <f ca="1">IF(J56&lt;0.4,0.4,J56)</f>
        <v>#VALUE!</v>
      </c>
      <c r="K59" s="3072" t="s">
        <v>2358</v>
      </c>
      <c r="L59" s="1893">
        <f ca="1">IF(ISERROR(POWER(1+L53,L48-L49)*(POWER(1+L53,L49)-1)/(POWER(1+L53,L48)-1)),0,POWER(1+L53,L48-L49)*(POWER(1+L53,L49)-1)/(POWER(1+L53,L48)-1))</f>
        <v>0</v>
      </c>
      <c r="O59" s="2362" t="s">
        <v>2375</v>
      </c>
      <c r="P59" s="2363" t="s">
        <v>2406</v>
      </c>
      <c r="Q59" s="2364" t="e">
        <f ca="1">L61</f>
        <v>#DIV/0!</v>
      </c>
      <c r="R59" s="2367" t="s">
        <v>2408</v>
      </c>
    </row>
    <row r="60" spans="1:18" s="2044" customFormat="1" ht="29.25" thickBot="1">
      <c r="A60" s="2081"/>
      <c r="B60" s="2082"/>
      <c r="C60" s="2082"/>
      <c r="I60" s="3110" t="s">
        <v>2354</v>
      </c>
      <c r="J60" s="3111" t="str">
        <f ca="1">IF(OR(M48="住宅",J52&lt;L49,J57="是"),"——",ROUND(C30*J59,0))</f>
        <v>——</v>
      </c>
      <c r="K60" s="3072" t="s">
        <v>2359</v>
      </c>
      <c r="L60" s="1893">
        <f ca="1">IF(ISERROR(POWER(1+L53,L48-J52)*(POWER(1+L53,J52)-1)/(POWER(1+L53,L48)-1)),0,POWER(1+L53,L48-J52)*(POWER(1+L53,J52)-1)/(POWER(1+L53,L48)-1))</f>
        <v>0</v>
      </c>
      <c r="O60" s="2365" t="s">
        <v>2377</v>
      </c>
      <c r="P60" s="2363" t="s">
        <v>2407</v>
      </c>
      <c r="Q60" s="2364">
        <f>IF(L56="比较法",L50,IF(L56="基准地价",L51,0))</f>
        <v>0</v>
      </c>
      <c r="R60" s="2363" t="s">
        <v>2374</v>
      </c>
    </row>
    <row r="61" spans="1:18" s="2044" customFormat="1" ht="15.75" thickBot="1">
      <c r="A61" s="2081"/>
      <c r="B61" s="2082"/>
      <c r="C61" s="2082"/>
      <c r="I61" s="3112" t="s">
        <v>2355</v>
      </c>
      <c r="J61" s="3113" t="str">
        <f ca="1">IF(OR(M48="住宅",J52&lt;L49,J57="是"),"0",ROUND(J60/(1+J53)^J54,0))</f>
        <v>0</v>
      </c>
      <c r="K61" s="3114" t="s">
        <v>2360</v>
      </c>
      <c r="L61" s="3113" t="e">
        <f ca="1">IF(OR(M48="住宅",L49&lt;J52),0,ROUND(L58*(L59/L60-1),0))</f>
        <v>#DIV/0!</v>
      </c>
      <c r="O61" s="2365" t="s">
        <v>2378</v>
      </c>
      <c r="P61" s="2363" t="s">
        <v>2387</v>
      </c>
      <c r="Q61" s="2366">
        <f>L53</f>
        <v>0</v>
      </c>
      <c r="R61" s="2367"/>
    </row>
    <row r="62" spans="1:18" s="2044" customFormat="1" ht="20.25" thickBot="1">
      <c r="A62" s="2081"/>
      <c r="B62" s="2082"/>
      <c r="C62" s="2082"/>
      <c r="K62" s="2071"/>
      <c r="O62" s="2365" t="s">
        <v>2380</v>
      </c>
      <c r="P62" s="2363" t="s">
        <v>2388</v>
      </c>
      <c r="Q62" s="2364">
        <f ca="1">L59</f>
        <v>0</v>
      </c>
      <c r="R62" s="2367" t="s">
        <v>2389</v>
      </c>
    </row>
    <row r="63" spans="1:18" s="2044" customFormat="1" ht="20.25" thickBot="1">
      <c r="A63" s="2081"/>
      <c r="B63" s="2082"/>
      <c r="C63" s="2082"/>
      <c r="I63" s="3115" t="s">
        <v>2361</v>
      </c>
      <c r="J63" s="3116" t="s">
        <v>2362</v>
      </c>
      <c r="K63" s="3116" t="s">
        <v>2363</v>
      </c>
      <c r="L63" s="3116" t="s">
        <v>2344</v>
      </c>
      <c r="M63" s="3117" t="s">
        <v>2936</v>
      </c>
      <c r="O63" s="2365" t="s">
        <v>2382</v>
      </c>
      <c r="P63" s="2363" t="s">
        <v>2390</v>
      </c>
      <c r="Q63" s="2364">
        <f ca="1">L60</f>
        <v>0</v>
      </c>
      <c r="R63" s="2367" t="s">
        <v>2391</v>
      </c>
    </row>
    <row r="64" spans="1:18" s="2044" customFormat="1" ht="15.75" thickBot="1">
      <c r="A64" s="2081"/>
      <c r="B64" s="2082"/>
      <c r="C64" s="2082"/>
      <c r="I64" s="3115" t="s">
        <v>2364</v>
      </c>
      <c r="J64" s="3116">
        <v>70</v>
      </c>
      <c r="K64" s="3116">
        <v>50</v>
      </c>
      <c r="L64" s="3116">
        <v>80</v>
      </c>
      <c r="M64" s="3118">
        <v>0.02</v>
      </c>
      <c r="O64" s="2362" t="s">
        <v>2385</v>
      </c>
      <c r="P64" s="2363" t="s">
        <v>2402</v>
      </c>
      <c r="Q64" s="2364" t="e">
        <f ca="1">Q58+Q59</f>
        <v>#DIV/0!</v>
      </c>
      <c r="R64" s="2367" t="s">
        <v>2386</v>
      </c>
    </row>
    <row r="65" spans="1:18" s="2044" customFormat="1" ht="16.5" thickBot="1">
      <c r="A65" s="2081"/>
      <c r="B65" s="2082"/>
      <c r="C65" s="2082"/>
      <c r="I65" s="3115" t="s">
        <v>2365</v>
      </c>
      <c r="J65" s="3116">
        <v>50</v>
      </c>
      <c r="K65" s="3116">
        <v>35</v>
      </c>
      <c r="L65" s="3116">
        <v>60</v>
      </c>
      <c r="M65" s="846">
        <v>0</v>
      </c>
      <c r="O65" s="2368" t="s">
        <v>2409</v>
      </c>
      <c r="P65" s="1578"/>
      <c r="Q65" s="1589"/>
      <c r="R65" s="1578"/>
    </row>
    <row r="66" spans="1:18" s="2044" customFormat="1" ht="15.75" thickBot="1">
      <c r="A66" s="2081"/>
      <c r="B66" s="2082"/>
      <c r="C66" s="2082"/>
      <c r="I66" s="3115" t="s">
        <v>2366</v>
      </c>
      <c r="J66" s="3116">
        <v>40</v>
      </c>
      <c r="K66" s="3116">
        <v>30</v>
      </c>
      <c r="L66" s="3116">
        <v>50</v>
      </c>
      <c r="M66" s="3118">
        <v>0.02</v>
      </c>
      <c r="O66" s="2359" t="s">
        <v>2369</v>
      </c>
      <c r="P66" s="2360" t="s">
        <v>2370</v>
      </c>
      <c r="Q66" s="2361" t="s">
        <v>2371</v>
      </c>
      <c r="R66" s="2360" t="s">
        <v>2372</v>
      </c>
    </row>
    <row r="67" spans="1:18" s="2044" customFormat="1" ht="15.75" thickBot="1">
      <c r="A67" s="2081"/>
      <c r="B67" s="2082"/>
      <c r="C67" s="2082"/>
      <c r="K67" s="2071"/>
      <c r="O67" s="2362" t="s">
        <v>2373</v>
      </c>
      <c r="P67" s="2363" t="s">
        <v>2399</v>
      </c>
      <c r="Q67" s="2364">
        <f ca="1">C41+J31</f>
        <v>0</v>
      </c>
      <c r="R67" s="2363" t="s">
        <v>2374</v>
      </c>
    </row>
    <row r="68" spans="1:18" s="2044" customFormat="1" ht="20.25" thickBot="1">
      <c r="A68" s="2081"/>
      <c r="B68" s="2082"/>
      <c r="C68" s="2082"/>
      <c r="K68" s="2071"/>
      <c r="O68" s="2362" t="s">
        <v>2375</v>
      </c>
      <c r="P68" s="2363" t="s">
        <v>2406</v>
      </c>
      <c r="Q68" s="2364" t="e">
        <f ca="1">L61</f>
        <v>#DIV/0!</v>
      </c>
      <c r="R68" s="2367" t="s">
        <v>2408</v>
      </c>
    </row>
    <row r="69" spans="1:18" s="2044" customFormat="1" ht="21.75" thickBot="1">
      <c r="A69" s="2081"/>
      <c r="B69" s="2082"/>
      <c r="C69" s="2082"/>
      <c r="K69" s="2071"/>
      <c r="O69" s="2365" t="s">
        <v>2377</v>
      </c>
      <c r="P69" s="2363" t="s">
        <v>2407</v>
      </c>
      <c r="Q69" s="2369">
        <f ca="1">L52</f>
        <v>0</v>
      </c>
      <c r="R69" s="2370" t="s">
        <v>2410</v>
      </c>
    </row>
    <row r="70" spans="1:18" s="2044" customFormat="1" ht="20.25" thickBot="1">
      <c r="A70" s="2081"/>
      <c r="B70" s="2082"/>
      <c r="C70" s="2082"/>
      <c r="K70" s="2071"/>
      <c r="O70" s="2365" t="s">
        <v>2378</v>
      </c>
      <c r="P70" s="2371" t="s">
        <v>2392</v>
      </c>
      <c r="Q70" s="2364">
        <f ca="1">ROUND(Q71-Q72*Q73,0)</f>
        <v>0</v>
      </c>
      <c r="R70" s="2367"/>
    </row>
    <row r="71" spans="1:18" s="2044" customFormat="1" ht="15.75" thickBot="1">
      <c r="A71" s="2081"/>
      <c r="B71" s="2082"/>
      <c r="C71" s="2082"/>
      <c r="K71" s="2071"/>
      <c r="O71" s="2365" t="s">
        <v>2393</v>
      </c>
      <c r="P71" s="2371" t="s">
        <v>2394</v>
      </c>
      <c r="Q71" s="2364">
        <f ca="1">C42</f>
        <v>0</v>
      </c>
      <c r="R71" s="2363" t="s">
        <v>2374</v>
      </c>
    </row>
    <row r="72" spans="1:18" s="2044" customFormat="1" ht="15.75" thickBot="1">
      <c r="A72" s="2081"/>
      <c r="B72" s="2082"/>
      <c r="C72" s="2082"/>
      <c r="K72" s="2071"/>
      <c r="O72" s="2365" t="s">
        <v>2395</v>
      </c>
      <c r="P72" s="2371" t="s">
        <v>2396</v>
      </c>
      <c r="Q72" s="2364">
        <f ca="1">C15</f>
        <v>0</v>
      </c>
      <c r="R72" s="2363" t="s">
        <v>2374</v>
      </c>
    </row>
    <row r="73" spans="1:18" s="2044" customFormat="1" ht="15.75" thickBot="1">
      <c r="A73" s="2081"/>
      <c r="B73" s="2082"/>
      <c r="C73" s="2082"/>
      <c r="K73" s="2071"/>
      <c r="O73" s="2365" t="s">
        <v>2397</v>
      </c>
      <c r="P73" s="2371" t="s">
        <v>2398</v>
      </c>
      <c r="Q73" s="2366">
        <f ca="1">F43</f>
        <v>0</v>
      </c>
      <c r="R73" s="2367"/>
    </row>
    <row r="74" spans="1:18" s="2044" customFormat="1" ht="15.75" thickBot="1">
      <c r="A74" s="2081"/>
      <c r="B74" s="2082"/>
      <c r="C74" s="2082"/>
      <c r="K74" s="2071"/>
      <c r="O74" s="2365" t="s">
        <v>2380</v>
      </c>
      <c r="P74" s="2363" t="s">
        <v>2387</v>
      </c>
      <c r="Q74" s="2366">
        <f>L53</f>
        <v>0</v>
      </c>
      <c r="R74" s="2367"/>
    </row>
    <row r="75" spans="1:18" s="2044" customFormat="1" ht="20.25" thickBot="1">
      <c r="A75" s="2081"/>
      <c r="B75" s="2082"/>
      <c r="C75" s="2082"/>
      <c r="K75" s="2071"/>
      <c r="O75" s="2365" t="s">
        <v>2382</v>
      </c>
      <c r="P75" s="2363" t="s">
        <v>2388</v>
      </c>
      <c r="Q75" s="2364">
        <f ca="1">L59</f>
        <v>0</v>
      </c>
      <c r="R75" s="2367" t="s">
        <v>2389</v>
      </c>
    </row>
    <row r="76" spans="1:18" s="2044" customFormat="1" ht="20.25" thickBot="1">
      <c r="A76" s="2081"/>
      <c r="B76" s="2082"/>
      <c r="C76" s="2082"/>
      <c r="K76" s="2071"/>
      <c r="O76" s="2365" t="s">
        <v>2411</v>
      </c>
      <c r="P76" s="2363" t="s">
        <v>2390</v>
      </c>
      <c r="Q76" s="2364">
        <f ca="1">L60</f>
        <v>0</v>
      </c>
      <c r="R76" s="2367" t="s">
        <v>2391</v>
      </c>
    </row>
    <row r="77" spans="1:18" s="2044" customFormat="1" ht="15.75" thickBot="1">
      <c r="A77" s="2081"/>
      <c r="B77" s="2082"/>
      <c r="C77" s="2082"/>
      <c r="K77" s="2071"/>
      <c r="O77" s="2362" t="s">
        <v>2385</v>
      </c>
      <c r="P77" s="2363" t="s">
        <v>2402</v>
      </c>
      <c r="Q77" s="2364" t="e">
        <f ca="1">Q67+Q68</f>
        <v>#DIV/0!</v>
      </c>
      <c r="R77" s="2367" t="s">
        <v>2386</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L51" sqref="L5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c r="D1" s="3071" t="s">
        <v>950</v>
      </c>
      <c r="E1" s="2351" t="s">
        <v>2368</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#DIV/0!</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2452</v>
      </c>
      <c r="C5" s="55">
        <f ca="1">C6+C10+C12</f>
        <v>0</v>
      </c>
      <c r="D5" s="2460" t="s">
        <v>2455</v>
      </c>
      <c r="E5" s="2454"/>
      <c r="F5" s="2455"/>
      <c r="G5" s="1578"/>
      <c r="H5" s="781">
        <v>1</v>
      </c>
      <c r="I5" s="782" t="s">
        <v>2452</v>
      </c>
      <c r="J5" s="55">
        <f ca="1">J6+J10+J12</f>
        <v>0</v>
      </c>
      <c r="K5" s="2460" t="s">
        <v>2455</v>
      </c>
      <c r="L5" s="2454"/>
      <c r="M5" s="2455"/>
    </row>
    <row r="6" spans="1:33" ht="18" customHeight="1">
      <c r="A6" s="1815" t="s">
        <v>1822</v>
      </c>
      <c r="B6" s="3446" t="s">
        <v>2457</v>
      </c>
      <c r="C6" s="783">
        <f ca="1">ROUND(F6*F8*F7*(1-F9)/10000,0)</f>
        <v>0</v>
      </c>
      <c r="D6" s="2461" t="s">
        <v>2456</v>
      </c>
      <c r="E6" s="784" t="s">
        <v>1736</v>
      </c>
      <c r="F6" s="785">
        <f ca="1">INDIRECT("'数据-取费表'!u"&amp;$G$1)</f>
        <v>0</v>
      </c>
      <c r="G6" s="1578"/>
      <c r="H6" s="2468" t="s">
        <v>2462</v>
      </c>
      <c r="I6" s="3446" t="s">
        <v>2457</v>
      </c>
      <c r="J6" s="783">
        <f ca="1">ROUND(M6*M8*M7*(1-M9)/10000,0)</f>
        <v>0</v>
      </c>
      <c r="K6" s="341" t="s">
        <v>1735</v>
      </c>
      <c r="L6" s="784" t="s">
        <v>1736</v>
      </c>
      <c r="M6" s="785">
        <f ca="1">INDIRECT("'数据-取费表'!z"&amp;$G$1)</f>
        <v>0</v>
      </c>
    </row>
    <row r="7" spans="1:33" ht="18" customHeight="1">
      <c r="A7" s="2464"/>
      <c r="B7" s="3447"/>
      <c r="C7" s="788"/>
      <c r="D7" s="789"/>
      <c r="E7" s="784" t="s">
        <v>1737</v>
      </c>
      <c r="F7" s="785">
        <f ca="1">IF(INDIRECT("'数据-取费表'!ah"&amp;$G$1)="",INDIRECT("'数据-取费表'!k"&amp;$G$1),INDIRECT("'数据-取费表'!ah"&amp;$G$1))</f>
        <v>0</v>
      </c>
      <c r="G7" s="1578"/>
      <c r="H7" s="2453"/>
      <c r="I7" s="3447"/>
      <c r="J7" s="788"/>
      <c r="K7" s="789"/>
      <c r="L7" s="784" t="s">
        <v>1737</v>
      </c>
      <c r="M7" s="785">
        <f ca="1">F7</f>
        <v>0</v>
      </c>
    </row>
    <row r="8" spans="1:33" ht="18" customHeight="1">
      <c r="A8" s="2457"/>
      <c r="B8" s="3448"/>
      <c r="C8" s="788"/>
      <c r="D8" s="789"/>
      <c r="E8" s="784" t="s">
        <v>1738</v>
      </c>
      <c r="F8" s="785">
        <f ca="1">INDIRECT("'数据-取费表'!ai"&amp;$G$1)</f>
        <v>0</v>
      </c>
      <c r="G8" s="1578"/>
      <c r="H8" s="2453"/>
      <c r="I8" s="3448"/>
      <c r="J8" s="788"/>
      <c r="K8" s="789"/>
      <c r="L8" s="784" t="s">
        <v>1738</v>
      </c>
      <c r="M8" s="785">
        <f ca="1">INDIRECT("'数据-取费表'!ai"&amp;$G$1)</f>
        <v>0</v>
      </c>
    </row>
    <row r="9" spans="1:33" ht="18" customHeight="1">
      <c r="A9" s="786"/>
      <c r="B9" s="3449"/>
      <c r="C9" s="788"/>
      <c r="D9" s="789"/>
      <c r="E9" s="784" t="s">
        <v>1739</v>
      </c>
      <c r="F9" s="794">
        <f ca="1">INDIRECT("'数据-取费表'!w"&amp;$G$1)</f>
        <v>0</v>
      </c>
      <c r="G9" s="1578"/>
      <c r="H9" s="2469"/>
      <c r="I9" s="3448"/>
      <c r="J9" s="788"/>
      <c r="K9" s="789"/>
      <c r="L9" s="795" t="s">
        <v>1739</v>
      </c>
      <c r="M9" s="796">
        <f ca="1">INDIRECT("'数据-取费表'!ab"&amp;$G$1)</f>
        <v>0</v>
      </c>
    </row>
    <row r="10" spans="1:33" ht="18" customHeight="1">
      <c r="A10" s="1815" t="s">
        <v>2460</v>
      </c>
      <c r="B10" s="2458" t="s">
        <v>2453</v>
      </c>
      <c r="C10" s="799">
        <f ca="1">ROUND(IF(F10="押一",C6/12*F11,IF(F10="押二",C6/12*2*F11,IF(F10="押三",C6/12*3*F11,C11*F11))),0)</f>
        <v>0</v>
      </c>
      <c r="D10" s="2465" t="s">
        <v>2967</v>
      </c>
      <c r="E10" s="2462" t="s">
        <v>2458</v>
      </c>
      <c r="F10" s="2585"/>
      <c r="G10" s="1578"/>
      <c r="H10" s="2525" t="s">
        <v>2463</v>
      </c>
      <c r="I10" s="2530" t="s">
        <v>2453</v>
      </c>
      <c r="J10" s="783">
        <f ca="1">ROUND(IF(M10="押一",J6/12*M11,IF(M10="押二",J6/12*2*M11,IF(M10="押三",J6/12*3*M11,J11*M11))),0)</f>
        <v>0</v>
      </c>
      <c r="K10" s="2465" t="s">
        <v>2967</v>
      </c>
      <c r="L10" s="2462" t="s">
        <v>2458</v>
      </c>
      <c r="M10" s="2585"/>
    </row>
    <row r="11" spans="1:33" ht="18" customHeight="1">
      <c r="A11" s="790"/>
      <c r="B11" s="2459" t="s">
        <v>2567</v>
      </c>
      <c r="C11" s="2463"/>
      <c r="D11" s="789"/>
      <c r="E11" s="2462" t="s">
        <v>2459</v>
      </c>
      <c r="F11" s="796">
        <f ca="1">'数据-取费表'!B39</f>
        <v>1.4999999999999999E-2</v>
      </c>
      <c r="G11" s="1578"/>
      <c r="H11" s="2526"/>
      <c r="I11" s="2459" t="s">
        <v>2567</v>
      </c>
      <c r="J11" s="2463"/>
      <c r="K11" s="2527"/>
      <c r="L11" s="2462" t="s">
        <v>2459</v>
      </c>
      <c r="M11" s="2456">
        <f ca="1">'数据-取费表'!B39</f>
        <v>1.4999999999999999E-2</v>
      </c>
    </row>
    <row r="12" spans="1:33" ht="18" customHeight="1" thickBot="1">
      <c r="A12" s="2501" t="s">
        <v>2461</v>
      </c>
      <c r="B12" s="2502" t="s">
        <v>2454</v>
      </c>
      <c r="C12" s="2503"/>
      <c r="D12" s="2504"/>
      <c r="E12" s="2505"/>
      <c r="F12" s="2506"/>
      <c r="G12" s="1578"/>
      <c r="H12" s="2515" t="s">
        <v>2464</v>
      </c>
      <c r="I12" s="2528" t="s">
        <v>2454</v>
      </c>
      <c r="J12" s="2529"/>
      <c r="K12" s="2504"/>
      <c r="L12" s="2505"/>
      <c r="M12" s="2518"/>
    </row>
    <row r="13" spans="1:33" ht="18" customHeight="1" thickTop="1">
      <c r="A13" s="1814">
        <v>2</v>
      </c>
      <c r="B13" s="1812" t="s">
        <v>1740</v>
      </c>
      <c r="C13" s="792">
        <f ca="1">ROUND(C29*F13,0)</f>
        <v>0</v>
      </c>
      <c r="D13" s="1819" t="s">
        <v>2292</v>
      </c>
      <c r="E13" s="1819" t="s">
        <v>1742</v>
      </c>
      <c r="F13" s="2500">
        <f ca="1">INDIRECT("'数据-取费表'!y"&amp;$G$1)</f>
        <v>0</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0</v>
      </c>
      <c r="D14" s="1964" t="s">
        <v>1743</v>
      </c>
      <c r="E14" s="1965"/>
      <c r="F14" s="805"/>
      <c r="G14" s="1578"/>
      <c r="H14" s="1634" t="s">
        <v>1828</v>
      </c>
      <c r="I14" s="2216" t="s">
        <v>2819</v>
      </c>
      <c r="J14" s="53">
        <f ca="1">C29</f>
        <v>0</v>
      </c>
      <c r="K14" s="26"/>
      <c r="L14" s="801"/>
      <c r="M14" s="802"/>
    </row>
    <row r="15" spans="1:33" s="2049" customFormat="1" ht="18" customHeight="1" thickBot="1">
      <c r="A15" s="1633" t="s">
        <v>1883</v>
      </c>
      <c r="B15" s="784" t="s">
        <v>647</v>
      </c>
      <c r="C15" s="53">
        <f ca="1">ROUND(C14*F15,0)</f>
        <v>0</v>
      </c>
      <c r="D15" s="806" t="s">
        <v>1744</v>
      </c>
      <c r="E15" s="806" t="s">
        <v>1745</v>
      </c>
      <c r="F15" s="807">
        <f>'数据-取费表'!B33</f>
        <v>0.03</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0</v>
      </c>
      <c r="K16" s="1806" t="s">
        <v>1748</v>
      </c>
      <c r="L16" s="2450"/>
      <c r="M16" s="2455"/>
    </row>
    <row r="17" spans="1:33" s="2049" customFormat="1" ht="18" customHeight="1">
      <c r="A17" s="1633" t="s">
        <v>1885</v>
      </c>
      <c r="B17" s="784" t="s">
        <v>653</v>
      </c>
      <c r="C17" s="53">
        <f ca="1">ROUND(F17*(F43+INDIRECT("'数据-取费表'!S"&amp;$G$1))/10000,0)</f>
        <v>0</v>
      </c>
      <c r="D17" s="784" t="s">
        <v>1749</v>
      </c>
      <c r="E17" s="784" t="s">
        <v>1750</v>
      </c>
      <c r="F17" s="56">
        <f>'数据-取费表'!B35</f>
        <v>200</v>
      </c>
      <c r="G17" s="1579"/>
      <c r="H17" s="1634" t="s">
        <v>1828</v>
      </c>
      <c r="I17" s="784" t="s">
        <v>656</v>
      </c>
      <c r="J17" s="53">
        <f ca="1">ROUND(IF(项目基本情况!B11="自然人",J6*M17/(1+'数据-取费表'!C42),J18+J19+J20),0)</f>
        <v>0</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0</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0</v>
      </c>
      <c r="D19" s="261" t="s">
        <v>1755</v>
      </c>
      <c r="E19" s="1967"/>
      <c r="F19" s="56"/>
      <c r="G19" s="1578"/>
      <c r="H19" s="1633" t="s">
        <v>1883</v>
      </c>
      <c r="I19" s="784" t="s">
        <v>1756</v>
      </c>
      <c r="J19" s="53">
        <f ca="1">IF(K19="按租金收入计税",ROUND(J6*M19/(1+'数据-取费表'!C42),1),ROUND(C29*F33*0.7,1))</f>
        <v>0</v>
      </c>
      <c r="K19" s="811" t="s">
        <v>665</v>
      </c>
      <c r="L19" s="784" t="s">
        <v>1745</v>
      </c>
      <c r="M19" s="809">
        <f>IF(K19="按租金收入计税",'数据-取费表'!B51,'数据-取费表'!B50)</f>
        <v>1.2E-2</v>
      </c>
    </row>
    <row r="20" spans="1:33" s="2049" customFormat="1" ht="18" customHeight="1">
      <c r="A20" s="1634" t="s">
        <v>1887</v>
      </c>
      <c r="B20" s="784" t="s">
        <v>666</v>
      </c>
      <c r="C20" s="53">
        <f ca="1">ROUND(C19*F20,0)</f>
        <v>0</v>
      </c>
      <c r="D20" s="812" t="s">
        <v>1757</v>
      </c>
      <c r="E20" s="784" t="s">
        <v>1745</v>
      </c>
      <c r="F20" s="809">
        <f>'数据-取费表'!B37</f>
        <v>0.02</v>
      </c>
      <c r="G20" s="1579"/>
      <c r="H20" s="1636" t="s">
        <v>1878</v>
      </c>
      <c r="I20" s="341" t="s">
        <v>1758</v>
      </c>
      <c r="J20" s="54">
        <f ca="1">ROUND(M20*M21/10000,0)</f>
        <v>0</v>
      </c>
      <c r="K20" s="814" t="s">
        <v>1759</v>
      </c>
      <c r="L20" s="784" t="s">
        <v>1760</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0.02</v>
      </c>
      <c r="G21" s="1579"/>
      <c r="H21" s="2470"/>
      <c r="I21" s="793"/>
      <c r="J21" s="69"/>
      <c r="K21" s="816"/>
      <c r="L21" s="784" t="s">
        <v>1764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复利计息。建造成本、管理费用、销售费用产生的利息。</v>
      </c>
      <c r="E22" s="1967"/>
      <c r="F22" s="56"/>
      <c r="G22" s="1578"/>
      <c r="H22" s="1634" t="s">
        <v>1887</v>
      </c>
      <c r="I22" s="784" t="s">
        <v>1766</v>
      </c>
      <c r="J22" s="53">
        <f ca="1">ROUND(J14*M22,0)</f>
        <v>0</v>
      </c>
      <c r="K22" s="2448" t="s">
        <v>1767</v>
      </c>
      <c r="L22" s="784" t="s">
        <v>1745</v>
      </c>
      <c r="M22" s="817">
        <f ca="1">INDIRECT("'数据-取费表'!Ak"&amp;$G$1)</f>
        <v>0</v>
      </c>
    </row>
    <row r="23" spans="1:33" s="2049" customFormat="1" ht="18" customHeight="1">
      <c r="A23" s="1633" t="s">
        <v>1829</v>
      </c>
      <c r="B23" s="784" t="s">
        <v>2529</v>
      </c>
      <c r="C23" s="53">
        <f ca="1">ROUND(IF('数据-取费表'!B22&lt;=1,(C19+C20)*F24*F23/2,(C19+C20)*(POWER((1+F24),F23/2)-1)),0)</f>
        <v>0</v>
      </c>
      <c r="D23" s="2535" t="str">
        <f>IF(F23&lt;=1,"(建造成本+管理费用)×利率×(建设周期÷2)","(建造成本+管理费用)×((1+利率)^(建设周期÷2)-1)")</f>
        <v>(建造成本+管理费用)×((1+利率)^(建设周期÷2)-1)</v>
      </c>
      <c r="E23" s="784" t="s">
        <v>1768</v>
      </c>
      <c r="F23" s="640">
        <f>'数据-取费表'!B20</f>
        <v>3</v>
      </c>
      <c r="G23" s="1579"/>
      <c r="H23" s="1634" t="s">
        <v>1888</v>
      </c>
      <c r="I23" s="784" t="s">
        <v>679</v>
      </c>
      <c r="J23" s="53">
        <f ca="1">ROUND(J13*M23,0)</f>
        <v>0</v>
      </c>
      <c r="K23" s="2448" t="s">
        <v>1769</v>
      </c>
      <c r="L23" s="784" t="s">
        <v>1745</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1.4E-3</v>
      </c>
      <c r="D24" s="2535" t="str">
        <f>IF(F23&lt;=1,"销售费用×利率×(建设周期÷2)","销售费用×((1+利率)^(建设周期÷2)-1)")</f>
        <v>销售费用×((1+利率)^(建设周期÷2)-1)</v>
      </c>
      <c r="E24" s="784" t="s">
        <v>1771</v>
      </c>
      <c r="F24" s="819">
        <f ca="1">'数据-取费表'!B40</f>
        <v>4.7500000000000001E-2</v>
      </c>
      <c r="G24" s="1579"/>
      <c r="H24" s="2515" t="s">
        <v>1889</v>
      </c>
      <c r="I24" s="2510" t="s">
        <v>666</v>
      </c>
      <c r="J24" s="2508">
        <f ca="1">ROUND(J5*M24,0)</f>
        <v>0</v>
      </c>
      <c r="K24" s="2509" t="s">
        <v>1772</v>
      </c>
      <c r="L24" s="2510" t="s">
        <v>1745</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2815</v>
      </c>
      <c r="J25" s="792">
        <f ca="1">J5-J16</f>
        <v>0</v>
      </c>
      <c r="K25" s="2512" t="s">
        <v>1775</v>
      </c>
      <c r="L25" s="2513"/>
      <c r="M25" s="2514"/>
    </row>
    <row r="26" spans="1:33" ht="18" customHeight="1">
      <c r="A26" s="1633" t="s">
        <v>1829</v>
      </c>
      <c r="B26" s="784" t="s">
        <v>2432</v>
      </c>
      <c r="C26" s="53">
        <f ca="1">ROUND((C19+C20)*F26,0)</f>
        <v>0</v>
      </c>
      <c r="D26" s="812" t="s">
        <v>1776</v>
      </c>
      <c r="E26" s="795" t="s">
        <v>1777</v>
      </c>
      <c r="F26" s="794">
        <f ca="1">INDIRECT("'数据-取费表'!q"&amp;$G$1)</f>
        <v>0</v>
      </c>
      <c r="G26" s="1578"/>
      <c r="H26" s="2466" t="s">
        <v>1778</v>
      </c>
      <c r="I26" s="2217" t="s">
        <v>2820</v>
      </c>
      <c r="J26" s="783">
        <f ca="1">IF(J5&lt;&gt;0,ROUND(J25*(1-((1+M28)/(1+M26))^M27)/(M26-M28),0),0)</f>
        <v>0</v>
      </c>
      <c r="K26" s="814" t="s">
        <v>1779</v>
      </c>
      <c r="L26" s="784" t="s">
        <v>2413</v>
      </c>
      <c r="M26" s="794">
        <f ca="1">INDIRECT("'数据-取费表'!I"&amp;$G$1)</f>
        <v>0</v>
      </c>
    </row>
    <row r="27" spans="1:33" ht="18" customHeight="1">
      <c r="A27" s="1633" t="s">
        <v>1830</v>
      </c>
      <c r="B27" s="784" t="s">
        <v>686</v>
      </c>
      <c r="C27" s="53">
        <f ca="1">ROUND(F21*F26,4)</f>
        <v>0</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5.2400000000000002E-2</v>
      </c>
      <c r="D28" s="812" t="s">
        <v>2294</v>
      </c>
      <c r="E28" s="784" t="s">
        <v>1783</v>
      </c>
      <c r="F28" s="809">
        <f>'数据-取费表'!B41</f>
        <v>5.5000000000000007E-2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0</v>
      </c>
      <c r="D29" s="2509"/>
      <c r="E29" s="2510"/>
      <c r="F29" s="2511"/>
      <c r="G29" s="1579"/>
      <c r="H29" s="823" t="s">
        <v>1785</v>
      </c>
      <c r="I29" s="824" t="s">
        <v>1786</v>
      </c>
      <c r="J29" s="825">
        <f ca="1">ROUND(J26/(1+F40)^F41,0)</f>
        <v>0</v>
      </c>
      <c r="K29" s="826" t="s">
        <v>1787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0</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0</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0</v>
      </c>
      <c r="D32" s="1962" t="s">
        <v>1793</v>
      </c>
      <c r="E32" s="784" t="s">
        <v>1794</v>
      </c>
      <c r="F32" s="809">
        <f>'数据-取费表'!B41</f>
        <v>5.5000000000000007E-2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0</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5</v>
      </c>
      <c r="G34" s="2047"/>
      <c r="H34" s="2050"/>
      <c r="I34" s="835" t="s">
        <v>1811</v>
      </c>
      <c r="J34" s="836"/>
      <c r="K34" s="2065"/>
      <c r="L34" s="2064"/>
      <c r="M34" s="2064"/>
    </row>
    <row r="35" spans="1:18" ht="18" customHeight="1">
      <c r="A35" s="815"/>
      <c r="B35" s="793"/>
      <c r="C35" s="69"/>
      <c r="D35" s="816"/>
      <c r="E35" s="784" t="s">
        <v>1799</v>
      </c>
      <c r="F35" s="785">
        <f ca="1">INDIRECT("'数据-取费表'!r"&amp;$G$1)</f>
        <v>0</v>
      </c>
      <c r="G35" s="2047"/>
      <c r="H35" s="2050"/>
      <c r="I35" s="837" t="s">
        <v>1812</v>
      </c>
      <c r="J35" s="838">
        <f ca="1">ROUND(C13*J36,0)</f>
        <v>0</v>
      </c>
      <c r="K35" s="2063"/>
      <c r="L35" s="2062"/>
      <c r="M35" s="2062"/>
    </row>
    <row r="36" spans="1:18" ht="18" customHeight="1">
      <c r="A36" s="1634" t="s">
        <v>1887</v>
      </c>
      <c r="B36" s="784" t="s">
        <v>1800</v>
      </c>
      <c r="C36" s="53">
        <f ca="1">ROUND(C29*F36,1)</f>
        <v>0</v>
      </c>
      <c r="D36" s="1962" t="s">
        <v>1801</v>
      </c>
      <c r="E36" s="784" t="s">
        <v>1794</v>
      </c>
      <c r="F36" s="817">
        <f ca="1">INDIRECT("'数据-取费表'!Ak"&amp;$G$1)</f>
        <v>0</v>
      </c>
      <c r="G36" s="2047"/>
      <c r="H36" s="2062"/>
      <c r="I36" s="839" t="s">
        <v>1813</v>
      </c>
      <c r="J36" s="840">
        <f ca="1">INDIRECT("'数据-取费表'!j"&amp;$G$1)</f>
        <v>0</v>
      </c>
      <c r="K36" s="2067"/>
      <c r="L36" s="2062"/>
      <c r="M36" s="2062"/>
    </row>
    <row r="37" spans="1:18" ht="18" customHeight="1">
      <c r="A37" s="1634" t="s">
        <v>1888</v>
      </c>
      <c r="B37" s="784" t="s">
        <v>679</v>
      </c>
      <c r="C37" s="53">
        <f ca="1">ROUND(C13*F37,1)</f>
        <v>0</v>
      </c>
      <c r="D37" s="1962" t="s">
        <v>1802</v>
      </c>
      <c r="E37" s="784" t="s">
        <v>1794</v>
      </c>
      <c r="F37" s="818">
        <f ca="1">INDIRECT("'数据-取费表'!Al"&amp;$G$1)</f>
        <v>0</v>
      </c>
      <c r="G37" s="2047"/>
      <c r="H37" s="2062"/>
      <c r="I37" s="841" t="s">
        <v>1814</v>
      </c>
      <c r="J37" s="842"/>
      <c r="K37" s="2067"/>
      <c r="L37" s="2062"/>
      <c r="M37" s="2062"/>
    </row>
    <row r="38" spans="1:18" ht="18" customHeight="1" thickBot="1">
      <c r="A38" s="2515" t="s">
        <v>1889</v>
      </c>
      <c r="B38" s="2510" t="s">
        <v>666</v>
      </c>
      <c r="C38" s="2508">
        <f ca="1">ROUND(C5*F38,1)</f>
        <v>0</v>
      </c>
      <c r="D38" s="2509" t="s">
        <v>1803</v>
      </c>
      <c r="E38" s="2510" t="s">
        <v>1794</v>
      </c>
      <c r="F38" s="2506">
        <f ca="1">INDIRECT("'数据-取费表'!Am"&amp;$G$1)</f>
        <v>0</v>
      </c>
      <c r="G38" s="2047"/>
      <c r="H38" s="2062"/>
      <c r="I38" s="843" t="s">
        <v>1815</v>
      </c>
      <c r="J38" s="844"/>
      <c r="K38" s="2068"/>
      <c r="L38" s="2062"/>
      <c r="M38" s="2062"/>
    </row>
    <row r="39" spans="1:18" ht="24.6" customHeight="1" thickTop="1">
      <c r="A39" s="1814" t="s">
        <v>1892</v>
      </c>
      <c r="B39" s="2962" t="s">
        <v>2815</v>
      </c>
      <c r="C39" s="792">
        <f ca="1">C5-C30</f>
        <v>0</v>
      </c>
      <c r="D39" s="2512" t="s">
        <v>1804</v>
      </c>
      <c r="E39" s="2513"/>
      <c r="F39" s="2514"/>
      <c r="G39" s="2047"/>
      <c r="H39" s="2062"/>
      <c r="I39" s="837" t="s">
        <v>1816</v>
      </c>
      <c r="J39" s="845" t="e">
        <f ca="1">ROUND(J35/C39,3)</f>
        <v>#DIV/0!</v>
      </c>
      <c r="K39" s="2068"/>
      <c r="L39" s="2062"/>
      <c r="M39" s="2062"/>
    </row>
    <row r="40" spans="1:18" ht="18" customHeight="1">
      <c r="A40" s="781" t="s">
        <v>1893</v>
      </c>
      <c r="B40" s="2217" t="s">
        <v>2296</v>
      </c>
      <c r="C40" s="783" t="e">
        <f ca="1">ROUND(C39*(1-((1+F42)/(1+F40))^F41)/(F40-F42),0)</f>
        <v>#DIV/0!</v>
      </c>
      <c r="D40" s="814" t="s">
        <v>1805</v>
      </c>
      <c r="E40" s="784" t="s">
        <v>2413</v>
      </c>
      <c r="F40" s="794">
        <f ca="1">INDIRECT("'数据-取费表'!I"&amp;$G$1)</f>
        <v>0</v>
      </c>
      <c r="G40" s="2047"/>
      <c r="H40" s="2047"/>
      <c r="I40" s="837" t="s">
        <v>1817</v>
      </c>
      <c r="J40" s="845" t="e">
        <f ca="1">1-J39</f>
        <v>#DIV/0!</v>
      </c>
      <c r="K40" s="2068"/>
      <c r="L40" s="2047"/>
      <c r="M40" s="2047"/>
    </row>
    <row r="41" spans="1:18" ht="18" customHeight="1">
      <c r="A41" s="786"/>
      <c r="B41" s="787"/>
      <c r="C41" s="788"/>
      <c r="D41" s="821" t="s">
        <v>1806</v>
      </c>
      <c r="E41" s="784" t="s">
        <v>2957</v>
      </c>
      <c r="F41" s="822">
        <f ca="1">IF(INDIRECT("'数据-取费表'!af"&amp;$G$1)=0,INDIRECT("'数据-取费表'!ae"&amp;$G$1),INDIRECT("'数据-取费表'!af"&amp;$G$1))</f>
        <v>0</v>
      </c>
      <c r="G41" s="2047"/>
      <c r="H41" s="1973"/>
      <c r="I41" s="843" t="s">
        <v>1818</v>
      </c>
      <c r="J41" s="846"/>
      <c r="K41" s="2067"/>
      <c r="L41" s="1973"/>
      <c r="M41" s="1973"/>
    </row>
    <row r="42" spans="1:18" ht="18" customHeight="1">
      <c r="A42" s="790"/>
      <c r="B42" s="791"/>
      <c r="C42" s="792"/>
      <c r="D42" s="816"/>
      <c r="E42" s="784" t="s">
        <v>1807</v>
      </c>
      <c r="F42" s="794">
        <f ca="1">INDIRECT("'数据-取费表'!v"&amp;$G$1)</f>
        <v>0</v>
      </c>
      <c r="G42" s="2047"/>
      <c r="H42" s="1973"/>
      <c r="I42" s="847" t="s">
        <v>1819</v>
      </c>
      <c r="J42" s="845" t="e">
        <f ca="1">ROUND(C13/C40,3)</f>
        <v>#DIV/0!</v>
      </c>
      <c r="K42" s="2067"/>
      <c r="L42" s="1973"/>
      <c r="M42" s="1973"/>
    </row>
    <row r="43" spans="1:18" ht="18" customHeight="1" thickBot="1">
      <c r="A43" s="823" t="s">
        <v>1785</v>
      </c>
      <c r="B43" s="824" t="s">
        <v>1808</v>
      </c>
      <c r="C43" s="825" t="e">
        <f ca="1">ROUND(C40*10000/F43,0)</f>
        <v>#DIV/0!</v>
      </c>
      <c r="D43" s="826" t="s">
        <v>1809</v>
      </c>
      <c r="E43" s="827" t="s">
        <v>1810</v>
      </c>
      <c r="F43" s="828">
        <f ca="1">INDIRECT("'数据-取费表'!k"&amp;$G$1)</f>
        <v>0</v>
      </c>
      <c r="G43" s="2047"/>
      <c r="H43" s="1973"/>
      <c r="I43" s="847" t="s">
        <v>1820</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t="e">
        <f ca="1">C67-C40</f>
        <v>#DIV/0!</v>
      </c>
      <c r="D46" s="2070"/>
      <c r="E46" s="2070"/>
      <c r="F46" s="2070"/>
      <c r="I46" s="2342" t="s">
        <v>2337</v>
      </c>
      <c r="J46" s="2343"/>
      <c r="K46" s="2344"/>
      <c r="L46" s="3102" t="e">
        <f ca="1">IF(OR(M47="住宅",D1="土地（套用方法）"),0,IF(L48&gt;J51,L60,J60))</f>
        <v>#DIV/0!</v>
      </c>
      <c r="O46" s="2358" t="s">
        <v>2404</v>
      </c>
      <c r="P46" s="1578"/>
      <c r="Q46" s="1589"/>
      <c r="R46" s="1578"/>
    </row>
    <row r="47" spans="1:18" s="2044" customFormat="1" ht="18" customHeight="1" thickBot="1">
      <c r="A47" s="2336">
        <v>1</v>
      </c>
      <c r="B47" s="2337" t="s">
        <v>635</v>
      </c>
      <c r="C47" s="2538">
        <f ca="1">C48+C52+C54</f>
        <v>0</v>
      </c>
      <c r="D47" s="2070"/>
      <c r="E47" s="2070"/>
      <c r="F47" s="2070"/>
      <c r="I47" s="3093" t="s">
        <v>2338</v>
      </c>
      <c r="J47" s="2345"/>
      <c r="K47" s="3099" t="s">
        <v>2343</v>
      </c>
      <c r="L47" s="3103">
        <f ca="1">INDIRECT("'数据-取费表'!d"&amp;$G$1)</f>
        <v>0</v>
      </c>
      <c r="M47" s="1589" t="str">
        <f>IF(ISNUMBER(FIND("住宅",C1)),"住宅","非住宅")</f>
        <v>非住宅</v>
      </c>
      <c r="O47" s="2359" t="s">
        <v>2369</v>
      </c>
      <c r="P47" s="2360" t="s">
        <v>2370</v>
      </c>
      <c r="Q47" s="2361" t="s">
        <v>2371</v>
      </c>
      <c r="R47" s="2360" t="s">
        <v>2372</v>
      </c>
    </row>
    <row r="48" spans="1:18" s="2044" customFormat="1" ht="18" customHeight="1" thickBot="1">
      <c r="A48" s="2606" t="s">
        <v>2531</v>
      </c>
      <c r="B48" s="2607" t="s">
        <v>2532</v>
      </c>
      <c r="C48" s="2338">
        <f ca="1">ROUND(F48*F50*F49*(1-F51)/10000,0)</f>
        <v>0</v>
      </c>
      <c r="D48" s="2339" t="s">
        <v>636</v>
      </c>
      <c r="E48" s="2340" t="s">
        <v>2291</v>
      </c>
      <c r="F48" s="2341"/>
      <c r="G48" s="2075"/>
      <c r="I48" s="3072" t="s">
        <v>2339</v>
      </c>
      <c r="J48" s="2346"/>
      <c r="K48" s="3100" t="s">
        <v>2345</v>
      </c>
      <c r="L48" s="1893">
        <f ca="1">INDIRECT("'数据-取费表'!f"&amp;$G$1)</f>
        <v>0</v>
      </c>
      <c r="O48" s="2362" t="s">
        <v>2373</v>
      </c>
      <c r="P48" s="2363" t="s">
        <v>2399</v>
      </c>
      <c r="Q48" s="2364" t="e">
        <f ca="1">C40+J29</f>
        <v>#DIV/0!</v>
      </c>
      <c r="R48" s="2363" t="s">
        <v>2374</v>
      </c>
    </row>
    <row r="49" spans="1:18" s="2044" customFormat="1" ht="18" customHeight="1" thickBot="1">
      <c r="A49" s="786"/>
      <c r="B49" s="787"/>
      <c r="C49" s="788"/>
      <c r="D49" s="789"/>
      <c r="E49" s="784" t="s">
        <v>1737</v>
      </c>
      <c r="F49" s="785">
        <f ca="1">F7</f>
        <v>0</v>
      </c>
      <c r="G49" s="2075"/>
      <c r="H49" s="2078"/>
      <c r="I49" s="3072" t="s">
        <v>2340</v>
      </c>
      <c r="J49" s="2347"/>
      <c r="K49" s="3101" t="s">
        <v>2346</v>
      </c>
      <c r="L49" s="2348"/>
      <c r="O49" s="2362" t="s">
        <v>2375</v>
      </c>
      <c r="P49" s="2363" t="s">
        <v>2400</v>
      </c>
      <c r="Q49" s="2364" t="e">
        <f ca="1">J60</f>
        <v>#DIV/0!</v>
      </c>
      <c r="R49" s="2363" t="s">
        <v>2376</v>
      </c>
    </row>
    <row r="50" spans="1:18" s="2044" customFormat="1" ht="18" customHeight="1" thickBot="1">
      <c r="A50" s="786"/>
      <c r="B50" s="787"/>
      <c r="C50" s="788"/>
      <c r="D50" s="789"/>
      <c r="E50" s="784" t="s">
        <v>1738</v>
      </c>
      <c r="F50" s="785">
        <f ca="1">F8</f>
        <v>0</v>
      </c>
      <c r="G50" s="2080"/>
      <c r="H50" s="2078"/>
      <c r="I50" s="3072" t="s">
        <v>2341</v>
      </c>
      <c r="J50" s="3097">
        <f>SUMPRODUCT((I63:I65=J47)*(J62:L62=J48)*(J63:L65))</f>
        <v>0</v>
      </c>
      <c r="K50" s="3101" t="s">
        <v>2347</v>
      </c>
      <c r="L50" s="2348"/>
      <c r="O50" s="2365" t="s">
        <v>2377</v>
      </c>
      <c r="P50" s="2363" t="s">
        <v>2401</v>
      </c>
      <c r="Q50" s="2364">
        <f ca="1">C29</f>
        <v>0</v>
      </c>
      <c r="R50" s="2363" t="s">
        <v>2374</v>
      </c>
    </row>
    <row r="51" spans="1:18" s="2044" customFormat="1" ht="18" customHeight="1" thickBot="1">
      <c r="A51" s="786"/>
      <c r="B51" s="787"/>
      <c r="C51" s="788"/>
      <c r="D51" s="789"/>
      <c r="E51" s="784" t="s">
        <v>640</v>
      </c>
      <c r="F51" s="2335"/>
      <c r="H51" s="2078"/>
      <c r="I51" s="3094" t="s">
        <v>2342</v>
      </c>
      <c r="J51" s="3098">
        <f>IF(J49="",J50,J49+J50-YEAR('数据-取费表'!B2))</f>
        <v>0</v>
      </c>
      <c r="K51" s="3072" t="s">
        <v>2348</v>
      </c>
      <c r="L51" s="3104">
        <f ca="1">ROUND(-PV(INDIRECT("'数据-取费表'!h"&amp;$G$1),J51,(C39-C13*J36),0),0)</f>
        <v>0</v>
      </c>
      <c r="O51" s="2365" t="s">
        <v>2378</v>
      </c>
      <c r="P51" s="2363" t="s">
        <v>2379</v>
      </c>
      <c r="Q51" s="2366" t="e">
        <f ca="1">J58</f>
        <v>#DIV/0!</v>
      </c>
      <c r="R51" s="2367"/>
    </row>
    <row r="52" spans="1:18" s="2044" customFormat="1" ht="18" customHeight="1" thickBot="1">
      <c r="A52" s="781" t="s">
        <v>2530</v>
      </c>
      <c r="B52" s="2458" t="s">
        <v>2453</v>
      </c>
      <c r="C52" s="799">
        <f ca="1">ROUND(IF(F52="押一",C48/12*F11,IF(F52="押二",C48/12*2*F11,IF(F52="押三",C48/12*3*F11,C53*F11))),0)</f>
        <v>0</v>
      </c>
      <c r="D52" s="2465" t="s">
        <v>2968</v>
      </c>
      <c r="E52" s="2462" t="s">
        <v>2458</v>
      </c>
      <c r="F52" s="2585"/>
      <c r="I52" s="3095" t="s">
        <v>2415</v>
      </c>
      <c r="J52" s="2349"/>
      <c r="K52" s="3095" t="s">
        <v>2414</v>
      </c>
      <c r="L52" s="2349"/>
      <c r="O52" s="2365" t="s">
        <v>2380</v>
      </c>
      <c r="P52" s="2363" t="s">
        <v>2381</v>
      </c>
      <c r="Q52" s="2366">
        <f>J52</f>
        <v>0</v>
      </c>
      <c r="R52" s="2367"/>
    </row>
    <row r="53" spans="1:18" s="2044" customFormat="1" ht="39.75" customHeight="1" thickBot="1">
      <c r="A53" s="786"/>
      <c r="B53" s="2459" t="s">
        <v>2567</v>
      </c>
      <c r="C53" s="2463"/>
      <c r="D53" s="2465"/>
      <c r="E53" s="2462"/>
      <c r="F53" s="800"/>
      <c r="I53" s="3096" t="s">
        <v>2971</v>
      </c>
      <c r="J53" s="3175">
        <f ca="1">IF(M47="住宅",IF(D1="——",MAX(J51,L48),MAX(J51,L48-'数据-取费表'!B20)),IF(D1="——",MIN(J51,L48),MIN(J51,L48-'数据-取费表'!B20)))</f>
        <v>0</v>
      </c>
      <c r="K53" s="3452" t="s">
        <v>2959</v>
      </c>
      <c r="L53" s="3453"/>
      <c r="O53" s="2365" t="s">
        <v>2382</v>
      </c>
      <c r="P53" s="2363" t="s">
        <v>2383</v>
      </c>
      <c r="Q53" s="2364">
        <f ca="1">J53</f>
        <v>0</v>
      </c>
      <c r="R53" s="2363" t="s">
        <v>2384</v>
      </c>
    </row>
    <row r="54" spans="1:18" s="2044" customFormat="1" ht="18" customHeight="1" thickBot="1">
      <c r="A54" s="2501" t="s">
        <v>2461</v>
      </c>
      <c r="B54" s="2502" t="s">
        <v>2454</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2385</v>
      </c>
      <c r="P54" s="2363" t="s">
        <v>2402</v>
      </c>
      <c r="Q54" s="2364" t="e">
        <f ca="1">Q48+Q49</f>
        <v>#DIV/0!</v>
      </c>
      <c r="R54" s="2367" t="s">
        <v>2386</v>
      </c>
    </row>
    <row r="55" spans="1:18" s="2044" customFormat="1" ht="18" customHeight="1" thickTop="1" thickBot="1">
      <c r="A55" s="797">
        <v>2</v>
      </c>
      <c r="B55" s="798" t="s">
        <v>644</v>
      </c>
      <c r="C55" s="799">
        <f ca="1">C13</f>
        <v>0</v>
      </c>
      <c r="D55" s="795"/>
      <c r="E55" s="795"/>
      <c r="F55" s="800"/>
      <c r="I55" s="3107" t="s">
        <v>2349</v>
      </c>
      <c r="J55" s="3047" t="e">
        <f ca="1">ROUND(IF(J47="钢混",J57/J50,1-(1-2%)*(J50-J57)/J50),3)</f>
        <v>#DIV/0!</v>
      </c>
      <c r="K55" s="3108" t="s">
        <v>2350</v>
      </c>
      <c r="L55" s="2350"/>
      <c r="O55" s="2368" t="s">
        <v>2405</v>
      </c>
      <c r="P55" s="1578"/>
      <c r="Q55" s="1589"/>
      <c r="R55" s="1578"/>
    </row>
    <row r="56" spans="1:18" s="2044" customFormat="1" ht="42.75" customHeight="1" thickBot="1">
      <c r="A56" s="1635"/>
      <c r="B56" s="2216" t="s">
        <v>2297</v>
      </c>
      <c r="C56" s="53">
        <f ca="1">C29</f>
        <v>0</v>
      </c>
      <c r="D56" s="2603"/>
      <c r="E56" s="784"/>
      <c r="F56" s="809"/>
      <c r="I56" s="3109" t="s">
        <v>2351</v>
      </c>
      <c r="J56" s="3119"/>
      <c r="K56" s="3072" t="s">
        <v>2356</v>
      </c>
      <c r="L56" s="1893">
        <f ca="1">IF(L48&lt;J51,"——",L48-J51)</f>
        <v>0</v>
      </c>
      <c r="O56" s="2359" t="s">
        <v>2369</v>
      </c>
      <c r="P56" s="2360" t="s">
        <v>2370</v>
      </c>
      <c r="Q56" s="2361" t="s">
        <v>2371</v>
      </c>
      <c r="R56" s="2360" t="s">
        <v>2372</v>
      </c>
    </row>
    <row r="57" spans="1:18" s="2044" customFormat="1" ht="28.5" customHeight="1" thickBot="1">
      <c r="A57" s="797" t="s">
        <v>1746</v>
      </c>
      <c r="B57" s="798" t="s">
        <v>651</v>
      </c>
      <c r="C57" s="799">
        <f ca="1">ROUND(C58+C63+C64+C65,0)</f>
        <v>0</v>
      </c>
      <c r="D57" s="26" t="s">
        <v>1748</v>
      </c>
      <c r="E57" s="2604"/>
      <c r="F57" s="56"/>
      <c r="I57" s="3110" t="s">
        <v>2352</v>
      </c>
      <c r="J57" s="3111">
        <f ca="1">IF(OR(M47="住宅",J51&lt;L48,J56="是"),"——",J51-L48)</f>
        <v>0</v>
      </c>
      <c r="K57" s="3072" t="s">
        <v>2357</v>
      </c>
      <c r="L57" s="1893">
        <f ca="1">IF(L48&lt;J51,"——",IF(L55="比较法",L49,IF(L55="基准地价",L50,L51)))</f>
        <v>0</v>
      </c>
      <c r="O57" s="2362" t="s">
        <v>2373</v>
      </c>
      <c r="P57" s="2363" t="s">
        <v>2403</v>
      </c>
      <c r="Q57" s="2364" t="e">
        <f ca="1">C40+J29</f>
        <v>#DIV/0!</v>
      </c>
      <c r="R57" s="2363" t="s">
        <v>2374</v>
      </c>
    </row>
    <row r="58" spans="1:18" s="2044" customFormat="1" ht="28.5" customHeight="1" thickBot="1">
      <c r="A58" s="1634" t="s">
        <v>1822</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0" t="s">
        <v>2353</v>
      </c>
      <c r="J58" s="3048" t="e">
        <f ca="1">IF(J55&lt;0.4,0.4,J55)</f>
        <v>#DIV/0!</v>
      </c>
      <c r="K58" s="3072" t="s">
        <v>2358</v>
      </c>
      <c r="L58" s="1893" t="e">
        <f ca="1">ROUND(POWER(1+L52,L47-L48)*(POWER(1+L52,L48)-1)/(POWER(1+L52,L47)-1),4)</f>
        <v>#DIV/0!</v>
      </c>
      <c r="O58" s="2362" t="s">
        <v>2375</v>
      </c>
      <c r="P58" s="2363" t="s">
        <v>2406</v>
      </c>
      <c r="Q58" s="2364" t="e">
        <f ca="1">L60</f>
        <v>#DIV/0!</v>
      </c>
      <c r="R58" s="2367" t="s">
        <v>2408</v>
      </c>
    </row>
    <row r="59" spans="1:18" s="2044" customFormat="1" ht="28.5" customHeight="1" thickBot="1">
      <c r="A59" s="1633" t="s">
        <v>1829</v>
      </c>
      <c r="B59" s="784" t="s">
        <v>660</v>
      </c>
      <c r="C59" s="53">
        <f ca="1">ROUND(C47*F59/1.05,1)</f>
        <v>0</v>
      </c>
      <c r="D59" s="2603" t="s">
        <v>1754</v>
      </c>
      <c r="E59" s="784" t="s">
        <v>1745</v>
      </c>
      <c r="F59" s="809">
        <f t="shared" ref="F59:F65" si="0">F32</f>
        <v>5.5000000000000007E-2</v>
      </c>
      <c r="I59" s="3110" t="s">
        <v>2354</v>
      </c>
      <c r="J59" s="3111" t="e">
        <f ca="1">IF(OR(M47="住宅",J51&lt;L48,J56="是"),"——",ROUND(C29*J58,0))</f>
        <v>#DIV/0!</v>
      </c>
      <c r="K59" s="3072"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2377</v>
      </c>
      <c r="P59" s="2363" t="s">
        <v>2407</v>
      </c>
      <c r="Q59" s="2364">
        <f>IF(L55="比较法",L49,IF(L55="基准地价",L50,0))</f>
        <v>0</v>
      </c>
      <c r="R59" s="2363" t="s">
        <v>2374</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按房产原值计税</v>
      </c>
      <c r="E60" s="784" t="s">
        <v>1745</v>
      </c>
      <c r="F60" s="809">
        <f t="shared" si="0"/>
        <v>1.2E-2</v>
      </c>
      <c r="I60" s="3112" t="s">
        <v>2355</v>
      </c>
      <c r="J60" s="3113" t="e">
        <f ca="1">IF(OR(M47="住宅",J51&lt;L48,J56="是"),"0",ROUND(J59/(1+J52)^J53,0))</f>
        <v>#DIV/0!</v>
      </c>
      <c r="K60" s="3114" t="s">
        <v>2360</v>
      </c>
      <c r="L60" s="3113" t="e">
        <f ca="1">IF(OR(M47="住宅",L48&lt;J51),0,ROUND(L57*(L58/L59-1),0))</f>
        <v>#DIV/0!</v>
      </c>
      <c r="O60" s="2365" t="s">
        <v>2378</v>
      </c>
      <c r="P60" s="2363" t="s">
        <v>2387</v>
      </c>
      <c r="Q60" s="2366">
        <f>L52</f>
        <v>0</v>
      </c>
      <c r="R60" s="2367"/>
    </row>
    <row r="61" spans="1:18" s="2044" customFormat="1" ht="18" customHeight="1" thickBot="1">
      <c r="A61" s="1636" t="s">
        <v>1831</v>
      </c>
      <c r="B61" s="341" t="s">
        <v>668</v>
      </c>
      <c r="C61" s="54">
        <f ca="1">ROUND(F61*F62/10000,1)</f>
        <v>0</v>
      </c>
      <c r="D61" s="814" t="s">
        <v>669</v>
      </c>
      <c r="E61" s="784" t="s">
        <v>670</v>
      </c>
      <c r="F61" s="640">
        <f t="shared" si="0"/>
        <v>5</v>
      </c>
      <c r="K61" s="2071"/>
      <c r="O61" s="2365" t="s">
        <v>2380</v>
      </c>
      <c r="P61" s="2363" t="s">
        <v>2388</v>
      </c>
      <c r="Q61" s="2364" t="e">
        <f ca="1">L58</f>
        <v>#DIV/0!</v>
      </c>
      <c r="R61" s="2367" t="s">
        <v>2389</v>
      </c>
    </row>
    <row r="62" spans="1:18" s="2044" customFormat="1" ht="15.75" thickBot="1">
      <c r="A62" s="815"/>
      <c r="B62" s="793"/>
      <c r="C62" s="69"/>
      <c r="D62" s="816"/>
      <c r="E62" s="784" t="s">
        <v>674</v>
      </c>
      <c r="F62" s="785">
        <f t="shared" ca="1" si="0"/>
        <v>0</v>
      </c>
      <c r="I62" s="3115" t="s">
        <v>2361</v>
      </c>
      <c r="J62" s="3116" t="s">
        <v>2362</v>
      </c>
      <c r="K62" s="3116" t="s">
        <v>2363</v>
      </c>
      <c r="L62" s="3116" t="s">
        <v>2344</v>
      </c>
      <c r="M62" s="3117" t="s">
        <v>2936</v>
      </c>
      <c r="O62" s="2365" t="s">
        <v>2382</v>
      </c>
      <c r="P62" s="2363" t="str">
        <f>K59</f>
        <v>建筑物剩余耐用年限下的土地年期修正系数Kn</v>
      </c>
      <c r="Q62" s="2364" t="e">
        <f ca="1">L59</f>
        <v>#DIV/0!</v>
      </c>
      <c r="R62" s="2367" t="s">
        <v>2391</v>
      </c>
    </row>
    <row r="63" spans="1:18" s="2044" customFormat="1" ht="15.75" thickBot="1">
      <c r="A63" s="1634" t="s">
        <v>1887</v>
      </c>
      <c r="B63" s="784" t="s">
        <v>676</v>
      </c>
      <c r="C63" s="53">
        <f ca="1">ROUND(C56*F63,1)</f>
        <v>0</v>
      </c>
      <c r="D63" s="2603" t="s">
        <v>1801</v>
      </c>
      <c r="E63" s="784" t="s">
        <v>1745</v>
      </c>
      <c r="F63" s="817">
        <f t="shared" ca="1" si="0"/>
        <v>0</v>
      </c>
      <c r="I63" s="3115" t="s">
        <v>2364</v>
      </c>
      <c r="J63" s="3116">
        <v>70</v>
      </c>
      <c r="K63" s="3116">
        <v>50</v>
      </c>
      <c r="L63" s="3116">
        <v>80</v>
      </c>
      <c r="M63" s="3118">
        <v>0.02</v>
      </c>
      <c r="O63" s="2362" t="s">
        <v>2385</v>
      </c>
      <c r="P63" s="2363" t="s">
        <v>2402</v>
      </c>
      <c r="Q63" s="2364" t="e">
        <f ca="1">Q57+Q58</f>
        <v>#DIV/0!</v>
      </c>
      <c r="R63" s="2367" t="s">
        <v>2386</v>
      </c>
    </row>
    <row r="64" spans="1:18" s="2044" customFormat="1" ht="16.5" thickBot="1">
      <c r="A64" s="1634" t="s">
        <v>1888</v>
      </c>
      <c r="B64" s="784" t="s">
        <v>679</v>
      </c>
      <c r="C64" s="53">
        <f ca="1">ROUND(C55*F64,1)</f>
        <v>0</v>
      </c>
      <c r="D64" s="2603" t="s">
        <v>680</v>
      </c>
      <c r="E64" s="784" t="s">
        <v>1745</v>
      </c>
      <c r="F64" s="818">
        <f t="shared" ca="1" si="0"/>
        <v>0</v>
      </c>
      <c r="I64" s="3115" t="s">
        <v>2365</v>
      </c>
      <c r="J64" s="3116">
        <v>50</v>
      </c>
      <c r="K64" s="3116">
        <v>35</v>
      </c>
      <c r="L64" s="3116">
        <v>60</v>
      </c>
      <c r="M64" s="846">
        <v>0</v>
      </c>
      <c r="O64" s="2368" t="s">
        <v>2409</v>
      </c>
      <c r="P64" s="1578"/>
      <c r="Q64" s="1589"/>
      <c r="R64" s="1578"/>
    </row>
    <row r="65" spans="1:18" s="2044" customFormat="1" ht="15.75" thickBot="1">
      <c r="A65" s="1634" t="s">
        <v>1889</v>
      </c>
      <c r="B65" s="784" t="s">
        <v>666</v>
      </c>
      <c r="C65" s="53">
        <f ca="1">ROUND(C47*F65,1)</f>
        <v>0</v>
      </c>
      <c r="D65" s="2603" t="s">
        <v>683</v>
      </c>
      <c r="E65" s="784" t="s">
        <v>1745</v>
      </c>
      <c r="F65" s="794">
        <f t="shared" ca="1" si="0"/>
        <v>0</v>
      </c>
      <c r="I65" s="3115" t="s">
        <v>2366</v>
      </c>
      <c r="J65" s="3116">
        <v>40</v>
      </c>
      <c r="K65" s="3116">
        <v>30</v>
      </c>
      <c r="L65" s="3116">
        <v>50</v>
      </c>
      <c r="M65" s="3118">
        <v>0.02</v>
      </c>
      <c r="O65" s="2359" t="s">
        <v>2369</v>
      </c>
      <c r="P65" s="2360" t="s">
        <v>2370</v>
      </c>
      <c r="Q65" s="2361" t="s">
        <v>2371</v>
      </c>
      <c r="R65" s="2360" t="s">
        <v>2372</v>
      </c>
    </row>
    <row r="66" spans="1:18" s="2044" customFormat="1" ht="24.75" thickBot="1">
      <c r="A66" s="797" t="s">
        <v>1774</v>
      </c>
      <c r="B66" s="2963" t="s">
        <v>2815</v>
      </c>
      <c r="C66" s="799">
        <f ca="1">C47-C57</f>
        <v>0</v>
      </c>
      <c r="D66" s="2602" t="s">
        <v>700</v>
      </c>
      <c r="E66" s="2601"/>
      <c r="F66" s="820"/>
      <c r="K66" s="2071"/>
      <c r="O66" s="2362" t="s">
        <v>2373</v>
      </c>
      <c r="P66" s="2363" t="s">
        <v>2403</v>
      </c>
      <c r="Q66" s="2364" t="e">
        <f ca="1">C40+J29</f>
        <v>#DIV/0!</v>
      </c>
      <c r="R66" s="2363" t="s">
        <v>2374</v>
      </c>
    </row>
    <row r="67" spans="1:18" s="2044" customFormat="1" ht="20.25" thickBot="1">
      <c r="A67" s="781" t="s">
        <v>1778</v>
      </c>
      <c r="B67" s="2217" t="s">
        <v>2296</v>
      </c>
      <c r="C67" s="783" t="e">
        <f ca="1">ROUND(C66*(1-((1+F69)/(1+F67))^F68)/(F67-F69),0)</f>
        <v>#DIV/0!</v>
      </c>
      <c r="D67" s="814" t="s">
        <v>704</v>
      </c>
      <c r="E67" s="784" t="s">
        <v>705</v>
      </c>
      <c r="F67" s="794">
        <f ca="1">F40</f>
        <v>0</v>
      </c>
      <c r="K67" s="2071"/>
      <c r="O67" s="2362" t="s">
        <v>2375</v>
      </c>
      <c r="P67" s="2363" t="s">
        <v>2406</v>
      </c>
      <c r="Q67" s="2364" t="e">
        <f ca="1">L60</f>
        <v>#DIV/0!</v>
      </c>
      <c r="R67" s="2367" t="s">
        <v>2408</v>
      </c>
    </row>
    <row r="68" spans="1:18" ht="21.75" thickBot="1">
      <c r="A68" s="786"/>
      <c r="B68" s="787"/>
      <c r="C68" s="788"/>
      <c r="D68" s="821" t="s">
        <v>1806</v>
      </c>
      <c r="E68" s="784" t="s">
        <v>1782</v>
      </c>
      <c r="F68" s="822">
        <f ca="1">F41</f>
        <v>0</v>
      </c>
      <c r="O68" s="2365" t="s">
        <v>2377</v>
      </c>
      <c r="P68" s="2363" t="s">
        <v>2407</v>
      </c>
      <c r="Q68" s="2369">
        <f ca="1">L51</f>
        <v>0</v>
      </c>
      <c r="R68" s="2370" t="s">
        <v>2410</v>
      </c>
    </row>
    <row r="69" spans="1:18" ht="20.25" thickBot="1">
      <c r="A69" s="790"/>
      <c r="B69" s="791"/>
      <c r="C69" s="792"/>
      <c r="D69" s="816"/>
      <c r="E69" s="784" t="s">
        <v>710</v>
      </c>
      <c r="F69" s="2335"/>
      <c r="O69" s="2365" t="s">
        <v>2378</v>
      </c>
      <c r="P69" s="2371" t="s">
        <v>2392</v>
      </c>
      <c r="Q69" s="2364">
        <f ca="1">ROUND(Q70-Q71*Q72,0)</f>
        <v>0</v>
      </c>
      <c r="R69" s="2367"/>
    </row>
    <row r="70" spans="1:18" ht="15.75" thickBot="1">
      <c r="A70" s="823" t="s">
        <v>1785</v>
      </c>
      <c r="B70" s="824" t="s">
        <v>1808</v>
      </c>
      <c r="C70" s="825" t="e">
        <f ca="1">ROUND(C67*10000/F70,0)</f>
        <v>#DIV/0!</v>
      </c>
      <c r="D70" s="826" t="s">
        <v>1809</v>
      </c>
      <c r="E70" s="827" t="s">
        <v>1810</v>
      </c>
      <c r="F70" s="828">
        <f ca="1">F43</f>
        <v>0</v>
      </c>
      <c r="O70" s="2365" t="s">
        <v>2393</v>
      </c>
      <c r="P70" s="2371" t="s">
        <v>2394</v>
      </c>
      <c r="Q70" s="2364">
        <f ca="1">C39</f>
        <v>0</v>
      </c>
      <c r="R70" s="2363" t="s">
        <v>2374</v>
      </c>
    </row>
    <row r="71" spans="1:18" ht="15.75" thickBot="1">
      <c r="O71" s="2365" t="s">
        <v>2395</v>
      </c>
      <c r="P71" s="2371" t="s">
        <v>2396</v>
      </c>
      <c r="Q71" s="2364">
        <f ca="1">C13</f>
        <v>0</v>
      </c>
      <c r="R71" s="2363" t="s">
        <v>2374</v>
      </c>
    </row>
    <row r="72" spans="1:18" ht="15.75" thickBot="1">
      <c r="O72" s="2365" t="s">
        <v>2397</v>
      </c>
      <c r="P72" s="2371" t="s">
        <v>2398</v>
      </c>
      <c r="Q72" s="2366">
        <f ca="1">J36</f>
        <v>0</v>
      </c>
      <c r="R72" s="2367"/>
    </row>
    <row r="73" spans="1:18" ht="15.75" thickBot="1">
      <c r="O73" s="2365" t="s">
        <v>2380</v>
      </c>
      <c r="P73" s="2363" t="s">
        <v>2387</v>
      </c>
      <c r="Q73" s="2366">
        <f>L52</f>
        <v>0</v>
      </c>
      <c r="R73" s="2367"/>
    </row>
    <row r="74" spans="1:18" ht="20.25" thickBot="1">
      <c r="O74" s="2365" t="s">
        <v>2382</v>
      </c>
      <c r="P74" s="2363" t="s">
        <v>2388</v>
      </c>
      <c r="Q74" s="2364" t="e">
        <f ca="1">L58</f>
        <v>#DIV/0!</v>
      </c>
      <c r="R74" s="2367" t="s">
        <v>2389</v>
      </c>
    </row>
    <row r="75" spans="1:18" ht="15.75" thickBot="1">
      <c r="O75" s="2365" t="s">
        <v>2411</v>
      </c>
      <c r="P75" s="2363" t="str">
        <f>K59</f>
        <v>建筑物剩余耐用年限下的土地年期修正系数Kn</v>
      </c>
      <c r="Q75" s="2364" t="e">
        <f ca="1">L59</f>
        <v>#DIV/0!</v>
      </c>
      <c r="R75" s="2367" t="s">
        <v>2391</v>
      </c>
    </row>
    <row r="76" spans="1:18" ht="15.75" thickBot="1">
      <c r="O76" s="2362" t="s">
        <v>2385</v>
      </c>
      <c r="P76" s="2363" t="s">
        <v>2402</v>
      </c>
      <c r="Q76" s="2364" t="e">
        <f ca="1">Q66+Q67</f>
        <v>#DIV/0!</v>
      </c>
      <c r="R76" s="2367"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2465</v>
      </c>
      <c r="B1" s="3471"/>
      <c r="C1" s="3472"/>
      <c r="D1" s="3473">
        <f>SUM(I10,I15,I20,I21,I23)</f>
        <v>0</v>
      </c>
      <c r="E1" s="3473"/>
      <c r="F1" s="3473"/>
      <c r="G1" s="3473"/>
      <c r="H1" s="3473"/>
      <c r="I1" s="3474"/>
    </row>
    <row r="2" spans="1:9">
      <c r="A2" s="3460" t="s">
        <v>2466</v>
      </c>
      <c r="B2" s="3461" t="s">
        <v>2467</v>
      </c>
      <c r="C2" s="3461"/>
      <c r="D2" s="2471" t="s">
        <v>2468</v>
      </c>
      <c r="E2" s="2471" t="s">
        <v>2469</v>
      </c>
      <c r="F2" s="2471" t="s">
        <v>2470</v>
      </c>
      <c r="G2" s="2471" t="s">
        <v>2471</v>
      </c>
      <c r="H2" s="2471" t="s">
        <v>2472</v>
      </c>
      <c r="I2" s="2472" t="s">
        <v>2473</v>
      </c>
    </row>
    <row r="3" spans="1:9">
      <c r="A3" s="3460"/>
      <c r="B3" s="3461" t="s">
        <v>2474</v>
      </c>
      <c r="C3" s="3461"/>
      <c r="D3" s="2473"/>
      <c r="E3" s="2471"/>
      <c r="F3" s="2474"/>
      <c r="G3" s="2474"/>
      <c r="H3" s="2475"/>
      <c r="I3" s="2476">
        <f>ROUND(D3*E3*F3*G3*H3/10000,0)</f>
        <v>0</v>
      </c>
    </row>
    <row r="4" spans="1:9">
      <c r="A4" s="3460"/>
      <c r="B4" s="3461" t="s">
        <v>2475</v>
      </c>
      <c r="C4" s="3461"/>
      <c r="D4" s="2473"/>
      <c r="E4" s="2471"/>
      <c r="F4" s="2474"/>
      <c r="G4" s="2474"/>
      <c r="H4" s="2475"/>
      <c r="I4" s="2476">
        <f t="shared" ref="I4:I9" si="0">ROUND(D4*E4*F4*G4*H4/10000,0)</f>
        <v>0</v>
      </c>
    </row>
    <row r="5" spans="1:9">
      <c r="A5" s="3460"/>
      <c r="B5" s="3461" t="s">
        <v>2476</v>
      </c>
      <c r="C5" s="3461"/>
      <c r="D5" s="2473"/>
      <c r="E5" s="2471"/>
      <c r="F5" s="2474"/>
      <c r="G5" s="2474"/>
      <c r="H5" s="2475"/>
      <c r="I5" s="2476">
        <f t="shared" si="0"/>
        <v>0</v>
      </c>
    </row>
    <row r="6" spans="1:9">
      <c r="A6" s="3460"/>
      <c r="B6" s="3461" t="s">
        <v>2477</v>
      </c>
      <c r="C6" s="3461"/>
      <c r="D6" s="2473"/>
      <c r="E6" s="2471"/>
      <c r="F6" s="2474"/>
      <c r="G6" s="2474"/>
      <c r="H6" s="2475"/>
      <c r="I6" s="2476">
        <f t="shared" si="0"/>
        <v>0</v>
      </c>
    </row>
    <row r="7" spans="1:9">
      <c r="A7" s="3460"/>
      <c r="B7" s="3461" t="s">
        <v>2478</v>
      </c>
      <c r="C7" s="3461"/>
      <c r="D7" s="2473"/>
      <c r="E7" s="2471"/>
      <c r="F7" s="2474"/>
      <c r="G7" s="2474"/>
      <c r="H7" s="2475"/>
      <c r="I7" s="2476">
        <f t="shared" si="0"/>
        <v>0</v>
      </c>
    </row>
    <row r="8" spans="1:9">
      <c r="A8" s="3460"/>
      <c r="B8" s="3461" t="s">
        <v>2479</v>
      </c>
      <c r="C8" s="3461"/>
      <c r="D8" s="2473"/>
      <c r="E8" s="2471"/>
      <c r="F8" s="2474"/>
      <c r="G8" s="2474"/>
      <c r="H8" s="2475"/>
      <c r="I8" s="2476">
        <f t="shared" si="0"/>
        <v>0</v>
      </c>
    </row>
    <row r="9" spans="1:9">
      <c r="A9" s="3460"/>
      <c r="B9" s="3461" t="s">
        <v>2480</v>
      </c>
      <c r="C9" s="3461"/>
      <c r="D9" s="2473"/>
      <c r="E9" s="2471"/>
      <c r="F9" s="2474"/>
      <c r="G9" s="2474"/>
      <c r="H9" s="2475"/>
      <c r="I9" s="2476">
        <f t="shared" si="0"/>
        <v>0</v>
      </c>
    </row>
    <row r="10" spans="1:9">
      <c r="A10" s="3460"/>
      <c r="B10" s="3462" t="s">
        <v>2481</v>
      </c>
      <c r="C10" s="3462"/>
      <c r="D10" s="2477">
        <v>527</v>
      </c>
      <c r="E10" s="2477" t="e">
        <f>ROUND(D1*10000/D10/H9,0)</f>
        <v>#DIV/0!</v>
      </c>
      <c r="F10" s="2478"/>
      <c r="G10" s="2478"/>
      <c r="H10" s="2479"/>
      <c r="I10" s="2480">
        <f>SUM(I3:I9)</f>
        <v>0</v>
      </c>
    </row>
    <row r="11" spans="1:9" ht="14.25">
      <c r="A11" s="3460" t="s">
        <v>2482</v>
      </c>
      <c r="B11" s="3461" t="s">
        <v>2483</v>
      </c>
      <c r="C11" s="3461"/>
      <c r="D11" s="2473" t="s">
        <v>2484</v>
      </c>
      <c r="E11" s="2473" t="s">
        <v>2485</v>
      </c>
      <c r="F11" s="2474" t="s">
        <v>2486</v>
      </c>
      <c r="G11" s="2474" t="s">
        <v>2487</v>
      </c>
      <c r="H11" s="2481" t="s">
        <v>2488</v>
      </c>
      <c r="I11" s="2472" t="s">
        <v>2489</v>
      </c>
    </row>
    <row r="12" spans="1:9">
      <c r="A12" s="3460"/>
      <c r="B12" s="3461" t="s">
        <v>2490</v>
      </c>
      <c r="C12" s="3461"/>
      <c r="D12" s="2473"/>
      <c r="E12" s="2473"/>
      <c r="F12" s="2474"/>
      <c r="G12" s="2475"/>
      <c r="H12" s="2482"/>
      <c r="I12" s="2472">
        <f>ROUND(D12*E12*F12*G12/10000,0)</f>
        <v>0</v>
      </c>
    </row>
    <row r="13" spans="1:9">
      <c r="A13" s="3460"/>
      <c r="B13" s="3461" t="s">
        <v>2491</v>
      </c>
      <c r="C13" s="3461"/>
      <c r="D13" s="2473"/>
      <c r="E13" s="2473"/>
      <c r="F13" s="2474"/>
      <c r="G13" s="2475"/>
      <c r="H13" s="2482"/>
      <c r="I13" s="2472">
        <f>ROUND(D13*E13*F13*G13/10000,0)</f>
        <v>0</v>
      </c>
    </row>
    <row r="14" spans="1:9">
      <c r="A14" s="3460"/>
      <c r="B14" s="3461" t="s">
        <v>2492</v>
      </c>
      <c r="C14" s="3461"/>
      <c r="D14" s="2473"/>
      <c r="E14" s="2473"/>
      <c r="F14" s="2474"/>
      <c r="G14" s="2475"/>
      <c r="H14" s="2482"/>
      <c r="I14" s="2472">
        <f>ROUND(D14*E14*F14*G14/10000,0)</f>
        <v>0</v>
      </c>
    </row>
    <row r="15" spans="1:9">
      <c r="A15" s="3460"/>
      <c r="B15" s="3462" t="s">
        <v>2481</v>
      </c>
      <c r="C15" s="3462"/>
      <c r="D15" s="2477"/>
      <c r="E15" s="2477">
        <f>SUM(E12:E14)</f>
        <v>0</v>
      </c>
      <c r="F15" s="2478"/>
      <c r="G15" s="2475"/>
      <c r="H15" s="2482"/>
      <c r="I15" s="2483">
        <f>SUM(I12:I14)</f>
        <v>0</v>
      </c>
    </row>
    <row r="16" spans="1:9" ht="24">
      <c r="A16" s="3460" t="s">
        <v>2493</v>
      </c>
      <c r="B16" s="3461" t="s">
        <v>2494</v>
      </c>
      <c r="C16" s="3461"/>
      <c r="D16" s="2473" t="s">
        <v>2495</v>
      </c>
      <c r="E16" s="2484" t="s">
        <v>2496</v>
      </c>
      <c r="F16" s="2474" t="s">
        <v>2497</v>
      </c>
      <c r="G16" s="2475" t="s">
        <v>2487</v>
      </c>
      <c r="H16" s="2481" t="s">
        <v>2488</v>
      </c>
      <c r="I16" s="2472" t="s">
        <v>2489</v>
      </c>
    </row>
    <row r="17" spans="1:9" ht="14.25">
      <c r="A17" s="3460"/>
      <c r="B17" s="3461" t="s">
        <v>2498</v>
      </c>
      <c r="C17" s="3461"/>
      <c r="D17" s="2473"/>
      <c r="E17" s="2473"/>
      <c r="F17" s="2474"/>
      <c r="G17" s="2475"/>
      <c r="H17" s="2485"/>
      <c r="I17" s="2486">
        <f>ROUND(D17*E17*F17*G17/10000,0)</f>
        <v>0</v>
      </c>
    </row>
    <row r="18" spans="1:9" ht="14.25">
      <c r="A18" s="3460"/>
      <c r="B18" s="3461" t="s">
        <v>2499</v>
      </c>
      <c r="C18" s="3461"/>
      <c r="D18" s="2473"/>
      <c r="E18" s="2473"/>
      <c r="F18" s="2474"/>
      <c r="G18" s="2475"/>
      <c r="H18" s="2485"/>
      <c r="I18" s="2486">
        <f>ROUND(D18*E18*F18*G18/10000,0)</f>
        <v>0</v>
      </c>
    </row>
    <row r="19" spans="1:9" ht="14.25">
      <c r="A19" s="3460"/>
      <c r="B19" s="3461" t="s">
        <v>2500</v>
      </c>
      <c r="C19" s="3461"/>
      <c r="D19" s="2473"/>
      <c r="E19" s="2473"/>
      <c r="F19" s="2474"/>
      <c r="G19" s="2475"/>
      <c r="H19" s="2485"/>
      <c r="I19" s="2486">
        <f>ROUND(D19*E19*F19*G19/10000,0)</f>
        <v>0</v>
      </c>
    </row>
    <row r="20" spans="1:9">
      <c r="A20" s="3460"/>
      <c r="B20" s="3462" t="s">
        <v>2481</v>
      </c>
      <c r="C20" s="3462"/>
      <c r="D20" s="2477">
        <f>SUM(D17:D19)</f>
        <v>0</v>
      </c>
      <c r="E20" s="2477"/>
      <c r="F20" s="2478"/>
      <c r="G20" s="2475"/>
      <c r="H20" s="2482"/>
      <c r="I20" s="2483">
        <f>SUM(I17:I19)</f>
        <v>0</v>
      </c>
    </row>
    <row r="21" spans="1:9">
      <c r="A21" s="3460" t="s">
        <v>2501</v>
      </c>
      <c r="B21" s="3463"/>
      <c r="C21" s="3463"/>
      <c r="D21" s="3463"/>
      <c r="E21" s="3463"/>
      <c r="F21" s="3463"/>
      <c r="G21" s="3463"/>
      <c r="H21" s="2487">
        <v>0.1</v>
      </c>
      <c r="I21" s="2480">
        <f>ROUND(I10*H21,0)</f>
        <v>0</v>
      </c>
    </row>
    <row r="22" spans="1:9" ht="14.25">
      <c r="A22" s="3464" t="s">
        <v>2502</v>
      </c>
      <c r="B22" s="3465"/>
      <c r="C22" s="3466"/>
      <c r="D22" s="2488" t="s">
        <v>2503</v>
      </c>
      <c r="E22" s="2488" t="s">
        <v>2504</v>
      </c>
      <c r="F22" s="2489" t="s">
        <v>2505</v>
      </c>
      <c r="G22" s="2489" t="s">
        <v>2506</v>
      </c>
      <c r="H22" s="2481" t="s">
        <v>2507</v>
      </c>
      <c r="I22" s="2472" t="s">
        <v>2508</v>
      </c>
    </row>
    <row r="23" spans="1:9" ht="14.25" thickBot="1">
      <c r="A23" s="3467"/>
      <c r="B23" s="3468"/>
      <c r="C23" s="3469"/>
      <c r="D23" s="2490"/>
      <c r="E23" s="2490"/>
      <c r="F23" s="2490"/>
      <c r="G23" s="2491"/>
      <c r="H23" s="2492"/>
      <c r="I23" s="2493">
        <f>ROUND(E23*D23*F23*(1-G23)/10000,0)</f>
        <v>0</v>
      </c>
    </row>
    <row r="26" spans="1:9">
      <c r="A26" s="2494" t="s">
        <v>2509</v>
      </c>
      <c r="B26" s="2494"/>
      <c r="C26" s="2494"/>
      <c r="D26" s="2494"/>
      <c r="E26" s="3457">
        <f>C27-C30-C31-C32</f>
        <v>0</v>
      </c>
      <c r="F26" s="3457"/>
      <c r="G26" s="3457"/>
      <c r="H26" s="2995" t="s">
        <v>2836</v>
      </c>
    </row>
    <row r="27" spans="1:9">
      <c r="A27" s="2495">
        <v>1</v>
      </c>
      <c r="B27" s="2496" t="s">
        <v>2510</v>
      </c>
      <c r="C27" s="2496"/>
      <c r="D27" s="2496"/>
      <c r="E27" s="3458"/>
      <c r="F27" s="3458"/>
      <c r="G27" s="3458"/>
    </row>
    <row r="28" spans="1:9">
      <c r="A28" s="2497" t="s">
        <v>2511</v>
      </c>
      <c r="B28" s="2496" t="s">
        <v>2512</v>
      </c>
      <c r="C28" s="2496"/>
      <c r="D28" s="2496"/>
      <c r="E28" s="3458"/>
      <c r="F28" s="3458"/>
      <c r="G28" s="3458"/>
    </row>
    <row r="29" spans="1:9">
      <c r="A29" s="2497" t="s">
        <v>2513</v>
      </c>
      <c r="B29" s="2496" t="s">
        <v>2454</v>
      </c>
      <c r="C29" s="2496"/>
      <c r="D29" s="2496"/>
      <c r="E29" s="2496" t="s">
        <v>2514</v>
      </c>
      <c r="F29" s="2496"/>
      <c r="G29" s="2496"/>
    </row>
    <row r="30" spans="1:9">
      <c r="A30" s="2495">
        <v>2</v>
      </c>
      <c r="B30" s="2496" t="s">
        <v>2515</v>
      </c>
      <c r="C30" s="2496">
        <f>C27*D30</f>
        <v>0</v>
      </c>
      <c r="D30" s="2498">
        <v>0.2</v>
      </c>
      <c r="E30" s="2496" t="s">
        <v>2516</v>
      </c>
      <c r="F30" s="2496"/>
      <c r="G30" s="2496"/>
    </row>
    <row r="31" spans="1:9">
      <c r="A31" s="2495">
        <v>3</v>
      </c>
      <c r="B31" s="2496" t="s">
        <v>2517</v>
      </c>
      <c r="C31" s="2496">
        <f>C25*D31</f>
        <v>0</v>
      </c>
      <c r="D31" s="2498">
        <v>0.15</v>
      </c>
      <c r="E31" s="2496" t="s">
        <v>2518</v>
      </c>
      <c r="F31" s="2496"/>
      <c r="G31" s="2496"/>
    </row>
    <row r="32" spans="1:9">
      <c r="A32" s="2495">
        <v>4</v>
      </c>
      <c r="B32" s="2496" t="s">
        <v>2519</v>
      </c>
      <c r="C32" s="2496">
        <f>C27*D32</f>
        <v>0</v>
      </c>
      <c r="D32" s="2498">
        <v>0.05</v>
      </c>
      <c r="E32" s="3459"/>
      <c r="F32" s="3459"/>
      <c r="G32" s="3459"/>
    </row>
    <row r="33" spans="1:7" hidden="1">
      <c r="A33" s="3454" t="s">
        <v>2520</v>
      </c>
      <c r="B33" s="3455"/>
      <c r="C33" s="3455"/>
      <c r="D33" s="3456"/>
      <c r="E33" s="3457"/>
      <c r="F33" s="3457"/>
      <c r="G33" s="3457"/>
    </row>
    <row r="34" spans="1:7" hidden="1">
      <c r="A34" s="2499">
        <v>1</v>
      </c>
      <c r="B34" s="2496" t="s">
        <v>2521</v>
      </c>
      <c r="C34" s="2496"/>
      <c r="D34" s="2496"/>
      <c r="E34" s="3458"/>
      <c r="F34" s="3458"/>
      <c r="G34" s="3458"/>
    </row>
    <row r="35" spans="1:7" hidden="1">
      <c r="A35" s="2499">
        <v>2</v>
      </c>
      <c r="B35" s="2496" t="s">
        <v>2522</v>
      </c>
      <c r="C35" s="2496"/>
      <c r="D35" s="2496"/>
      <c r="E35" s="3458"/>
      <c r="F35" s="3458"/>
      <c r="G35" s="3458"/>
    </row>
    <row r="36" spans="1:7" hidden="1">
      <c r="A36" s="2499">
        <v>3</v>
      </c>
      <c r="B36" s="2496" t="s">
        <v>2523</v>
      </c>
      <c r="C36" s="2496"/>
      <c r="D36" s="2496"/>
      <c r="E36" s="3458"/>
      <c r="F36" s="3458"/>
      <c r="G36" s="3458"/>
    </row>
    <row r="37" spans="1:7" hidden="1">
      <c r="A37" s="2499">
        <v>4</v>
      </c>
      <c r="B37" s="2496" t="s">
        <v>2524</v>
      </c>
      <c r="C37" s="2496"/>
      <c r="D37" s="2496"/>
      <c r="E37" s="3458"/>
      <c r="F37" s="3458"/>
      <c r="G37" s="3458"/>
    </row>
    <row r="38" spans="1:7" hidden="1">
      <c r="A38" s="3454" t="s">
        <v>2525</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2434</v>
      </c>
      <c r="B8" s="2436" t="s">
        <v>2436</v>
      </c>
      <c r="C8" s="2437"/>
      <c r="D8" s="749"/>
      <c r="E8" s="750"/>
      <c r="F8" s="750"/>
      <c r="G8" s="751"/>
    </row>
    <row r="9" spans="1:25" s="2168" customFormat="1" ht="13.5" customHeight="1">
      <c r="A9" s="2433" t="s">
        <v>2435</v>
      </c>
      <c r="B9" s="2436" t="s">
        <v>2437</v>
      </c>
      <c r="C9" s="2437"/>
      <c r="D9" s="749"/>
      <c r="E9" s="750"/>
      <c r="F9" s="750"/>
      <c r="G9" s="751"/>
    </row>
    <row r="10" spans="1:25" s="2168" customFormat="1" ht="36">
      <c r="A10" s="2433">
        <v>2</v>
      </c>
      <c r="B10" s="748" t="s">
        <v>613</v>
      </c>
      <c r="C10" s="749">
        <f>C11+C14+C15</f>
        <v>0</v>
      </c>
      <c r="D10" s="760">
        <f>'数据-汇总表'!E3</f>
        <v>324852.64</v>
      </c>
      <c r="E10" s="749">
        <f>'数据-取费表'!B31</f>
        <v>80</v>
      </c>
      <c r="F10" s="761"/>
      <c r="G10" s="759" t="s">
        <v>614</v>
      </c>
    </row>
    <row r="11" spans="1:25" s="2168" customFormat="1" ht="13.5" customHeight="1">
      <c r="A11" s="2433" t="s">
        <v>2434</v>
      </c>
      <c r="B11" s="752" t="s">
        <v>610</v>
      </c>
      <c r="C11" s="753">
        <f>'数据-取费表'!B29</f>
        <v>0</v>
      </c>
      <c r="D11" s="754"/>
      <c r="E11" s="753"/>
      <c r="F11" s="755"/>
      <c r="G11" s="2442" t="s">
        <v>2445</v>
      </c>
    </row>
    <row r="12" spans="1:25" s="2168" customFormat="1" ht="13.5" customHeight="1">
      <c r="A12" s="2440" t="s">
        <v>2442</v>
      </c>
      <c r="B12" s="756" t="s">
        <v>611</v>
      </c>
      <c r="C12" s="757">
        <f>ROUND(D12*E12/10000,0)</f>
        <v>0</v>
      </c>
      <c r="D12" s="758">
        <f>'数据-汇总表'!E5</f>
        <v>0</v>
      </c>
      <c r="E12" s="757">
        <f>'数据-取费表'!B27</f>
        <v>0</v>
      </c>
      <c r="F12" s="755"/>
      <c r="G12" s="759"/>
    </row>
    <row r="13" spans="1:25" s="2168" customFormat="1" ht="13.5" customHeight="1">
      <c r="A13" s="2440" t="s">
        <v>2441</v>
      </c>
      <c r="B13" s="756" t="s">
        <v>612</v>
      </c>
      <c r="C13" s="757">
        <f>ROUND(D13*E13/10000,0)</f>
        <v>1624</v>
      </c>
      <c r="D13" s="758">
        <f>'数据-汇总表'!E6</f>
        <v>324852.64</v>
      </c>
      <c r="E13" s="757">
        <f>'数据-取费表'!B28</f>
        <v>50</v>
      </c>
      <c r="F13" s="755"/>
      <c r="G13" s="759"/>
    </row>
    <row r="14" spans="1:25" s="2168" customFormat="1" ht="13.5" customHeight="1">
      <c r="A14" s="2433" t="s">
        <v>2435</v>
      </c>
      <c r="B14" s="2439" t="s">
        <v>2438</v>
      </c>
      <c r="C14" s="2437"/>
      <c r="D14" s="758"/>
      <c r="E14" s="757"/>
      <c r="F14" s="2438"/>
      <c r="G14" s="2441" t="s">
        <v>2443</v>
      </c>
    </row>
    <row r="15" spans="1:25" s="2168" customFormat="1" ht="13.5" customHeight="1">
      <c r="A15" s="2433" t="s">
        <v>2440</v>
      </c>
      <c r="B15" s="2439" t="s">
        <v>2439</v>
      </c>
      <c r="C15" s="2437"/>
      <c r="D15" s="758"/>
      <c r="E15" s="757"/>
      <c r="F15" s="2438"/>
      <c r="G15" s="2441" t="s">
        <v>2444</v>
      </c>
    </row>
    <row r="16" spans="1:25" s="2169" customFormat="1" ht="48">
      <c r="A16" s="2433">
        <v>3</v>
      </c>
      <c r="B16" s="748" t="s">
        <v>615</v>
      </c>
      <c r="C16" s="2437"/>
      <c r="D16" s="760"/>
      <c r="E16" s="749"/>
      <c r="F16" s="761"/>
      <c r="G16" s="759" t="s">
        <v>2446</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0.85099999999999998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8" t="s">
        <v>522</v>
      </c>
      <c r="D4" s="3379"/>
      <c r="E4" s="3402" t="s">
        <v>523</v>
      </c>
      <c r="F4" s="3403"/>
      <c r="G4" s="3378" t="s">
        <v>524</v>
      </c>
      <c r="H4" s="3379"/>
      <c r="I4" s="3378" t="s">
        <v>525</v>
      </c>
      <c r="J4" s="3379"/>
      <c r="K4" s="853" t="s">
        <v>526</v>
      </c>
      <c r="L4" s="2118"/>
      <c r="M4" s="2119"/>
      <c r="N4" s="2119"/>
      <c r="O4" s="2119"/>
      <c r="P4" s="3380" t="s">
        <v>527</v>
      </c>
      <c r="Q4" s="3381"/>
      <c r="R4" s="3366" t="s">
        <v>523</v>
      </c>
      <c r="S4" s="3367"/>
      <c r="T4" s="3366" t="s">
        <v>524</v>
      </c>
      <c r="U4" s="3367"/>
      <c r="V4" s="3386" t="s">
        <v>525</v>
      </c>
      <c r="W4" s="3386"/>
      <c r="X4" s="1553"/>
      <c r="Y4" s="3366" t="s">
        <v>527</v>
      </c>
      <c r="Z4" s="3367"/>
      <c r="AA4" s="3361" t="s">
        <v>523</v>
      </c>
      <c r="AB4" s="3361" t="s">
        <v>524</v>
      </c>
      <c r="AC4" s="3361" t="s">
        <v>525</v>
      </c>
    </row>
    <row r="5" spans="1:29" ht="15">
      <c r="A5" s="515"/>
      <c r="B5" s="516"/>
      <c r="C5" s="3389" t="s">
        <v>2923</v>
      </c>
      <c r="D5" s="3390"/>
      <c r="E5" s="3404" t="s">
        <v>2924</v>
      </c>
      <c r="F5" s="3405"/>
      <c r="G5" s="3389" t="s">
        <v>2925</v>
      </c>
      <c r="H5" s="3390"/>
      <c r="I5" s="3389" t="s">
        <v>2926</v>
      </c>
      <c r="J5" s="3390"/>
      <c r="K5" s="854"/>
      <c r="L5" s="2118"/>
      <c r="M5" s="2119"/>
      <c r="N5" s="2119"/>
      <c r="O5" s="2119"/>
      <c r="P5" s="3382"/>
      <c r="Q5" s="3383"/>
      <c r="R5" s="3368"/>
      <c r="S5" s="3369"/>
      <c r="T5" s="3368"/>
      <c r="U5" s="3369"/>
      <c r="V5" s="3386"/>
      <c r="W5" s="3386"/>
      <c r="X5" s="1553"/>
      <c r="Y5" s="3368"/>
      <c r="Z5" s="3369"/>
      <c r="AA5" s="3362"/>
      <c r="AB5" s="3362"/>
      <c r="AC5" s="3362"/>
    </row>
    <row r="6" spans="1:29" ht="15.75" thickBot="1">
      <c r="A6" s="517"/>
      <c r="B6" s="518"/>
      <c r="C6" s="3387" t="s">
        <v>2927</v>
      </c>
      <c r="D6" s="3388"/>
      <c r="E6" s="3406" t="s">
        <v>2927</v>
      </c>
      <c r="F6" s="3407"/>
      <c r="G6" s="3387" t="s">
        <v>2927</v>
      </c>
      <c r="H6" s="3388"/>
      <c r="I6" s="3387" t="s">
        <v>2927</v>
      </c>
      <c r="J6" s="3388"/>
      <c r="K6" s="854" t="s">
        <v>528</v>
      </c>
      <c r="L6" s="2118"/>
      <c r="M6" s="2119"/>
      <c r="N6" s="2119"/>
      <c r="O6" s="2119"/>
      <c r="P6" s="3384"/>
      <c r="Q6" s="3385"/>
      <c r="R6" s="3368"/>
      <c r="S6" s="3369"/>
      <c r="T6" s="3370"/>
      <c r="U6" s="3371"/>
      <c r="V6" s="3386"/>
      <c r="W6" s="3386"/>
      <c r="X6" s="1553"/>
      <c r="Y6" s="3370"/>
      <c r="Z6" s="3371"/>
      <c r="AA6" s="3363"/>
      <c r="AB6" s="3363"/>
      <c r="AC6" s="3363"/>
    </row>
    <row r="7" spans="1:29" s="1215" customFormat="1" ht="15.75" thickBot="1">
      <c r="A7" s="2867"/>
      <c r="B7" s="2874" t="s">
        <v>529</v>
      </c>
      <c r="C7" s="519">
        <f>'数据-取费表'!B2</f>
        <v>44034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4" t="s">
        <v>530</v>
      </c>
      <c r="Q7" s="3373"/>
      <c r="R7" s="1554" t="s">
        <v>13</v>
      </c>
      <c r="S7" s="1555">
        <f t="shared" ref="S7:S15" si="0">F7</f>
        <v>0</v>
      </c>
      <c r="T7" s="1554" t="s">
        <v>13</v>
      </c>
      <c r="U7" s="1555">
        <f t="shared" ref="U7:U15" si="1">H7</f>
        <v>0</v>
      </c>
      <c r="V7" s="1554" t="s">
        <v>13</v>
      </c>
      <c r="W7" s="1555">
        <f t="shared" ref="W7:W15" si="2">J7</f>
        <v>0</v>
      </c>
      <c r="X7" s="1556"/>
      <c r="Y7" s="3364" t="s">
        <v>530</v>
      </c>
      <c r="Z7" s="3365"/>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4" t="s">
        <v>533</v>
      </c>
      <c r="Q8" s="3365"/>
      <c r="R8" s="1554" t="s">
        <v>13</v>
      </c>
      <c r="S8" s="1555">
        <f t="shared" si="0"/>
        <v>0</v>
      </c>
      <c r="T8" s="1554" t="s">
        <v>13</v>
      </c>
      <c r="U8" s="1555">
        <f t="shared" si="1"/>
        <v>0</v>
      </c>
      <c r="V8" s="1554" t="s">
        <v>13</v>
      </c>
      <c r="W8" s="1555">
        <f t="shared" si="2"/>
        <v>0</v>
      </c>
      <c r="X8" s="1556"/>
      <c r="Y8" s="3364" t="s">
        <v>533</v>
      </c>
      <c r="Z8" s="3365"/>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2" t="s">
        <v>535</v>
      </c>
      <c r="Q9" s="1146" t="str">
        <f t="shared" ref="Q9:Q15" si="6">B9</f>
        <v>用途</v>
      </c>
      <c r="R9" s="1554" t="s">
        <v>8</v>
      </c>
      <c r="S9" s="1555">
        <f t="shared" si="0"/>
        <v>100</v>
      </c>
      <c r="T9" s="1554" t="s">
        <v>8</v>
      </c>
      <c r="U9" s="1555">
        <f t="shared" si="1"/>
        <v>100</v>
      </c>
      <c r="V9" s="1554" t="s">
        <v>8</v>
      </c>
      <c r="W9" s="1555">
        <f t="shared" si="2"/>
        <v>100</v>
      </c>
      <c r="X9" s="1556"/>
      <c r="Y9" s="332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26"/>
      <c r="Z10" s="1145" t="str">
        <f t="shared" si="7"/>
        <v>土地使用年限（年）</v>
      </c>
      <c r="AA10" s="1557">
        <f t="shared" si="3"/>
        <v>1</v>
      </c>
      <c r="AB10" s="1557">
        <f t="shared" si="4"/>
        <v>1</v>
      </c>
      <c r="AC10" s="1557">
        <f t="shared" si="5"/>
        <v>1</v>
      </c>
    </row>
    <row r="11" spans="1:29" ht="15">
      <c r="A11" s="2871"/>
      <c r="B11" s="2875"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2"/>
      <c r="Q11" s="1146" t="str">
        <f t="shared" si="6"/>
        <v>容积率</v>
      </c>
      <c r="R11" s="1554" t="s">
        <v>11</v>
      </c>
      <c r="S11" s="1555" t="e">
        <f t="shared" si="0"/>
        <v>#N/A</v>
      </c>
      <c r="T11" s="1554" t="s">
        <v>11</v>
      </c>
      <c r="U11" s="1555" t="e">
        <f t="shared" si="1"/>
        <v>#N/A</v>
      </c>
      <c r="V11" s="1554" t="s">
        <v>11</v>
      </c>
      <c r="W11" s="1555" t="e">
        <f t="shared" si="2"/>
        <v>#N/A</v>
      </c>
      <c r="X11" s="1556"/>
      <c r="Y11" s="33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2"/>
      <c r="Q12" s="1146">
        <f t="shared" si="6"/>
        <v>111</v>
      </c>
      <c r="R12" s="1554" t="s">
        <v>11</v>
      </c>
      <c r="S12" s="1555">
        <f t="shared" si="0"/>
        <v>100</v>
      </c>
      <c r="T12" s="1554" t="s">
        <v>11</v>
      </c>
      <c r="U12" s="1555">
        <f t="shared" si="1"/>
        <v>100</v>
      </c>
      <c r="V12" s="1554" t="s">
        <v>11</v>
      </c>
      <c r="W12" s="1555">
        <f t="shared" si="2"/>
        <v>100</v>
      </c>
      <c r="X12" s="1556"/>
      <c r="Y12" s="3326"/>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2"/>
      <c r="Q13" s="1146">
        <f t="shared" si="6"/>
        <v>111</v>
      </c>
      <c r="R13" s="1554" t="s">
        <v>11</v>
      </c>
      <c r="S13" s="1555">
        <f t="shared" si="0"/>
        <v>100</v>
      </c>
      <c r="T13" s="1554" t="s">
        <v>11</v>
      </c>
      <c r="U13" s="1555">
        <f t="shared" si="1"/>
        <v>100</v>
      </c>
      <c r="V13" s="1554" t="s">
        <v>11</v>
      </c>
      <c r="W13" s="1555">
        <f t="shared" si="2"/>
        <v>100</v>
      </c>
      <c r="X13" s="1556"/>
      <c r="Y13" s="3326"/>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2"/>
      <c r="Q14" s="1146">
        <f t="shared" si="6"/>
        <v>111</v>
      </c>
      <c r="R14" s="1554" t="s">
        <v>11</v>
      </c>
      <c r="S14" s="1555">
        <f t="shared" si="0"/>
        <v>100</v>
      </c>
      <c r="T14" s="1554" t="s">
        <v>11</v>
      </c>
      <c r="U14" s="1555">
        <f t="shared" si="1"/>
        <v>100</v>
      </c>
      <c r="V14" s="1554" t="s">
        <v>11</v>
      </c>
      <c r="W14" s="1555">
        <f t="shared" si="2"/>
        <v>100</v>
      </c>
      <c r="X14" s="1556"/>
      <c r="Y14" s="3326"/>
      <c r="Z14" s="1145">
        <f t="shared" si="7"/>
        <v>111</v>
      </c>
      <c r="AA14" s="1557">
        <f t="shared" si="3"/>
        <v>1</v>
      </c>
      <c r="AB14" s="1557">
        <f t="shared" si="4"/>
        <v>1</v>
      </c>
      <c r="AC14" s="1557">
        <f t="shared" si="5"/>
        <v>1</v>
      </c>
    </row>
    <row r="15" spans="1:29" ht="99.75">
      <c r="A15" s="2865"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4" t="s">
        <v>540</v>
      </c>
      <c r="Q15" s="1558" t="str">
        <f t="shared" si="6"/>
        <v>居住社区成熟度</v>
      </c>
      <c r="R15" s="1559" t="s">
        <v>11</v>
      </c>
      <c r="S15" s="1560">
        <f t="shared" si="0"/>
        <v>100</v>
      </c>
      <c r="T15" s="1559" t="s">
        <v>11</v>
      </c>
      <c r="U15" s="1560">
        <f t="shared" si="1"/>
        <v>100</v>
      </c>
      <c r="V15" s="1559" t="s">
        <v>11</v>
      </c>
      <c r="W15" s="1560">
        <f t="shared" si="2"/>
        <v>100</v>
      </c>
      <c r="X15" s="1553"/>
      <c r="Y15" s="3374"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75"/>
      <c r="Q16" s="1558"/>
      <c r="R16" s="1559"/>
      <c r="S16" s="1560"/>
      <c r="T16" s="1559"/>
      <c r="U16" s="1560"/>
      <c r="V16" s="1559"/>
      <c r="W16" s="1560"/>
      <c r="X16" s="1553"/>
      <c r="Y16" s="337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75"/>
      <c r="Q17" s="1558" t="str">
        <f>B17</f>
        <v>交通便捷度</v>
      </c>
      <c r="R17" s="1559" t="s">
        <v>11</v>
      </c>
      <c r="S17" s="1560">
        <f>F17</f>
        <v>100</v>
      </c>
      <c r="T17" s="1559" t="s">
        <v>11</v>
      </c>
      <c r="U17" s="1560">
        <f>H17</f>
        <v>100</v>
      </c>
      <c r="V17" s="1559" t="s">
        <v>11</v>
      </c>
      <c r="W17" s="1560">
        <f>J17</f>
        <v>100</v>
      </c>
      <c r="X17" s="1553"/>
      <c r="Y17" s="337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75"/>
      <c r="Q18" s="1558"/>
      <c r="R18" s="1559"/>
      <c r="S18" s="1560"/>
      <c r="T18" s="1559"/>
      <c r="U18" s="1560"/>
      <c r="V18" s="1559"/>
      <c r="W18" s="1560"/>
      <c r="X18" s="1553"/>
      <c r="Y18" s="3375"/>
      <c r="Z18" s="1561"/>
      <c r="AA18" s="1562">
        <v>1</v>
      </c>
      <c r="AB18" s="1562">
        <v>1</v>
      </c>
      <c r="AC18" s="1562">
        <v>1</v>
      </c>
    </row>
    <row r="19" spans="1:29" ht="42.75">
      <c r="A19" s="532"/>
      <c r="B19" s="2564"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75"/>
      <c r="Q19" s="1558" t="str">
        <f>B19</f>
        <v>公共配套设施</v>
      </c>
      <c r="R19" s="1559" t="s">
        <v>11</v>
      </c>
      <c r="S19" s="1560">
        <f>F19</f>
        <v>100</v>
      </c>
      <c r="T19" s="1559" t="s">
        <v>11</v>
      </c>
      <c r="U19" s="1560">
        <f>H19</f>
        <v>100</v>
      </c>
      <c r="V19" s="1559" t="s">
        <v>11</v>
      </c>
      <c r="W19" s="1560">
        <f>J19</f>
        <v>100</v>
      </c>
      <c r="X19" s="1553"/>
      <c r="Y19" s="337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75"/>
      <c r="Q20" s="1558"/>
      <c r="R20" s="1559"/>
      <c r="S20" s="1560"/>
      <c r="T20" s="1559"/>
      <c r="U20" s="1560"/>
      <c r="V20" s="1559"/>
      <c r="W20" s="1560"/>
      <c r="X20" s="1553"/>
      <c r="Y20" s="3375"/>
      <c r="Z20" s="1561"/>
      <c r="AA20" s="1562">
        <v>1</v>
      </c>
      <c r="AB20" s="1562">
        <v>1</v>
      </c>
      <c r="AC20" s="1562">
        <v>1</v>
      </c>
    </row>
    <row r="21" spans="1:29" ht="28.5">
      <c r="A21" s="532"/>
      <c r="B21" s="2557"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75"/>
      <c r="Q21" s="2543" t="str">
        <f>B21</f>
        <v>基础设施水平</v>
      </c>
      <c r="R21" s="1559" t="s">
        <v>11</v>
      </c>
      <c r="S21" s="1560">
        <f>F21</f>
        <v>100</v>
      </c>
      <c r="T21" s="1559" t="s">
        <v>11</v>
      </c>
      <c r="U21" s="1560">
        <f>H21</f>
        <v>100</v>
      </c>
      <c r="V21" s="1559" t="s">
        <v>11</v>
      </c>
      <c r="W21" s="1560">
        <f>J21</f>
        <v>100</v>
      </c>
      <c r="X21" s="2545"/>
      <c r="Y21" s="337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75"/>
      <c r="Q22" s="2543"/>
      <c r="R22" s="1559"/>
      <c r="S22" s="1560"/>
      <c r="T22" s="1559"/>
      <c r="U22" s="1560"/>
      <c r="V22" s="1559"/>
      <c r="W22" s="1560"/>
      <c r="X22" s="2545"/>
      <c r="Y22" s="3375"/>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75"/>
      <c r="Q23" s="1558" t="str">
        <f>B23</f>
        <v>自然及人文环境</v>
      </c>
      <c r="R23" s="1559" t="s">
        <v>11</v>
      </c>
      <c r="S23" s="1560">
        <f>F23</f>
        <v>100</v>
      </c>
      <c r="T23" s="1559" t="s">
        <v>11</v>
      </c>
      <c r="U23" s="1560">
        <f>H23</f>
        <v>100</v>
      </c>
      <c r="V23" s="1559" t="s">
        <v>11</v>
      </c>
      <c r="W23" s="1560">
        <f>J23</f>
        <v>100</v>
      </c>
      <c r="X23" s="1553"/>
      <c r="Y23" s="337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75"/>
      <c r="Q24" s="1558"/>
      <c r="R24" s="1559"/>
      <c r="S24" s="1560"/>
      <c r="T24" s="1559"/>
      <c r="U24" s="1560"/>
      <c r="V24" s="1559"/>
      <c r="W24" s="1560"/>
      <c r="X24" s="1553"/>
      <c r="Y24" s="3375"/>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75"/>
      <c r="Q25" s="1558" t="str">
        <f t="shared" ref="Q25:Q46" si="11">B25</f>
        <v>楼层-1</v>
      </c>
      <c r="R25" s="1559" t="s">
        <v>11</v>
      </c>
      <c r="S25" s="1560">
        <f>F25</f>
        <v>100</v>
      </c>
      <c r="T25" s="1559" t="s">
        <v>11</v>
      </c>
      <c r="U25" s="1560">
        <f>H25</f>
        <v>100</v>
      </c>
      <c r="V25" s="1559" t="s">
        <v>11</v>
      </c>
      <c r="W25" s="1560">
        <f>J25</f>
        <v>100</v>
      </c>
      <c r="X25" s="1553"/>
      <c r="Y25" s="3375"/>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75"/>
      <c r="Q26" s="1558" t="str">
        <f t="shared" si="11"/>
        <v>朝向</v>
      </c>
      <c r="R26" s="1559" t="s">
        <v>11</v>
      </c>
      <c r="S26" s="1560">
        <f>F26</f>
        <v>100</v>
      </c>
      <c r="T26" s="1559" t="s">
        <v>11</v>
      </c>
      <c r="U26" s="1560">
        <f>H26</f>
        <v>100</v>
      </c>
      <c r="V26" s="1559" t="s">
        <v>11</v>
      </c>
      <c r="W26" s="1560">
        <f>J26</f>
        <v>100</v>
      </c>
      <c r="X26" s="1553"/>
      <c r="Y26" s="3375"/>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75"/>
      <c r="Q27" s="1146" t="str">
        <f t="shared" si="11"/>
        <v>道路级别</v>
      </c>
      <c r="R27" s="1554" t="s">
        <v>11</v>
      </c>
      <c r="S27" s="1555">
        <f>F27</f>
        <v>100</v>
      </c>
      <c r="T27" s="1554" t="s">
        <v>11</v>
      </c>
      <c r="U27" s="1555">
        <f>H27</f>
        <v>100</v>
      </c>
      <c r="V27" s="1554" t="s">
        <v>11</v>
      </c>
      <c r="W27" s="1555">
        <f>J27</f>
        <v>100</v>
      </c>
      <c r="X27" s="1556"/>
      <c r="Y27" s="3375"/>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75"/>
      <c r="Q28" s="1558">
        <f t="shared" si="11"/>
        <v>111</v>
      </c>
      <c r="R28" s="1559" t="s">
        <v>11</v>
      </c>
      <c r="S28" s="1560">
        <f t="shared" ref="S28:S46" si="12">F28</f>
        <v>100</v>
      </c>
      <c r="T28" s="1559" t="s">
        <v>11</v>
      </c>
      <c r="U28" s="1560">
        <f t="shared" ref="U28:U46" si="13">H28</f>
        <v>100</v>
      </c>
      <c r="V28" s="1559" t="s">
        <v>11</v>
      </c>
      <c r="W28" s="1560">
        <f t="shared" ref="W28:W46" si="14">J28</f>
        <v>100</v>
      </c>
      <c r="X28" s="1553"/>
      <c r="Y28" s="337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75"/>
      <c r="Q29" s="1558">
        <f t="shared" si="11"/>
        <v>111</v>
      </c>
      <c r="R29" s="1559" t="s">
        <v>11</v>
      </c>
      <c r="S29" s="1560">
        <f t="shared" si="12"/>
        <v>100</v>
      </c>
      <c r="T29" s="1559" t="s">
        <v>11</v>
      </c>
      <c r="U29" s="1560">
        <f t="shared" si="13"/>
        <v>100</v>
      </c>
      <c r="V29" s="1559" t="s">
        <v>11</v>
      </c>
      <c r="W29" s="1560">
        <f t="shared" si="14"/>
        <v>100</v>
      </c>
      <c r="X29" s="1553"/>
      <c r="Y29" s="337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75"/>
      <c r="Q30" s="1558">
        <f t="shared" si="11"/>
        <v>111</v>
      </c>
      <c r="R30" s="1559" t="s">
        <v>11</v>
      </c>
      <c r="S30" s="1560">
        <f t="shared" si="12"/>
        <v>100</v>
      </c>
      <c r="T30" s="1559" t="s">
        <v>11</v>
      </c>
      <c r="U30" s="1560">
        <f t="shared" si="13"/>
        <v>100</v>
      </c>
      <c r="V30" s="1559" t="s">
        <v>11</v>
      </c>
      <c r="W30" s="1560">
        <f t="shared" si="14"/>
        <v>100</v>
      </c>
      <c r="X30" s="1553"/>
      <c r="Y30" s="3375"/>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75"/>
      <c r="Q31" s="1558">
        <f t="shared" si="11"/>
        <v>111</v>
      </c>
      <c r="R31" s="1559" t="s">
        <v>11</v>
      </c>
      <c r="S31" s="1560">
        <f t="shared" si="12"/>
        <v>100</v>
      </c>
      <c r="T31" s="1559" t="s">
        <v>11</v>
      </c>
      <c r="U31" s="1560">
        <f t="shared" si="13"/>
        <v>100</v>
      </c>
      <c r="V31" s="1559" t="s">
        <v>11</v>
      </c>
      <c r="W31" s="1560">
        <f t="shared" si="14"/>
        <v>100</v>
      </c>
      <c r="X31" s="1553"/>
      <c r="Y31" s="3375"/>
      <c r="Z31" s="1561">
        <f t="shared" si="15"/>
        <v>111</v>
      </c>
      <c r="AA31" s="1562">
        <f t="shared" si="3"/>
        <v>1</v>
      </c>
      <c r="AB31" s="1562">
        <f t="shared" si="4"/>
        <v>1</v>
      </c>
      <c r="AC31" s="1562">
        <f t="shared" si="5"/>
        <v>1</v>
      </c>
    </row>
    <row r="32" spans="1:29" ht="15">
      <c r="A32" s="2862"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76" t="s">
        <v>550</v>
      </c>
      <c r="Q32" s="1558" t="str">
        <f t="shared" si="11"/>
        <v>建筑类型</v>
      </c>
      <c r="R32" s="1559" t="s">
        <v>11</v>
      </c>
      <c r="S32" s="1560">
        <f t="shared" si="12"/>
        <v>100</v>
      </c>
      <c r="T32" s="1559" t="s">
        <v>11</v>
      </c>
      <c r="U32" s="1560">
        <f t="shared" si="13"/>
        <v>100</v>
      </c>
      <c r="V32" s="1559" t="s">
        <v>11</v>
      </c>
      <c r="W32" s="1560">
        <f t="shared" si="14"/>
        <v>100</v>
      </c>
      <c r="X32" s="1553"/>
      <c r="Y32" s="3377"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77"/>
      <c r="Q33" s="1590" t="str">
        <f t="shared" si="11"/>
        <v>项目建筑规模</v>
      </c>
      <c r="R33" s="1563" t="s">
        <v>11</v>
      </c>
      <c r="S33" s="1564" t="e">
        <f t="shared" si="12"/>
        <v>#N/A</v>
      </c>
      <c r="T33" s="1563" t="s">
        <v>11</v>
      </c>
      <c r="U33" s="1564" t="e">
        <f t="shared" si="13"/>
        <v>#N/A</v>
      </c>
      <c r="V33" s="1563" t="s">
        <v>11</v>
      </c>
      <c r="W33" s="1564" t="e">
        <f t="shared" si="14"/>
        <v>#N/A</v>
      </c>
      <c r="X33" s="1565"/>
      <c r="Y33" s="337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77"/>
      <c r="Q34" s="1558" t="str">
        <f t="shared" si="11"/>
        <v>建筑结构</v>
      </c>
      <c r="R34" s="1559" t="s">
        <v>11</v>
      </c>
      <c r="S34" s="1560">
        <f t="shared" si="12"/>
        <v>100</v>
      </c>
      <c r="T34" s="1559" t="s">
        <v>11</v>
      </c>
      <c r="U34" s="1560">
        <f t="shared" si="13"/>
        <v>100</v>
      </c>
      <c r="V34" s="1559" t="s">
        <v>11</v>
      </c>
      <c r="W34" s="1560">
        <f t="shared" si="14"/>
        <v>100</v>
      </c>
      <c r="X34" s="1553"/>
      <c r="Y34" s="3377"/>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77"/>
      <c r="Q35" s="1558" t="str">
        <f t="shared" si="11"/>
        <v>建筑品质</v>
      </c>
      <c r="R35" s="1559" t="s">
        <v>11</v>
      </c>
      <c r="S35" s="1560">
        <f t="shared" si="12"/>
        <v>100</v>
      </c>
      <c r="T35" s="1559" t="s">
        <v>11</v>
      </c>
      <c r="U35" s="1560">
        <f t="shared" si="13"/>
        <v>100</v>
      </c>
      <c r="V35" s="1559" t="s">
        <v>11</v>
      </c>
      <c r="W35" s="1560">
        <f t="shared" si="14"/>
        <v>100</v>
      </c>
      <c r="X35" s="1553"/>
      <c r="Y35" s="3377"/>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77"/>
      <c r="Q36" s="1558" t="str">
        <f t="shared" si="11"/>
        <v>公共部分装修</v>
      </c>
      <c r="R36" s="1559" t="s">
        <v>11</v>
      </c>
      <c r="S36" s="1560">
        <f t="shared" si="12"/>
        <v>100</v>
      </c>
      <c r="T36" s="1559" t="s">
        <v>11</v>
      </c>
      <c r="U36" s="1560">
        <f t="shared" si="13"/>
        <v>100</v>
      </c>
      <c r="V36" s="1559" t="s">
        <v>11</v>
      </c>
      <c r="W36" s="1560">
        <f t="shared" si="14"/>
        <v>100</v>
      </c>
      <c r="X36" s="1553"/>
      <c r="Y36" s="3377"/>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77"/>
      <c r="Q37" s="1146" t="str">
        <f t="shared" si="11"/>
        <v>成新度</v>
      </c>
      <c r="R37" s="1554" t="s">
        <v>11</v>
      </c>
      <c r="S37" s="1555" t="e">
        <f t="shared" si="12"/>
        <v>#N/A</v>
      </c>
      <c r="T37" s="1554" t="s">
        <v>11</v>
      </c>
      <c r="U37" s="1555" t="e">
        <f t="shared" si="13"/>
        <v>#N/A</v>
      </c>
      <c r="V37" s="1554" t="s">
        <v>11</v>
      </c>
      <c r="W37" s="1555" t="e">
        <f t="shared" si="14"/>
        <v>#N/A</v>
      </c>
      <c r="X37" s="1556"/>
      <c r="Y37" s="3377"/>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77" t="s">
        <v>550</v>
      </c>
      <c r="Q38" s="1558" t="str">
        <f t="shared" si="11"/>
        <v>物业管理</v>
      </c>
      <c r="R38" s="1559" t="s">
        <v>11</v>
      </c>
      <c r="S38" s="1560">
        <f t="shared" si="12"/>
        <v>100</v>
      </c>
      <c r="T38" s="1559" t="s">
        <v>11</v>
      </c>
      <c r="U38" s="1560">
        <f t="shared" si="13"/>
        <v>100</v>
      </c>
      <c r="V38" s="1559" t="s">
        <v>11</v>
      </c>
      <c r="W38" s="1560">
        <f t="shared" si="14"/>
        <v>100</v>
      </c>
      <c r="X38" s="1553"/>
      <c r="Y38" s="3377" t="s">
        <v>550</v>
      </c>
      <c r="Z38" s="1561" t="str">
        <f t="shared" si="15"/>
        <v>物业管理</v>
      </c>
      <c r="AA38" s="1562">
        <f t="shared" si="3"/>
        <v>1</v>
      </c>
      <c r="AB38" s="1562">
        <f t="shared" si="4"/>
        <v>1</v>
      </c>
      <c r="AC38" s="1562">
        <f t="shared" si="5"/>
        <v>1</v>
      </c>
    </row>
    <row r="39" spans="1:29" ht="15">
      <c r="A39" s="594"/>
      <c r="B39" s="1880"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77"/>
      <c r="Q39" s="1558" t="str">
        <f t="shared" si="11"/>
        <v>市政基础设施</v>
      </c>
      <c r="R39" s="1559" t="s">
        <v>11</v>
      </c>
      <c r="S39" s="1560">
        <f t="shared" si="12"/>
        <v>100</v>
      </c>
      <c r="T39" s="1559" t="s">
        <v>11</v>
      </c>
      <c r="U39" s="1560">
        <f t="shared" si="13"/>
        <v>100</v>
      </c>
      <c r="V39" s="1559" t="s">
        <v>11</v>
      </c>
      <c r="W39" s="1560">
        <f t="shared" si="14"/>
        <v>100</v>
      </c>
      <c r="X39" s="1553"/>
      <c r="Y39" s="3377"/>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77"/>
      <c r="Q40" s="1558" t="str">
        <f t="shared" si="11"/>
        <v>房型</v>
      </c>
      <c r="R40" s="1559" t="s">
        <v>11</v>
      </c>
      <c r="S40" s="1560">
        <f t="shared" si="12"/>
        <v>100</v>
      </c>
      <c r="T40" s="1559" t="s">
        <v>11</v>
      </c>
      <c r="U40" s="1560">
        <f t="shared" si="13"/>
        <v>100</v>
      </c>
      <c r="V40" s="1559" t="s">
        <v>11</v>
      </c>
      <c r="W40" s="1560">
        <f t="shared" si="14"/>
        <v>100</v>
      </c>
      <c r="X40" s="1553"/>
      <c r="Y40" s="3377"/>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77"/>
      <c r="Q41" s="1590" t="str">
        <f t="shared" si="11"/>
        <v>单套/主力户型建筑面积</v>
      </c>
      <c r="R41" s="1563" t="s">
        <v>11</v>
      </c>
      <c r="S41" s="1564">
        <f t="shared" si="12"/>
        <v>100</v>
      </c>
      <c r="T41" s="1563" t="s">
        <v>11</v>
      </c>
      <c r="U41" s="1564">
        <f t="shared" si="13"/>
        <v>100</v>
      </c>
      <c r="V41" s="1563" t="s">
        <v>11</v>
      </c>
      <c r="W41" s="1564">
        <f t="shared" si="14"/>
        <v>100</v>
      </c>
      <c r="X41" s="1565"/>
      <c r="Y41" s="3377"/>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77"/>
      <c r="Q42" s="1558" t="str">
        <f t="shared" si="11"/>
        <v>内部装修</v>
      </c>
      <c r="R42" s="1559" t="s">
        <v>11</v>
      </c>
      <c r="S42" s="1560">
        <f t="shared" si="12"/>
        <v>100</v>
      </c>
      <c r="T42" s="1559" t="s">
        <v>11</v>
      </c>
      <c r="U42" s="1560">
        <f t="shared" si="13"/>
        <v>100</v>
      </c>
      <c r="V42" s="1559" t="s">
        <v>11</v>
      </c>
      <c r="W42" s="1560">
        <f t="shared" si="14"/>
        <v>100</v>
      </c>
      <c r="X42" s="1553"/>
      <c r="Y42" s="3377"/>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77"/>
      <c r="Q43" s="1558" t="str">
        <f t="shared" si="11"/>
        <v>内部装修维护情况</v>
      </c>
      <c r="R43" s="1559" t="s">
        <v>11</v>
      </c>
      <c r="S43" s="1560">
        <f t="shared" si="12"/>
        <v>100</v>
      </c>
      <c r="T43" s="1559" t="s">
        <v>11</v>
      </c>
      <c r="U43" s="1560">
        <f t="shared" si="13"/>
        <v>100</v>
      </c>
      <c r="V43" s="1559" t="s">
        <v>11</v>
      </c>
      <c r="W43" s="1560">
        <f t="shared" si="14"/>
        <v>100</v>
      </c>
      <c r="X43" s="1553"/>
      <c r="Y43" s="337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77"/>
      <c r="Q44" s="1146">
        <f t="shared" si="11"/>
        <v>111</v>
      </c>
      <c r="R44" s="1554" t="s">
        <v>11</v>
      </c>
      <c r="S44" s="1555">
        <f t="shared" si="12"/>
        <v>100</v>
      </c>
      <c r="T44" s="1554" t="s">
        <v>11</v>
      </c>
      <c r="U44" s="1555">
        <f t="shared" si="13"/>
        <v>100</v>
      </c>
      <c r="V44" s="1554" t="s">
        <v>11</v>
      </c>
      <c r="W44" s="1555">
        <f t="shared" si="14"/>
        <v>100</v>
      </c>
      <c r="X44" s="1556"/>
      <c r="Y44" s="337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77"/>
      <c r="Q45" s="1558">
        <f t="shared" si="11"/>
        <v>111</v>
      </c>
      <c r="R45" s="1559" t="s">
        <v>11</v>
      </c>
      <c r="S45" s="1560">
        <f t="shared" si="12"/>
        <v>100</v>
      </c>
      <c r="T45" s="1559" t="s">
        <v>11</v>
      </c>
      <c r="U45" s="1560">
        <f t="shared" si="13"/>
        <v>100</v>
      </c>
      <c r="V45" s="1559" t="s">
        <v>11</v>
      </c>
      <c r="W45" s="1560">
        <f t="shared" si="14"/>
        <v>100</v>
      </c>
      <c r="X45" s="1553"/>
      <c r="Y45" s="3377"/>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7"/>
      <c r="Q46" s="1558">
        <f t="shared" si="11"/>
        <v>111</v>
      </c>
      <c r="R46" s="1559" t="s">
        <v>10</v>
      </c>
      <c r="S46" s="1560">
        <f t="shared" si="12"/>
        <v>100</v>
      </c>
      <c r="T46" s="1559" t="s">
        <v>10</v>
      </c>
      <c r="U46" s="1560">
        <f t="shared" si="13"/>
        <v>100</v>
      </c>
      <c r="V46" s="1559" t="s">
        <v>10</v>
      </c>
      <c r="W46" s="1560">
        <f t="shared" si="14"/>
        <v>100</v>
      </c>
      <c r="X46" s="1553"/>
      <c r="Y46" s="3477"/>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2" t="str">
        <f>A47</f>
        <v>成交单价（元/平方米）</v>
      </c>
      <c r="Q47" s="3372"/>
      <c r="R47" s="3476">
        <f>E47</f>
        <v>0</v>
      </c>
      <c r="S47" s="3476"/>
      <c r="T47" s="3476">
        <f>G47</f>
        <v>0</v>
      </c>
      <c r="U47" s="3476"/>
      <c r="V47" s="3476">
        <f>I47</f>
        <v>0</v>
      </c>
      <c r="W47" s="3476"/>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2"/>
      <c r="L48" s="2129"/>
      <c r="M48" s="2130"/>
      <c r="N48" s="2130"/>
      <c r="O48" s="2130"/>
      <c r="P48" s="3372" t="str">
        <f>A48</f>
        <v>比较价格（元/平方米）</v>
      </c>
      <c r="Q48" s="337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5"/>
      <c r="Y48" s="1545"/>
      <c r="Z48" s="1545"/>
      <c r="AA48" s="1545"/>
      <c r="AB48" s="1545"/>
      <c r="AC48" s="1545"/>
    </row>
    <row r="49" spans="1:29" ht="15.75" thickBot="1">
      <c r="A49" s="621" t="s">
        <v>2929</v>
      </c>
      <c r="B49" s="622"/>
      <c r="C49" s="2600" t="e">
        <f>R49</f>
        <v>#DIV/0!</v>
      </c>
      <c r="D49" s="2600"/>
      <c r="E49" s="2600"/>
      <c r="F49" s="2600"/>
      <c r="G49" s="2600"/>
      <c r="H49" s="2600"/>
      <c r="I49" s="2600"/>
      <c r="J49" s="2600"/>
      <c r="K49" s="1593"/>
      <c r="L49" s="2129"/>
      <c r="M49" s="2130"/>
      <c r="N49" s="2130"/>
      <c r="O49" s="2130"/>
      <c r="P49" s="3393" t="str">
        <f>A49</f>
        <v>估价对象XX用房的比较价格（楼面单价，元/平方米）</v>
      </c>
      <c r="Q49" s="3394"/>
      <c r="R49" s="3475" t="e">
        <f>IF(F1="售价",ROUND(AVERAGE(R48:V48),0),ROUND(AVERAGE(R48:V48),1))</f>
        <v>#DIV/0!</v>
      </c>
      <c r="S49" s="3475"/>
      <c r="T49" s="3475"/>
      <c r="U49" s="3475"/>
      <c r="V49" s="3475"/>
      <c r="W49" s="347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2550</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8" t="s">
        <v>522</v>
      </c>
      <c r="D4" s="3379"/>
      <c r="E4" s="3402" t="s">
        <v>523</v>
      </c>
      <c r="F4" s="3403"/>
      <c r="G4" s="3378" t="s">
        <v>524</v>
      </c>
      <c r="H4" s="3379"/>
      <c r="I4" s="3378" t="s">
        <v>525</v>
      </c>
      <c r="J4" s="3379"/>
      <c r="K4" s="514" t="s">
        <v>526</v>
      </c>
      <c r="L4" s="2118"/>
      <c r="M4" s="2119"/>
      <c r="N4" s="2119"/>
      <c r="O4" s="2119"/>
      <c r="P4" s="3380" t="s">
        <v>527</v>
      </c>
      <c r="Q4" s="3381"/>
      <c r="R4" s="3366" t="s">
        <v>523</v>
      </c>
      <c r="S4" s="3367"/>
      <c r="T4" s="3366" t="s">
        <v>524</v>
      </c>
      <c r="U4" s="3367"/>
      <c r="V4" s="3386" t="s">
        <v>525</v>
      </c>
      <c r="W4" s="3386"/>
      <c r="X4" s="1553"/>
      <c r="Y4" s="3366" t="s">
        <v>527</v>
      </c>
      <c r="Z4" s="3367"/>
      <c r="AA4" s="3361" t="s">
        <v>523</v>
      </c>
      <c r="AB4" s="3386" t="s">
        <v>524</v>
      </c>
      <c r="AC4" s="3361" t="s">
        <v>525</v>
      </c>
    </row>
    <row r="5" spans="1:29" ht="15">
      <c r="A5" s="515"/>
      <c r="B5" s="516"/>
      <c r="C5" s="3389" t="s">
        <v>2923</v>
      </c>
      <c r="D5" s="3390"/>
      <c r="E5" s="3404" t="s">
        <v>2924</v>
      </c>
      <c r="F5" s="3405"/>
      <c r="G5" s="3389" t="s">
        <v>2925</v>
      </c>
      <c r="H5" s="3390"/>
      <c r="I5" s="3389" t="s">
        <v>2926</v>
      </c>
      <c r="J5" s="3390"/>
      <c r="K5" s="514"/>
      <c r="L5" s="2118"/>
      <c r="M5" s="2119"/>
      <c r="N5" s="2119"/>
      <c r="O5" s="2119"/>
      <c r="P5" s="3382"/>
      <c r="Q5" s="3383"/>
      <c r="R5" s="3368"/>
      <c r="S5" s="3369"/>
      <c r="T5" s="3368"/>
      <c r="U5" s="3369"/>
      <c r="V5" s="3386"/>
      <c r="W5" s="3386"/>
      <c r="X5" s="1553"/>
      <c r="Y5" s="3368"/>
      <c r="Z5" s="3369"/>
      <c r="AA5" s="3362"/>
      <c r="AB5" s="3386"/>
      <c r="AC5" s="3362"/>
    </row>
    <row r="6" spans="1:29" ht="15.75" thickBot="1">
      <c r="A6" s="517"/>
      <c r="B6" s="518"/>
      <c r="C6" s="3387" t="s">
        <v>2927</v>
      </c>
      <c r="D6" s="3388"/>
      <c r="E6" s="3406" t="s">
        <v>2927</v>
      </c>
      <c r="F6" s="3407"/>
      <c r="G6" s="3387" t="s">
        <v>2927</v>
      </c>
      <c r="H6" s="3388"/>
      <c r="I6" s="3387" t="s">
        <v>2927</v>
      </c>
      <c r="J6" s="3388"/>
      <c r="K6" s="514" t="s">
        <v>528</v>
      </c>
      <c r="L6" s="2118"/>
      <c r="M6" s="2119"/>
      <c r="N6" s="2119"/>
      <c r="O6" s="2119"/>
      <c r="P6" s="3384"/>
      <c r="Q6" s="3385"/>
      <c r="R6" s="3368"/>
      <c r="S6" s="3369"/>
      <c r="T6" s="3370"/>
      <c r="U6" s="3371"/>
      <c r="V6" s="3386"/>
      <c r="W6" s="3386"/>
      <c r="X6" s="1553"/>
      <c r="Y6" s="3370"/>
      <c r="Z6" s="3371"/>
      <c r="AA6" s="3363"/>
      <c r="AB6" s="3386"/>
      <c r="AC6" s="3363"/>
    </row>
    <row r="7" spans="1:29" s="1215" customFormat="1" ht="15.75" thickBot="1">
      <c r="A7" s="2867"/>
      <c r="B7" s="2874" t="s">
        <v>529</v>
      </c>
      <c r="C7" s="519">
        <f>'数据-取费表'!B2</f>
        <v>44034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4" t="s">
        <v>530</v>
      </c>
      <c r="Q7" s="3373"/>
      <c r="R7" s="1554" t="s">
        <v>8</v>
      </c>
      <c r="S7" s="1555">
        <f t="shared" ref="S7:S15" si="0">F7</f>
        <v>0</v>
      </c>
      <c r="T7" s="1554" t="s">
        <v>8</v>
      </c>
      <c r="U7" s="1555">
        <f t="shared" ref="U7:U15" si="1">H7</f>
        <v>0</v>
      </c>
      <c r="V7" s="1554" t="s">
        <v>8</v>
      </c>
      <c r="W7" s="1555">
        <f t="shared" ref="W7:W15" si="2">J7</f>
        <v>0</v>
      </c>
      <c r="X7" s="1556"/>
      <c r="Y7" s="3364" t="s">
        <v>530</v>
      </c>
      <c r="Z7" s="3365"/>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4" t="s">
        <v>533</v>
      </c>
      <c r="Q8" s="3365"/>
      <c r="R8" s="1554" t="s">
        <v>8</v>
      </c>
      <c r="S8" s="1555">
        <f t="shared" si="0"/>
        <v>0</v>
      </c>
      <c r="T8" s="1554" t="s">
        <v>8</v>
      </c>
      <c r="U8" s="1555">
        <f t="shared" si="1"/>
        <v>0</v>
      </c>
      <c r="V8" s="1554" t="s">
        <v>8</v>
      </c>
      <c r="W8" s="1555">
        <f t="shared" si="2"/>
        <v>0</v>
      </c>
      <c r="X8" s="1556"/>
      <c r="Y8" s="3364" t="s">
        <v>533</v>
      </c>
      <c r="Z8" s="3365"/>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2" t="s">
        <v>535</v>
      </c>
      <c r="Q9" s="1146" t="str">
        <f t="shared" ref="Q9:Q15" si="6">B9</f>
        <v>用途</v>
      </c>
      <c r="R9" s="1554" t="s">
        <v>8</v>
      </c>
      <c r="S9" s="1555">
        <f t="shared" si="0"/>
        <v>100</v>
      </c>
      <c r="T9" s="1554" t="s">
        <v>8</v>
      </c>
      <c r="U9" s="1555">
        <f t="shared" si="1"/>
        <v>100</v>
      </c>
      <c r="V9" s="1554" t="s">
        <v>8</v>
      </c>
      <c r="W9" s="1555">
        <f t="shared" si="2"/>
        <v>100</v>
      </c>
      <c r="X9" s="1556"/>
      <c r="Y9" s="332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26"/>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2"/>
      <c r="Q11" s="1146" t="str">
        <f t="shared" si="6"/>
        <v>容积率</v>
      </c>
      <c r="R11" s="1554" t="s">
        <v>8</v>
      </c>
      <c r="S11" s="1555" t="e">
        <f t="shared" si="0"/>
        <v>#N/A</v>
      </c>
      <c r="T11" s="1554" t="s">
        <v>8</v>
      </c>
      <c r="U11" s="1555" t="e">
        <f t="shared" si="1"/>
        <v>#N/A</v>
      </c>
      <c r="V11" s="1554" t="s">
        <v>8</v>
      </c>
      <c r="W11" s="1555" t="e">
        <f t="shared" si="2"/>
        <v>#N/A</v>
      </c>
      <c r="X11" s="1556"/>
      <c r="Y11" s="33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26"/>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26"/>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2"/>
      <c r="Q14" s="1146">
        <f t="shared" si="6"/>
        <v>111</v>
      </c>
      <c r="R14" s="1554" t="s">
        <v>8</v>
      </c>
      <c r="S14" s="1555">
        <f t="shared" si="0"/>
        <v>100</v>
      </c>
      <c r="T14" s="1554" t="s">
        <v>8</v>
      </c>
      <c r="U14" s="1555">
        <f t="shared" si="1"/>
        <v>100</v>
      </c>
      <c r="V14" s="1554" t="s">
        <v>8</v>
      </c>
      <c r="W14" s="1555">
        <f t="shared" si="2"/>
        <v>100</v>
      </c>
      <c r="X14" s="1556"/>
      <c r="Y14" s="3326"/>
      <c r="Z14" s="1145">
        <f t="shared" si="7"/>
        <v>111</v>
      </c>
      <c r="AA14" s="1557">
        <f t="shared" si="3"/>
        <v>1</v>
      </c>
      <c r="AB14" s="1557">
        <f t="shared" si="4"/>
        <v>1</v>
      </c>
      <c r="AC14" s="1557">
        <f t="shared" si="5"/>
        <v>1</v>
      </c>
    </row>
    <row r="15" spans="1:29" ht="71.25">
      <c r="A15" s="2865"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4" t="s">
        <v>540</v>
      </c>
      <c r="Q15" s="1558" t="str">
        <f t="shared" si="6"/>
        <v>商业繁华度</v>
      </c>
      <c r="R15" s="1559" t="s">
        <v>8</v>
      </c>
      <c r="S15" s="1560">
        <f t="shared" si="0"/>
        <v>100</v>
      </c>
      <c r="T15" s="1559" t="s">
        <v>8</v>
      </c>
      <c r="U15" s="1560">
        <f t="shared" si="1"/>
        <v>100</v>
      </c>
      <c r="V15" s="1559" t="s">
        <v>8</v>
      </c>
      <c r="W15" s="1560">
        <f t="shared" si="2"/>
        <v>100</v>
      </c>
      <c r="X15" s="1553"/>
      <c r="Y15" s="3374"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5"/>
      <c r="Q16" s="1558"/>
      <c r="R16" s="1559"/>
      <c r="S16" s="1560"/>
      <c r="T16" s="1559"/>
      <c r="U16" s="1560"/>
      <c r="V16" s="1559"/>
      <c r="W16" s="1560"/>
      <c r="X16" s="1553"/>
      <c r="Y16" s="3375"/>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75"/>
      <c r="Q17" s="1558" t="str">
        <f>B17</f>
        <v>交通便捷度</v>
      </c>
      <c r="R17" s="1559" t="s">
        <v>8</v>
      </c>
      <c r="S17" s="1560">
        <f>F17</f>
        <v>100</v>
      </c>
      <c r="T17" s="1559" t="s">
        <v>8</v>
      </c>
      <c r="U17" s="1560">
        <f>H17</f>
        <v>100</v>
      </c>
      <c r="V17" s="1559" t="s">
        <v>8</v>
      </c>
      <c r="W17" s="1560">
        <f>J17</f>
        <v>100</v>
      </c>
      <c r="X17" s="1553"/>
      <c r="Y17" s="337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5"/>
      <c r="Q18" s="1558"/>
      <c r="R18" s="1559"/>
      <c r="S18" s="1560"/>
      <c r="T18" s="1559"/>
      <c r="U18" s="1560"/>
      <c r="V18" s="1559"/>
      <c r="W18" s="1560"/>
      <c r="X18" s="1553"/>
      <c r="Y18" s="3375"/>
      <c r="Z18" s="1561"/>
      <c r="AA18" s="1562">
        <v>1</v>
      </c>
      <c r="AB18" s="1562">
        <v>1</v>
      </c>
      <c r="AC18" s="1562">
        <v>1</v>
      </c>
    </row>
    <row r="19" spans="1:29" ht="42.75">
      <c r="A19" s="532"/>
      <c r="B19" s="2564"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75"/>
      <c r="Q19" s="1558" t="str">
        <f>B19</f>
        <v>公共配套设施</v>
      </c>
      <c r="R19" s="1559" t="s">
        <v>8</v>
      </c>
      <c r="S19" s="1560">
        <f>F19</f>
        <v>100</v>
      </c>
      <c r="T19" s="1559" t="s">
        <v>8</v>
      </c>
      <c r="U19" s="1560">
        <f>H19</f>
        <v>100</v>
      </c>
      <c r="V19" s="1559" t="s">
        <v>8</v>
      </c>
      <c r="W19" s="1560">
        <f>J19</f>
        <v>100</v>
      </c>
      <c r="X19" s="1553"/>
      <c r="Y19" s="337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75"/>
      <c r="Q20" s="1558"/>
      <c r="R20" s="1559"/>
      <c r="S20" s="1560"/>
      <c r="T20" s="1559"/>
      <c r="U20" s="1560"/>
      <c r="V20" s="1559"/>
      <c r="W20" s="1560"/>
      <c r="X20" s="1553"/>
      <c r="Y20" s="3375"/>
      <c r="Z20" s="1561"/>
      <c r="AA20" s="1562">
        <v>1</v>
      </c>
      <c r="AB20" s="1562">
        <v>1</v>
      </c>
      <c r="AC20" s="1562">
        <v>1</v>
      </c>
    </row>
    <row r="21" spans="1:29" ht="28.5">
      <c r="A21" s="532"/>
      <c r="B21" s="2557"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75"/>
      <c r="Q21" s="2543" t="str">
        <f>B21</f>
        <v>基础设施水平</v>
      </c>
      <c r="R21" s="1559" t="s">
        <v>8</v>
      </c>
      <c r="S21" s="1560">
        <f>F21</f>
        <v>100</v>
      </c>
      <c r="T21" s="1559" t="s">
        <v>8</v>
      </c>
      <c r="U21" s="1560">
        <f>H21</f>
        <v>100</v>
      </c>
      <c r="V21" s="1559" t="s">
        <v>8</v>
      </c>
      <c r="W21" s="1560">
        <f>J21</f>
        <v>100</v>
      </c>
      <c r="X21" s="2545"/>
      <c r="Y21" s="3375"/>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75"/>
      <c r="Q22" s="2543"/>
      <c r="R22" s="1559"/>
      <c r="S22" s="1560"/>
      <c r="T22" s="1559"/>
      <c r="U22" s="1560"/>
      <c r="V22" s="1559"/>
      <c r="W22" s="1560"/>
      <c r="X22" s="2545"/>
      <c r="Y22" s="3375"/>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75"/>
      <c r="Q23" s="1558" t="str">
        <f>B23</f>
        <v>自然及人文环境</v>
      </c>
      <c r="R23" s="1559" t="s">
        <v>8</v>
      </c>
      <c r="S23" s="1560">
        <f>F23</f>
        <v>100</v>
      </c>
      <c r="T23" s="1559" t="s">
        <v>8</v>
      </c>
      <c r="U23" s="1560">
        <f>H23</f>
        <v>100</v>
      </c>
      <c r="V23" s="1559" t="s">
        <v>8</v>
      </c>
      <c r="W23" s="1560">
        <f>J23</f>
        <v>100</v>
      </c>
      <c r="X23" s="1553"/>
      <c r="Y23" s="337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75"/>
      <c r="Q24" s="1558"/>
      <c r="R24" s="1559"/>
      <c r="S24" s="1560"/>
      <c r="T24" s="1559"/>
      <c r="U24" s="1560"/>
      <c r="V24" s="1559"/>
      <c r="W24" s="1560"/>
      <c r="X24" s="1553"/>
      <c r="Y24" s="3375"/>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75"/>
      <c r="Q25" s="1558" t="str">
        <f t="shared" ref="Q25:Q46" si="11">B25</f>
        <v>临街状况</v>
      </c>
      <c r="R25" s="1559" t="s">
        <v>8</v>
      </c>
      <c r="S25" s="1560">
        <f>F25</f>
        <v>100</v>
      </c>
      <c r="T25" s="1559" t="s">
        <v>8</v>
      </c>
      <c r="U25" s="1560">
        <f>H25</f>
        <v>100</v>
      </c>
      <c r="V25" s="1559" t="s">
        <v>8</v>
      </c>
      <c r="W25" s="1560">
        <f>J25</f>
        <v>100</v>
      </c>
      <c r="X25" s="1553"/>
      <c r="Y25" s="3375"/>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75"/>
      <c r="Q26" s="1558" t="str">
        <f t="shared" si="11"/>
        <v>平面位置/可视性</v>
      </c>
      <c r="R26" s="1559" t="s">
        <v>8</v>
      </c>
      <c r="S26" s="1560">
        <f>F26</f>
        <v>100</v>
      </c>
      <c r="T26" s="1559" t="s">
        <v>8</v>
      </c>
      <c r="U26" s="1560">
        <f>H26</f>
        <v>100</v>
      </c>
      <c r="V26" s="1559" t="s">
        <v>8</v>
      </c>
      <c r="W26" s="1560">
        <f>J26</f>
        <v>100</v>
      </c>
      <c r="X26" s="1553"/>
      <c r="Y26" s="3375"/>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75"/>
      <c r="Q27" s="1146" t="str">
        <f t="shared" si="11"/>
        <v>人流量</v>
      </c>
      <c r="R27" s="1554" t="s">
        <v>8</v>
      </c>
      <c r="S27" s="1555">
        <f>F27</f>
        <v>100</v>
      </c>
      <c r="T27" s="1554" t="s">
        <v>8</v>
      </c>
      <c r="U27" s="1555">
        <f>H27</f>
        <v>100</v>
      </c>
      <c r="V27" s="1554" t="s">
        <v>8</v>
      </c>
      <c r="W27" s="1555">
        <f>J27</f>
        <v>100</v>
      </c>
      <c r="X27" s="1556"/>
      <c r="Y27" s="3375"/>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7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7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75"/>
      <c r="Q29" s="1558">
        <f t="shared" si="11"/>
        <v>111</v>
      </c>
      <c r="R29" s="1559" t="s">
        <v>8</v>
      </c>
      <c r="S29" s="1560">
        <f t="shared" si="12"/>
        <v>100</v>
      </c>
      <c r="T29" s="1559" t="s">
        <v>8</v>
      </c>
      <c r="U29" s="1560">
        <f t="shared" si="13"/>
        <v>100</v>
      </c>
      <c r="V29" s="1559" t="s">
        <v>8</v>
      </c>
      <c r="W29" s="1560">
        <f t="shared" si="14"/>
        <v>100</v>
      </c>
      <c r="X29" s="1553"/>
      <c r="Y29" s="337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75"/>
      <c r="Q30" s="1558">
        <f t="shared" si="11"/>
        <v>111</v>
      </c>
      <c r="R30" s="1559" t="s">
        <v>8</v>
      </c>
      <c r="S30" s="1560">
        <f t="shared" si="12"/>
        <v>100</v>
      </c>
      <c r="T30" s="1559" t="s">
        <v>8</v>
      </c>
      <c r="U30" s="1560">
        <f t="shared" si="13"/>
        <v>100</v>
      </c>
      <c r="V30" s="1559" t="s">
        <v>8</v>
      </c>
      <c r="W30" s="1560">
        <f t="shared" si="14"/>
        <v>100</v>
      </c>
      <c r="X30" s="1553"/>
      <c r="Y30" s="3375"/>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75"/>
      <c r="Q31" s="1558">
        <f t="shared" si="11"/>
        <v>111</v>
      </c>
      <c r="R31" s="1559" t="s">
        <v>8</v>
      </c>
      <c r="S31" s="1560">
        <f t="shared" si="12"/>
        <v>100</v>
      </c>
      <c r="T31" s="1559" t="s">
        <v>8</v>
      </c>
      <c r="U31" s="1560">
        <f t="shared" si="13"/>
        <v>100</v>
      </c>
      <c r="V31" s="1559" t="s">
        <v>8</v>
      </c>
      <c r="W31" s="1560">
        <f t="shared" si="14"/>
        <v>100</v>
      </c>
      <c r="X31" s="1553"/>
      <c r="Y31" s="3375"/>
      <c r="Z31" s="1561">
        <f t="shared" si="15"/>
        <v>111</v>
      </c>
      <c r="AA31" s="1562">
        <f t="shared" si="3"/>
        <v>1</v>
      </c>
      <c r="AB31" s="1562">
        <f t="shared" si="4"/>
        <v>1</v>
      </c>
      <c r="AC31" s="1562">
        <f t="shared" si="5"/>
        <v>1</v>
      </c>
    </row>
    <row r="32" spans="1:29" ht="15">
      <c r="A32" s="2862"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76" t="s">
        <v>550</v>
      </c>
      <c r="Q32" s="1558" t="str">
        <f t="shared" si="11"/>
        <v>商业类型</v>
      </c>
      <c r="R32" s="1559" t="s">
        <v>8</v>
      </c>
      <c r="S32" s="1560">
        <f t="shared" si="12"/>
        <v>100</v>
      </c>
      <c r="T32" s="1559" t="s">
        <v>8</v>
      </c>
      <c r="U32" s="1560">
        <f t="shared" si="13"/>
        <v>100</v>
      </c>
      <c r="V32" s="1559" t="s">
        <v>8</v>
      </c>
      <c r="W32" s="1560">
        <f t="shared" si="14"/>
        <v>100</v>
      </c>
      <c r="X32" s="1553"/>
      <c r="Y32" s="3377"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77"/>
      <c r="Q33" s="1590" t="str">
        <f t="shared" si="11"/>
        <v>项目建筑规模</v>
      </c>
      <c r="R33" s="1563" t="s">
        <v>8</v>
      </c>
      <c r="S33" s="1564" t="e">
        <f t="shared" si="12"/>
        <v>#N/A</v>
      </c>
      <c r="T33" s="1563" t="s">
        <v>8</v>
      </c>
      <c r="U33" s="1564" t="e">
        <f t="shared" si="13"/>
        <v>#N/A</v>
      </c>
      <c r="V33" s="1563" t="s">
        <v>8</v>
      </c>
      <c r="W33" s="1564" t="e">
        <f t="shared" si="14"/>
        <v>#N/A</v>
      </c>
      <c r="X33" s="1565"/>
      <c r="Y33" s="3377"/>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77"/>
      <c r="Q34" s="1558" t="str">
        <f t="shared" si="11"/>
        <v>建筑结构</v>
      </c>
      <c r="R34" s="1559" t="s">
        <v>8</v>
      </c>
      <c r="S34" s="1560">
        <f t="shared" si="12"/>
        <v>100</v>
      </c>
      <c r="T34" s="1559" t="s">
        <v>8</v>
      </c>
      <c r="U34" s="1560">
        <f t="shared" si="13"/>
        <v>100</v>
      </c>
      <c r="V34" s="1559" t="s">
        <v>8</v>
      </c>
      <c r="W34" s="1560">
        <f t="shared" si="14"/>
        <v>100</v>
      </c>
      <c r="X34" s="1553"/>
      <c r="Y34" s="3377"/>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77"/>
      <c r="Q35" s="1558" t="str">
        <f t="shared" si="11"/>
        <v>公共部分装修</v>
      </c>
      <c r="R35" s="1559" t="s">
        <v>8</v>
      </c>
      <c r="S35" s="1560">
        <f t="shared" si="12"/>
        <v>100</v>
      </c>
      <c r="T35" s="1559" t="s">
        <v>8</v>
      </c>
      <c r="U35" s="1560">
        <f t="shared" si="13"/>
        <v>100</v>
      </c>
      <c r="V35" s="1559" t="s">
        <v>8</v>
      </c>
      <c r="W35" s="1560">
        <f t="shared" si="14"/>
        <v>100</v>
      </c>
      <c r="X35" s="1553"/>
      <c r="Y35" s="3377"/>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77"/>
      <c r="Q36" s="1558" t="str">
        <f t="shared" si="11"/>
        <v>成新度</v>
      </c>
      <c r="R36" s="1559" t="s">
        <v>8</v>
      </c>
      <c r="S36" s="1560" t="e">
        <f t="shared" si="12"/>
        <v>#N/A</v>
      </c>
      <c r="T36" s="1559" t="s">
        <v>8</v>
      </c>
      <c r="U36" s="1560" t="e">
        <f t="shared" si="13"/>
        <v>#N/A</v>
      </c>
      <c r="V36" s="1559" t="s">
        <v>8</v>
      </c>
      <c r="W36" s="1560" t="e">
        <f t="shared" si="14"/>
        <v>#N/A</v>
      </c>
      <c r="X36" s="1553"/>
      <c r="Y36" s="3377"/>
      <c r="Z36" s="1561" t="str">
        <f t="shared" si="15"/>
        <v>成新度</v>
      </c>
      <c r="AA36" s="1562" t="e">
        <f t="shared" si="3"/>
        <v>#N/A</v>
      </c>
      <c r="AB36" s="1562" t="e">
        <f t="shared" si="4"/>
        <v>#N/A</v>
      </c>
      <c r="AC36" s="1562" t="e">
        <f t="shared" si="5"/>
        <v>#N/A</v>
      </c>
    </row>
    <row r="37" spans="1:29" s="1215" customFormat="1" ht="15">
      <c r="A37" s="600"/>
      <c r="B37" s="1880"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77"/>
      <c r="Q37" s="1146" t="str">
        <f t="shared" si="11"/>
        <v>市政基础设施</v>
      </c>
      <c r="R37" s="1554" t="s">
        <v>8</v>
      </c>
      <c r="S37" s="1555">
        <f t="shared" si="12"/>
        <v>100</v>
      </c>
      <c r="T37" s="1554" t="s">
        <v>8</v>
      </c>
      <c r="U37" s="1555">
        <f t="shared" si="13"/>
        <v>100</v>
      </c>
      <c r="V37" s="1554" t="s">
        <v>8</v>
      </c>
      <c r="W37" s="1555">
        <f t="shared" si="14"/>
        <v>100</v>
      </c>
      <c r="X37" s="1556"/>
      <c r="Y37" s="3377"/>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77" t="s">
        <v>766</v>
      </c>
      <c r="Q38" s="1558" t="str">
        <f t="shared" si="11"/>
        <v>业态</v>
      </c>
      <c r="R38" s="1559" t="s">
        <v>8</v>
      </c>
      <c r="S38" s="1560">
        <f t="shared" si="12"/>
        <v>100</v>
      </c>
      <c r="T38" s="1559" t="s">
        <v>8</v>
      </c>
      <c r="U38" s="1560">
        <f t="shared" si="13"/>
        <v>100</v>
      </c>
      <c r="V38" s="1559" t="s">
        <v>8</v>
      </c>
      <c r="W38" s="1560">
        <f t="shared" si="14"/>
        <v>100</v>
      </c>
      <c r="X38" s="1553"/>
      <c r="Y38" s="3377"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7"/>
      <c r="Q39" s="1558" t="str">
        <f t="shared" si="11"/>
        <v>层高</v>
      </c>
      <c r="R39" s="1559" t="s">
        <v>8</v>
      </c>
      <c r="S39" s="1560">
        <f t="shared" si="12"/>
        <v>100</v>
      </c>
      <c r="T39" s="1559" t="s">
        <v>8</v>
      </c>
      <c r="U39" s="1560">
        <f t="shared" si="13"/>
        <v>100</v>
      </c>
      <c r="V39" s="1559" t="s">
        <v>8</v>
      </c>
      <c r="W39" s="1560">
        <f t="shared" si="14"/>
        <v>100</v>
      </c>
      <c r="X39" s="1553"/>
      <c r="Y39" s="3377"/>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77"/>
      <c r="Q40" s="1558" t="str">
        <f t="shared" si="11"/>
        <v>单套建筑面积</v>
      </c>
      <c r="R40" s="1559" t="s">
        <v>8</v>
      </c>
      <c r="S40" s="1560">
        <f t="shared" si="12"/>
        <v>100</v>
      </c>
      <c r="T40" s="1559" t="s">
        <v>8</v>
      </c>
      <c r="U40" s="1560">
        <f t="shared" si="13"/>
        <v>100</v>
      </c>
      <c r="V40" s="1559" t="s">
        <v>8</v>
      </c>
      <c r="W40" s="1560">
        <f t="shared" si="14"/>
        <v>100</v>
      </c>
      <c r="X40" s="1553"/>
      <c r="Y40" s="3377"/>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77"/>
      <c r="Q41" s="1590" t="str">
        <f t="shared" si="11"/>
        <v>进深比</v>
      </c>
      <c r="R41" s="1563" t="s">
        <v>8</v>
      </c>
      <c r="S41" s="1564">
        <f t="shared" si="12"/>
        <v>100</v>
      </c>
      <c r="T41" s="1563" t="s">
        <v>8</v>
      </c>
      <c r="U41" s="1564">
        <f t="shared" si="13"/>
        <v>100</v>
      </c>
      <c r="V41" s="1563" t="s">
        <v>8</v>
      </c>
      <c r="W41" s="1564">
        <f t="shared" si="14"/>
        <v>100</v>
      </c>
      <c r="X41" s="1565"/>
      <c r="Y41" s="3377"/>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77"/>
      <c r="Q42" s="1558" t="str">
        <f t="shared" si="11"/>
        <v>内部装修</v>
      </c>
      <c r="R42" s="1559" t="s">
        <v>8</v>
      </c>
      <c r="S42" s="1560">
        <f t="shared" si="12"/>
        <v>100</v>
      </c>
      <c r="T42" s="1559" t="s">
        <v>8</v>
      </c>
      <c r="U42" s="1560">
        <f t="shared" si="13"/>
        <v>100</v>
      </c>
      <c r="V42" s="1559" t="s">
        <v>8</v>
      </c>
      <c r="W42" s="1560">
        <f t="shared" si="14"/>
        <v>100</v>
      </c>
      <c r="X42" s="1553"/>
      <c r="Y42" s="3377"/>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77"/>
      <c r="Q43" s="1558" t="str">
        <f t="shared" si="11"/>
        <v>内部装修维护情况</v>
      </c>
      <c r="R43" s="1559" t="s">
        <v>8</v>
      </c>
      <c r="S43" s="1560">
        <f t="shared" si="12"/>
        <v>100</v>
      </c>
      <c r="T43" s="1559" t="s">
        <v>8</v>
      </c>
      <c r="U43" s="1560">
        <f t="shared" si="13"/>
        <v>100</v>
      </c>
      <c r="V43" s="1559" t="s">
        <v>8</v>
      </c>
      <c r="W43" s="1560">
        <f t="shared" si="14"/>
        <v>100</v>
      </c>
      <c r="X43" s="1553"/>
      <c r="Y43" s="337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77"/>
      <c r="Q44" s="1146">
        <f t="shared" si="11"/>
        <v>111</v>
      </c>
      <c r="R44" s="1554" t="s">
        <v>8</v>
      </c>
      <c r="S44" s="1555">
        <f t="shared" si="12"/>
        <v>100</v>
      </c>
      <c r="T44" s="1554" t="s">
        <v>8</v>
      </c>
      <c r="U44" s="1555">
        <f t="shared" si="13"/>
        <v>100</v>
      </c>
      <c r="V44" s="1554" t="s">
        <v>8</v>
      </c>
      <c r="W44" s="1555">
        <f t="shared" si="14"/>
        <v>100</v>
      </c>
      <c r="X44" s="1556"/>
      <c r="Y44" s="337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77"/>
      <c r="Q45" s="1558">
        <f t="shared" si="11"/>
        <v>111</v>
      </c>
      <c r="R45" s="1559" t="s">
        <v>8</v>
      </c>
      <c r="S45" s="1560">
        <f t="shared" si="12"/>
        <v>100</v>
      </c>
      <c r="T45" s="1559" t="s">
        <v>8</v>
      </c>
      <c r="U45" s="1560">
        <f t="shared" si="13"/>
        <v>100</v>
      </c>
      <c r="V45" s="1559" t="s">
        <v>8</v>
      </c>
      <c r="W45" s="1560">
        <f t="shared" si="14"/>
        <v>100</v>
      </c>
      <c r="X45" s="1553"/>
      <c r="Y45" s="3377"/>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7"/>
      <c r="Q46" s="1558">
        <f t="shared" si="11"/>
        <v>111</v>
      </c>
      <c r="R46" s="1559" t="s">
        <v>8</v>
      </c>
      <c r="S46" s="1560">
        <f t="shared" si="12"/>
        <v>100</v>
      </c>
      <c r="T46" s="1559" t="s">
        <v>8</v>
      </c>
      <c r="U46" s="1560">
        <f t="shared" si="13"/>
        <v>100</v>
      </c>
      <c r="V46" s="1559" t="s">
        <v>8</v>
      </c>
      <c r="W46" s="1560">
        <f t="shared" si="14"/>
        <v>100</v>
      </c>
      <c r="X46" s="1553"/>
      <c r="Y46" s="3477"/>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2" t="str">
        <f>A47</f>
        <v>成交单价（元/平方米）</v>
      </c>
      <c r="Q47" s="3372"/>
      <c r="R47" s="3476">
        <f>E47</f>
        <v>0</v>
      </c>
      <c r="S47" s="3476"/>
      <c r="T47" s="3476">
        <f>G47</f>
        <v>0</v>
      </c>
      <c r="U47" s="3476"/>
      <c r="V47" s="3476">
        <f>I47</f>
        <v>0</v>
      </c>
      <c r="W47" s="3476"/>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7"/>
      <c r="L48" s="2129"/>
      <c r="M48" s="2130"/>
      <c r="N48" s="2119"/>
      <c r="O48" s="2130"/>
      <c r="P48" s="3372" t="str">
        <f>A48</f>
        <v>比较价格（元/平方米）</v>
      </c>
      <c r="Q48" s="337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5"/>
      <c r="Y48" s="1545"/>
      <c r="Z48" s="1545"/>
      <c r="AA48" s="1545"/>
      <c r="AB48" s="1545"/>
      <c r="AC48" s="1545"/>
    </row>
    <row r="49" spans="1:29" ht="15.75" thickBot="1">
      <c r="A49" s="621" t="s">
        <v>2929</v>
      </c>
      <c r="B49" s="622"/>
      <c r="C49" s="2600" t="e">
        <f>R49</f>
        <v>#DIV/0!</v>
      </c>
      <c r="D49" s="2600"/>
      <c r="E49" s="2600"/>
      <c r="F49" s="2600"/>
      <c r="G49" s="2600"/>
      <c r="H49" s="2600"/>
      <c r="I49" s="2600"/>
      <c r="J49" s="2600"/>
      <c r="K49" s="1598"/>
      <c r="L49" s="2129"/>
      <c r="M49" s="2130"/>
      <c r="N49" s="2119"/>
      <c r="O49" s="2130"/>
      <c r="P49" s="3393" t="str">
        <f>A49</f>
        <v>估价对象XX用房的比较价格（楼面单价，元/平方米）</v>
      </c>
      <c r="Q49" s="3394"/>
      <c r="R49" s="3475" t="e">
        <f>IF(F1="售价",ROUND(AVERAGE(R48:V48),0),ROUND(AVERAGE(R48:V48),1))</f>
        <v>#DIV/0!</v>
      </c>
      <c r="S49" s="3475"/>
      <c r="T49" s="3475"/>
      <c r="U49" s="3475"/>
      <c r="V49" s="3475"/>
      <c r="W49" s="347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2550</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8" t="s">
        <v>522</v>
      </c>
      <c r="D4" s="3379"/>
      <c r="E4" s="3402" t="s">
        <v>523</v>
      </c>
      <c r="F4" s="3403"/>
      <c r="G4" s="3378" t="s">
        <v>524</v>
      </c>
      <c r="H4" s="3379"/>
      <c r="I4" s="3378" t="s">
        <v>525</v>
      </c>
      <c r="J4" s="3379"/>
      <c r="K4" s="514" t="s">
        <v>526</v>
      </c>
      <c r="L4" s="2118"/>
      <c r="M4" s="2119"/>
      <c r="N4" s="2119"/>
      <c r="O4" s="2119"/>
      <c r="P4" s="3478" t="s">
        <v>527</v>
      </c>
      <c r="Q4" s="3381"/>
      <c r="R4" s="3366" t="s">
        <v>523</v>
      </c>
      <c r="S4" s="3367"/>
      <c r="T4" s="3366" t="s">
        <v>524</v>
      </c>
      <c r="U4" s="3367"/>
      <c r="V4" s="3386" t="s">
        <v>525</v>
      </c>
      <c r="W4" s="3386"/>
      <c r="X4" s="1553"/>
      <c r="Y4" s="3366" t="s">
        <v>527</v>
      </c>
      <c r="Z4" s="3367"/>
      <c r="AA4" s="3361" t="s">
        <v>523</v>
      </c>
      <c r="AB4" s="3361" t="s">
        <v>524</v>
      </c>
      <c r="AC4" s="3361" t="s">
        <v>525</v>
      </c>
    </row>
    <row r="5" spans="1:29" ht="15">
      <c r="A5" s="515"/>
      <c r="B5" s="516"/>
      <c r="C5" s="3389" t="s">
        <v>2923</v>
      </c>
      <c r="D5" s="3390"/>
      <c r="E5" s="3404" t="s">
        <v>2924</v>
      </c>
      <c r="F5" s="3405"/>
      <c r="G5" s="3389" t="s">
        <v>2925</v>
      </c>
      <c r="H5" s="3390"/>
      <c r="I5" s="3389" t="s">
        <v>2926</v>
      </c>
      <c r="J5" s="3390"/>
      <c r="K5" s="514"/>
      <c r="L5" s="2118"/>
      <c r="M5" s="2119"/>
      <c r="N5" s="2119"/>
      <c r="O5" s="2119"/>
      <c r="P5" s="3479"/>
      <c r="Q5" s="3383"/>
      <c r="R5" s="3368"/>
      <c r="S5" s="3369"/>
      <c r="T5" s="3368"/>
      <c r="U5" s="3369"/>
      <c r="V5" s="3386"/>
      <c r="W5" s="3386"/>
      <c r="X5" s="1553"/>
      <c r="Y5" s="3368"/>
      <c r="Z5" s="3369"/>
      <c r="AA5" s="3362"/>
      <c r="AB5" s="3362"/>
      <c r="AC5" s="3362"/>
    </row>
    <row r="6" spans="1:29" ht="15.75" thickBot="1">
      <c r="A6" s="517"/>
      <c r="B6" s="518"/>
      <c r="C6" s="3387" t="s">
        <v>2927</v>
      </c>
      <c r="D6" s="3388"/>
      <c r="E6" s="3406" t="s">
        <v>2927</v>
      </c>
      <c r="F6" s="3407"/>
      <c r="G6" s="3387" t="s">
        <v>2927</v>
      </c>
      <c r="H6" s="3388"/>
      <c r="I6" s="3387" t="s">
        <v>2927</v>
      </c>
      <c r="J6" s="3388"/>
      <c r="K6" s="514" t="s">
        <v>528</v>
      </c>
      <c r="L6" s="2118"/>
      <c r="M6" s="2119"/>
      <c r="N6" s="2119"/>
      <c r="O6" s="2119"/>
      <c r="P6" s="3480"/>
      <c r="Q6" s="3385"/>
      <c r="R6" s="3368"/>
      <c r="S6" s="3369"/>
      <c r="T6" s="3370"/>
      <c r="U6" s="3371"/>
      <c r="V6" s="3386"/>
      <c r="W6" s="3386"/>
      <c r="X6" s="1553"/>
      <c r="Y6" s="3370"/>
      <c r="Z6" s="3371"/>
      <c r="AA6" s="3363"/>
      <c r="AB6" s="3363"/>
      <c r="AC6" s="3363"/>
    </row>
    <row r="7" spans="1:29" s="1215" customFormat="1" ht="15.75" thickBot="1">
      <c r="A7" s="2867"/>
      <c r="B7" s="2874" t="s">
        <v>529</v>
      </c>
      <c r="C7" s="519">
        <f>'数据-取费表'!B2</f>
        <v>44034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3" t="s">
        <v>530</v>
      </c>
      <c r="Q7" s="3373"/>
      <c r="R7" s="1554" t="s">
        <v>8</v>
      </c>
      <c r="S7" s="1555">
        <f t="shared" ref="S7:S15" si="0">F7</f>
        <v>0</v>
      </c>
      <c r="T7" s="1554" t="s">
        <v>8</v>
      </c>
      <c r="U7" s="1555">
        <f t="shared" ref="U7:U15" si="1">H7</f>
        <v>0</v>
      </c>
      <c r="V7" s="1554" t="s">
        <v>8</v>
      </c>
      <c r="W7" s="1555">
        <f t="shared" ref="W7:W15" si="2">J7</f>
        <v>0</v>
      </c>
      <c r="X7" s="1556"/>
      <c r="Y7" s="3364" t="s">
        <v>530</v>
      </c>
      <c r="Z7" s="3365"/>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3" t="s">
        <v>533</v>
      </c>
      <c r="Q8" s="3365"/>
      <c r="R8" s="1554" t="s">
        <v>8</v>
      </c>
      <c r="S8" s="1555">
        <f t="shared" si="0"/>
        <v>0</v>
      </c>
      <c r="T8" s="1554" t="s">
        <v>8</v>
      </c>
      <c r="U8" s="1555">
        <f t="shared" si="1"/>
        <v>0</v>
      </c>
      <c r="V8" s="1554" t="s">
        <v>8</v>
      </c>
      <c r="W8" s="1555">
        <f t="shared" si="2"/>
        <v>0</v>
      </c>
      <c r="X8" s="1556"/>
      <c r="Y8" s="3364" t="s">
        <v>533</v>
      </c>
      <c r="Z8" s="3365"/>
      <c r="AA8" s="1557" t="e">
        <f t="shared" ref="AA8:AA47" si="3">D8/F8</f>
        <v>#DIV/0!</v>
      </c>
      <c r="AB8" s="1557" t="e">
        <f t="shared" ref="AB8:AB47" si="4">D8/H8</f>
        <v>#DIV/0!</v>
      </c>
      <c r="AC8" s="1557" t="e">
        <f t="shared" ref="AC8:AC47" si="5">D8/J8</f>
        <v>#DIV/0!</v>
      </c>
    </row>
    <row r="9" spans="1:29" s="1215" customFormat="1" ht="15">
      <c r="A9" s="2869"/>
      <c r="B9" s="2876"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2" t="s">
        <v>535</v>
      </c>
      <c r="Q9" s="1146" t="str">
        <f t="shared" ref="Q9:Q15" si="6">B9</f>
        <v>用途</v>
      </c>
      <c r="R9" s="1554" t="s">
        <v>8</v>
      </c>
      <c r="S9" s="1555">
        <f t="shared" si="0"/>
        <v>100</v>
      </c>
      <c r="T9" s="1554" t="s">
        <v>8</v>
      </c>
      <c r="U9" s="1555">
        <f t="shared" si="1"/>
        <v>100</v>
      </c>
      <c r="V9" s="1554" t="s">
        <v>8</v>
      </c>
      <c r="W9" s="1555">
        <f t="shared" si="2"/>
        <v>100</v>
      </c>
      <c r="X9" s="1556"/>
      <c r="Y9" s="332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2"/>
      <c r="Q10" s="1146" t="str">
        <f t="shared" si="6"/>
        <v>土地使用年限（年）</v>
      </c>
      <c r="R10" s="1554" t="s">
        <v>8</v>
      </c>
      <c r="S10" s="1555">
        <f t="shared" si="0"/>
        <v>100</v>
      </c>
      <c r="T10" s="1554" t="s">
        <v>8</v>
      </c>
      <c r="U10" s="1555">
        <f t="shared" si="1"/>
        <v>100</v>
      </c>
      <c r="V10" s="1554" t="s">
        <v>8</v>
      </c>
      <c r="W10" s="1555">
        <f t="shared" si="2"/>
        <v>100</v>
      </c>
      <c r="X10" s="1556"/>
      <c r="Y10" s="3326"/>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2"/>
      <c r="Q11" s="1146" t="str">
        <f t="shared" si="6"/>
        <v>容积率</v>
      </c>
      <c r="R11" s="1554" t="s">
        <v>8</v>
      </c>
      <c r="S11" s="1555" t="e">
        <f t="shared" si="0"/>
        <v>#N/A</v>
      </c>
      <c r="T11" s="1554" t="s">
        <v>8</v>
      </c>
      <c r="U11" s="1555" t="e">
        <f t="shared" si="1"/>
        <v>#N/A</v>
      </c>
      <c r="V11" s="1554" t="s">
        <v>8</v>
      </c>
      <c r="W11" s="1555" t="e">
        <f t="shared" si="2"/>
        <v>#N/A</v>
      </c>
      <c r="X11" s="1556"/>
      <c r="Y11" s="33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2"/>
      <c r="Q12" s="1146">
        <f t="shared" si="6"/>
        <v>111</v>
      </c>
      <c r="R12" s="1554" t="s">
        <v>8</v>
      </c>
      <c r="S12" s="1555">
        <f t="shared" si="0"/>
        <v>100</v>
      </c>
      <c r="T12" s="1554" t="s">
        <v>8</v>
      </c>
      <c r="U12" s="1555">
        <f t="shared" si="1"/>
        <v>100</v>
      </c>
      <c r="V12" s="1554" t="s">
        <v>8</v>
      </c>
      <c r="W12" s="1555">
        <f t="shared" si="2"/>
        <v>100</v>
      </c>
      <c r="X12" s="1556"/>
      <c r="Y12" s="3326"/>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2"/>
      <c r="Q13" s="1146">
        <f t="shared" si="6"/>
        <v>111</v>
      </c>
      <c r="R13" s="1554" t="s">
        <v>8</v>
      </c>
      <c r="S13" s="1555">
        <f t="shared" si="0"/>
        <v>100</v>
      </c>
      <c r="T13" s="1554" t="s">
        <v>8</v>
      </c>
      <c r="U13" s="1555">
        <f t="shared" si="1"/>
        <v>100</v>
      </c>
      <c r="V13" s="1554" t="s">
        <v>8</v>
      </c>
      <c r="W13" s="1555">
        <f t="shared" si="2"/>
        <v>100</v>
      </c>
      <c r="X13" s="1556"/>
      <c r="Y13" s="3326"/>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2"/>
      <c r="Q14" s="1146">
        <f t="shared" si="6"/>
        <v>111</v>
      </c>
      <c r="R14" s="1554" t="s">
        <v>8</v>
      </c>
      <c r="S14" s="1555">
        <f t="shared" si="0"/>
        <v>100</v>
      </c>
      <c r="T14" s="1554" t="s">
        <v>8</v>
      </c>
      <c r="U14" s="1555">
        <f t="shared" si="1"/>
        <v>100</v>
      </c>
      <c r="V14" s="1554" t="s">
        <v>8</v>
      </c>
      <c r="W14" s="1555">
        <f t="shared" si="2"/>
        <v>100</v>
      </c>
      <c r="X14" s="1556"/>
      <c r="Y14" s="3326"/>
      <c r="Z14" s="1145">
        <f t="shared" si="7"/>
        <v>111</v>
      </c>
      <c r="AA14" s="1557">
        <f t="shared" si="3"/>
        <v>1</v>
      </c>
      <c r="AB14" s="1557">
        <f t="shared" si="4"/>
        <v>1</v>
      </c>
      <c r="AC14" s="1557">
        <f t="shared" si="5"/>
        <v>1</v>
      </c>
    </row>
    <row r="15" spans="1:29" ht="71.25">
      <c r="A15" s="2865"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74" t="s">
        <v>540</v>
      </c>
      <c r="Q15" s="1558" t="str">
        <f t="shared" si="6"/>
        <v>办公集聚程度</v>
      </c>
      <c r="R15" s="1559" t="s">
        <v>8</v>
      </c>
      <c r="S15" s="1560">
        <f t="shared" si="0"/>
        <v>100</v>
      </c>
      <c r="T15" s="1559" t="s">
        <v>8</v>
      </c>
      <c r="U15" s="1560">
        <f t="shared" si="1"/>
        <v>100</v>
      </c>
      <c r="V15" s="1559" t="s">
        <v>8</v>
      </c>
      <c r="W15" s="1560">
        <f t="shared" si="2"/>
        <v>100</v>
      </c>
      <c r="X15" s="1553"/>
      <c r="Y15" s="3374"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75"/>
      <c r="Q16" s="1558"/>
      <c r="R16" s="1559"/>
      <c r="S16" s="1560"/>
      <c r="T16" s="1559"/>
      <c r="U16" s="1560"/>
      <c r="V16" s="1559"/>
      <c r="W16" s="1560"/>
      <c r="X16" s="1553"/>
      <c r="Y16" s="3375"/>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75"/>
      <c r="Q17" s="1558" t="str">
        <f>B17</f>
        <v>交通便捷度</v>
      </c>
      <c r="R17" s="1559" t="s">
        <v>8</v>
      </c>
      <c r="S17" s="1560">
        <f>F17</f>
        <v>100</v>
      </c>
      <c r="T17" s="1559" t="s">
        <v>8</v>
      </c>
      <c r="U17" s="1560">
        <f>H17</f>
        <v>100</v>
      </c>
      <c r="V17" s="1559" t="s">
        <v>8</v>
      </c>
      <c r="W17" s="1560">
        <f>J17</f>
        <v>100</v>
      </c>
      <c r="X17" s="1553"/>
      <c r="Y17" s="337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75"/>
      <c r="Q18" s="1558"/>
      <c r="R18" s="1559"/>
      <c r="S18" s="1560"/>
      <c r="T18" s="1559"/>
      <c r="U18" s="1560"/>
      <c r="V18" s="1559"/>
      <c r="W18" s="1560"/>
      <c r="X18" s="1553"/>
      <c r="Y18" s="3375"/>
      <c r="Z18" s="1561"/>
      <c r="AA18" s="1562">
        <v>1</v>
      </c>
      <c r="AB18" s="1562">
        <v>1</v>
      </c>
      <c r="AC18" s="1562">
        <v>1</v>
      </c>
    </row>
    <row r="19" spans="1:29" ht="42.75">
      <c r="A19" s="532"/>
      <c r="B19" s="2567"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75"/>
      <c r="Q19" s="1558" t="str">
        <f>B19</f>
        <v>公共配套设施</v>
      </c>
      <c r="R19" s="1559" t="s">
        <v>8</v>
      </c>
      <c r="S19" s="1560">
        <f>F19</f>
        <v>100</v>
      </c>
      <c r="T19" s="1559" t="s">
        <v>8</v>
      </c>
      <c r="U19" s="1560">
        <f>H19</f>
        <v>100</v>
      </c>
      <c r="V19" s="1559" t="s">
        <v>8</v>
      </c>
      <c r="W19" s="1560">
        <f>J19</f>
        <v>100</v>
      </c>
      <c r="X19" s="1553"/>
      <c r="Y19" s="337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75"/>
      <c r="Q20" s="1558"/>
      <c r="R20" s="1559"/>
      <c r="S20" s="1560"/>
      <c r="T20" s="1559"/>
      <c r="U20" s="1560"/>
      <c r="V20" s="1559"/>
      <c r="W20" s="1560"/>
      <c r="X20" s="1553"/>
      <c r="Y20" s="3375"/>
      <c r="Z20" s="1561"/>
      <c r="AA20" s="1562">
        <v>1</v>
      </c>
      <c r="AB20" s="1562">
        <v>1</v>
      </c>
      <c r="AC20" s="1562">
        <v>1</v>
      </c>
    </row>
    <row r="21" spans="1:29" ht="28.5">
      <c r="A21" s="532"/>
      <c r="B21" s="2555"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75"/>
      <c r="Q21" s="2543" t="str">
        <f>B21</f>
        <v>基础设施水平</v>
      </c>
      <c r="R21" s="1559" t="s">
        <v>8</v>
      </c>
      <c r="S21" s="1560">
        <f>F21</f>
        <v>100</v>
      </c>
      <c r="T21" s="1559" t="s">
        <v>8</v>
      </c>
      <c r="U21" s="1560">
        <f>H21</f>
        <v>100</v>
      </c>
      <c r="V21" s="1559" t="s">
        <v>8</v>
      </c>
      <c r="W21" s="1560">
        <f>J21</f>
        <v>100</v>
      </c>
      <c r="X21" s="2545"/>
      <c r="Y21" s="3375"/>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75"/>
      <c r="Q22" s="2543"/>
      <c r="R22" s="1559"/>
      <c r="S22" s="1560"/>
      <c r="T22" s="1559"/>
      <c r="U22" s="1560"/>
      <c r="V22" s="1559"/>
      <c r="W22" s="1560"/>
      <c r="X22" s="2545"/>
      <c r="Y22" s="3375"/>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75"/>
      <c r="Q23" s="1558" t="str">
        <f>B23</f>
        <v>环境质量</v>
      </c>
      <c r="R23" s="1559" t="s">
        <v>8</v>
      </c>
      <c r="S23" s="1560">
        <f>F23</f>
        <v>100</v>
      </c>
      <c r="T23" s="1559" t="s">
        <v>8</v>
      </c>
      <c r="U23" s="1560">
        <f>H23</f>
        <v>100</v>
      </c>
      <c r="V23" s="1559" t="s">
        <v>8</v>
      </c>
      <c r="W23" s="1560">
        <f>J23</f>
        <v>100</v>
      </c>
      <c r="X23" s="1553"/>
      <c r="Y23" s="337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75"/>
      <c r="Q24" s="1558"/>
      <c r="R24" s="1559"/>
      <c r="S24" s="1560"/>
      <c r="T24" s="1559"/>
      <c r="U24" s="1560"/>
      <c r="V24" s="1559"/>
      <c r="W24" s="1560"/>
      <c r="X24" s="1553"/>
      <c r="Y24" s="3375"/>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75"/>
      <c r="Q25" s="1558" t="str">
        <f>B25</f>
        <v>毗邻道路的类型与等级</v>
      </c>
      <c r="R25" s="1559" t="s">
        <v>8</v>
      </c>
      <c r="S25" s="1560">
        <f>F25</f>
        <v>100</v>
      </c>
      <c r="T25" s="1559" t="s">
        <v>8</v>
      </c>
      <c r="U25" s="1560">
        <f>H25</f>
        <v>100</v>
      </c>
      <c r="V25" s="1559" t="s">
        <v>8</v>
      </c>
      <c r="W25" s="1560">
        <f>J25</f>
        <v>100</v>
      </c>
      <c r="X25" s="1553"/>
      <c r="Y25" s="337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75"/>
      <c r="Q26" s="1558"/>
      <c r="R26" s="1559"/>
      <c r="S26" s="1560"/>
      <c r="T26" s="1559"/>
      <c r="U26" s="1560"/>
      <c r="V26" s="1559"/>
      <c r="W26" s="1560"/>
      <c r="X26" s="1553"/>
      <c r="Y26" s="3375"/>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75"/>
      <c r="Q27" s="1558" t="str">
        <f t="shared" ref="Q27:Q47" si="11">B27</f>
        <v>楼层</v>
      </c>
      <c r="R27" s="1559" t="s">
        <v>8</v>
      </c>
      <c r="S27" s="1560">
        <f>F27</f>
        <v>100</v>
      </c>
      <c r="T27" s="1559" t="s">
        <v>8</v>
      </c>
      <c r="U27" s="1560">
        <f>H27</f>
        <v>100</v>
      </c>
      <c r="V27" s="1559" t="s">
        <v>8</v>
      </c>
      <c r="W27" s="1560">
        <f>J27</f>
        <v>100</v>
      </c>
      <c r="X27" s="1553"/>
      <c r="Y27" s="3375"/>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75"/>
      <c r="Q28" s="1146" t="str">
        <f t="shared" si="11"/>
        <v>朝向</v>
      </c>
      <c r="R28" s="1554" t="s">
        <v>8</v>
      </c>
      <c r="S28" s="1555">
        <f>F28</f>
        <v>100</v>
      </c>
      <c r="T28" s="1554" t="s">
        <v>8</v>
      </c>
      <c r="U28" s="1555">
        <f>H28</f>
        <v>100</v>
      </c>
      <c r="V28" s="1554" t="s">
        <v>8</v>
      </c>
      <c r="W28" s="1555">
        <f>J28</f>
        <v>100</v>
      </c>
      <c r="X28" s="1556"/>
      <c r="Y28" s="3375"/>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75"/>
      <c r="Q29" s="1558">
        <f t="shared" si="11"/>
        <v>111</v>
      </c>
      <c r="R29" s="1559" t="s">
        <v>8</v>
      </c>
      <c r="S29" s="1560">
        <f t="shared" ref="S29:S47" si="12">F29</f>
        <v>100</v>
      </c>
      <c r="T29" s="1559" t="s">
        <v>8</v>
      </c>
      <c r="U29" s="1560">
        <f t="shared" ref="U29:U47" si="13">H29</f>
        <v>100</v>
      </c>
      <c r="V29" s="1559" t="s">
        <v>8</v>
      </c>
      <c r="W29" s="1560">
        <f t="shared" ref="W29:W47" si="14">J29</f>
        <v>100</v>
      </c>
      <c r="X29" s="1553"/>
      <c r="Y29" s="3375"/>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75"/>
      <c r="Q30" s="1558">
        <f t="shared" si="11"/>
        <v>111</v>
      </c>
      <c r="R30" s="1559" t="s">
        <v>8</v>
      </c>
      <c r="S30" s="1560">
        <f t="shared" si="12"/>
        <v>100</v>
      </c>
      <c r="T30" s="1559" t="s">
        <v>8</v>
      </c>
      <c r="U30" s="1560">
        <f t="shared" si="13"/>
        <v>100</v>
      </c>
      <c r="V30" s="1559" t="s">
        <v>8</v>
      </c>
      <c r="W30" s="1560">
        <f t="shared" si="14"/>
        <v>100</v>
      </c>
      <c r="X30" s="1553"/>
      <c r="Y30" s="3375"/>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75"/>
      <c r="Q31" s="1558">
        <f t="shared" si="11"/>
        <v>111</v>
      </c>
      <c r="R31" s="1559" t="s">
        <v>8</v>
      </c>
      <c r="S31" s="1560">
        <f t="shared" si="12"/>
        <v>100</v>
      </c>
      <c r="T31" s="1559" t="s">
        <v>8</v>
      </c>
      <c r="U31" s="1560">
        <f t="shared" si="13"/>
        <v>100</v>
      </c>
      <c r="V31" s="1559" t="s">
        <v>8</v>
      </c>
      <c r="W31" s="1560">
        <f t="shared" si="14"/>
        <v>100</v>
      </c>
      <c r="X31" s="1553"/>
      <c r="Y31" s="3375"/>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75"/>
      <c r="Q32" s="1558">
        <f t="shared" si="11"/>
        <v>111</v>
      </c>
      <c r="R32" s="1559" t="s">
        <v>8</v>
      </c>
      <c r="S32" s="1560">
        <f t="shared" si="12"/>
        <v>100</v>
      </c>
      <c r="T32" s="1559" t="s">
        <v>8</v>
      </c>
      <c r="U32" s="1560">
        <f t="shared" si="13"/>
        <v>100</v>
      </c>
      <c r="V32" s="1559" t="s">
        <v>8</v>
      </c>
      <c r="W32" s="1560">
        <f t="shared" si="14"/>
        <v>100</v>
      </c>
      <c r="X32" s="1553"/>
      <c r="Y32" s="3375"/>
      <c r="Z32" s="1561">
        <f t="shared" si="15"/>
        <v>111</v>
      </c>
      <c r="AA32" s="1562">
        <f t="shared" si="3"/>
        <v>1</v>
      </c>
      <c r="AB32" s="1562">
        <f t="shared" si="4"/>
        <v>1</v>
      </c>
      <c r="AC32" s="1562">
        <f t="shared" si="5"/>
        <v>1</v>
      </c>
    </row>
    <row r="33" spans="1:29" ht="15">
      <c r="A33" s="2862"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76" t="s">
        <v>550</v>
      </c>
      <c r="Q33" s="1558" t="str">
        <f t="shared" si="11"/>
        <v>建筑类型</v>
      </c>
      <c r="R33" s="1559" t="s">
        <v>8</v>
      </c>
      <c r="S33" s="1560">
        <f t="shared" si="12"/>
        <v>100</v>
      </c>
      <c r="T33" s="1559" t="s">
        <v>8</v>
      </c>
      <c r="U33" s="1560">
        <f t="shared" si="13"/>
        <v>100</v>
      </c>
      <c r="V33" s="1559" t="s">
        <v>8</v>
      </c>
      <c r="W33" s="1560">
        <f t="shared" si="14"/>
        <v>100</v>
      </c>
      <c r="X33" s="1553"/>
      <c r="Y33" s="3377"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77"/>
      <c r="Q34" s="1590" t="str">
        <f t="shared" si="11"/>
        <v>项目建筑规模</v>
      </c>
      <c r="R34" s="1563" t="s">
        <v>8</v>
      </c>
      <c r="S34" s="1564" t="e">
        <f t="shared" si="12"/>
        <v>#N/A</v>
      </c>
      <c r="T34" s="1563" t="s">
        <v>8</v>
      </c>
      <c r="U34" s="1564" t="e">
        <f t="shared" si="13"/>
        <v>#N/A</v>
      </c>
      <c r="V34" s="1563" t="s">
        <v>8</v>
      </c>
      <c r="W34" s="1564" t="e">
        <f t="shared" si="14"/>
        <v>#N/A</v>
      </c>
      <c r="X34" s="1565"/>
      <c r="Y34" s="3377"/>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77"/>
      <c r="Q35" s="1558" t="str">
        <f t="shared" si="11"/>
        <v>建筑结构</v>
      </c>
      <c r="R35" s="1559" t="s">
        <v>8</v>
      </c>
      <c r="S35" s="1560">
        <f t="shared" si="12"/>
        <v>100</v>
      </c>
      <c r="T35" s="1559" t="s">
        <v>8</v>
      </c>
      <c r="U35" s="1560">
        <f t="shared" si="13"/>
        <v>100</v>
      </c>
      <c r="V35" s="1559" t="s">
        <v>8</v>
      </c>
      <c r="W35" s="1560">
        <f t="shared" si="14"/>
        <v>100</v>
      </c>
      <c r="X35" s="1553"/>
      <c r="Y35" s="3377"/>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77"/>
      <c r="Q36" s="1558" t="str">
        <f t="shared" si="11"/>
        <v>公共部分装修</v>
      </c>
      <c r="R36" s="1559" t="s">
        <v>8</v>
      </c>
      <c r="S36" s="1560">
        <f t="shared" si="12"/>
        <v>100</v>
      </c>
      <c r="T36" s="1559" t="s">
        <v>8</v>
      </c>
      <c r="U36" s="1560">
        <f t="shared" si="13"/>
        <v>100</v>
      </c>
      <c r="V36" s="1559" t="s">
        <v>8</v>
      </c>
      <c r="W36" s="1560">
        <f t="shared" si="14"/>
        <v>100</v>
      </c>
      <c r="X36" s="1553"/>
      <c r="Y36" s="3377"/>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77"/>
      <c r="Q37" s="1558" t="str">
        <f t="shared" si="11"/>
        <v>成新度</v>
      </c>
      <c r="R37" s="1559" t="s">
        <v>8</v>
      </c>
      <c r="S37" s="1560" t="e">
        <f t="shared" si="12"/>
        <v>#N/A</v>
      </c>
      <c r="T37" s="1559" t="s">
        <v>8</v>
      </c>
      <c r="U37" s="1560" t="e">
        <f t="shared" si="13"/>
        <v>#N/A</v>
      </c>
      <c r="V37" s="1559" t="s">
        <v>8</v>
      </c>
      <c r="W37" s="1560" t="e">
        <f t="shared" si="14"/>
        <v>#N/A</v>
      </c>
      <c r="X37" s="1553"/>
      <c r="Y37" s="3377"/>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77"/>
      <c r="Q38" s="1146" t="str">
        <f t="shared" si="11"/>
        <v>写字楼等级</v>
      </c>
      <c r="R38" s="1554" t="s">
        <v>8</v>
      </c>
      <c r="S38" s="1555">
        <f t="shared" si="12"/>
        <v>100</v>
      </c>
      <c r="T38" s="1554" t="s">
        <v>8</v>
      </c>
      <c r="U38" s="1555">
        <f t="shared" si="13"/>
        <v>100</v>
      </c>
      <c r="V38" s="1554" t="s">
        <v>8</v>
      </c>
      <c r="W38" s="1555">
        <f t="shared" si="14"/>
        <v>100</v>
      </c>
      <c r="X38" s="1556"/>
      <c r="Y38" s="3377"/>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77" t="s">
        <v>550</v>
      </c>
      <c r="Q39" s="1558" t="str">
        <f t="shared" si="11"/>
        <v>物业管理</v>
      </c>
      <c r="R39" s="1559" t="s">
        <v>8</v>
      </c>
      <c r="S39" s="1560">
        <f t="shared" si="12"/>
        <v>100</v>
      </c>
      <c r="T39" s="1559" t="s">
        <v>8</v>
      </c>
      <c r="U39" s="1560">
        <f t="shared" si="13"/>
        <v>100</v>
      </c>
      <c r="V39" s="1559" t="s">
        <v>8</v>
      </c>
      <c r="W39" s="1560">
        <f t="shared" si="14"/>
        <v>100</v>
      </c>
      <c r="X39" s="1553"/>
      <c r="Y39" s="3377" t="s">
        <v>550</v>
      </c>
      <c r="Z39" s="1561" t="str">
        <f t="shared" si="15"/>
        <v>物业管理</v>
      </c>
      <c r="AA39" s="1562">
        <f t="shared" si="3"/>
        <v>1</v>
      </c>
      <c r="AB39" s="1562">
        <f t="shared" si="4"/>
        <v>1</v>
      </c>
      <c r="AC39" s="1562">
        <f t="shared" si="5"/>
        <v>1</v>
      </c>
    </row>
    <row r="40" spans="1:29" ht="15">
      <c r="A40" s="594"/>
      <c r="B40" s="1880"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77"/>
      <c r="Q40" s="1558" t="str">
        <f t="shared" si="11"/>
        <v>市政基础设施</v>
      </c>
      <c r="R40" s="1559" t="s">
        <v>8</v>
      </c>
      <c r="S40" s="1560">
        <f t="shared" si="12"/>
        <v>100</v>
      </c>
      <c r="T40" s="1559" t="s">
        <v>8</v>
      </c>
      <c r="U40" s="1560">
        <f t="shared" si="13"/>
        <v>100</v>
      </c>
      <c r="V40" s="1559" t="s">
        <v>8</v>
      </c>
      <c r="W40" s="1560">
        <f t="shared" si="14"/>
        <v>100</v>
      </c>
      <c r="X40" s="1553"/>
      <c r="Y40" s="3377"/>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77"/>
      <c r="Q41" s="1558" t="str">
        <f t="shared" si="11"/>
        <v>层高</v>
      </c>
      <c r="R41" s="1559" t="s">
        <v>8</v>
      </c>
      <c r="S41" s="1560">
        <f t="shared" si="12"/>
        <v>100</v>
      </c>
      <c r="T41" s="1559" t="s">
        <v>8</v>
      </c>
      <c r="U41" s="1560">
        <f t="shared" si="13"/>
        <v>100</v>
      </c>
      <c r="V41" s="1559" t="s">
        <v>8</v>
      </c>
      <c r="W41" s="1560">
        <f t="shared" si="14"/>
        <v>100</v>
      </c>
      <c r="X41" s="1553"/>
      <c r="Y41" s="3377"/>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77"/>
      <c r="Q42" s="1590" t="str">
        <f t="shared" si="11"/>
        <v>单套建筑面积</v>
      </c>
      <c r="R42" s="1563" t="s">
        <v>8</v>
      </c>
      <c r="S42" s="1564">
        <f t="shared" si="12"/>
        <v>100</v>
      </c>
      <c r="T42" s="1563" t="s">
        <v>8</v>
      </c>
      <c r="U42" s="1564">
        <f t="shared" si="13"/>
        <v>100</v>
      </c>
      <c r="V42" s="1563" t="s">
        <v>8</v>
      </c>
      <c r="W42" s="1564">
        <f t="shared" si="14"/>
        <v>100</v>
      </c>
      <c r="X42" s="1565"/>
      <c r="Y42" s="3377"/>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77"/>
      <c r="Q43" s="1558" t="str">
        <f t="shared" si="11"/>
        <v>内部装修</v>
      </c>
      <c r="R43" s="1559" t="s">
        <v>8</v>
      </c>
      <c r="S43" s="1560">
        <f t="shared" si="12"/>
        <v>100</v>
      </c>
      <c r="T43" s="1559" t="s">
        <v>8</v>
      </c>
      <c r="U43" s="1560">
        <f t="shared" si="13"/>
        <v>100</v>
      </c>
      <c r="V43" s="1559" t="s">
        <v>8</v>
      </c>
      <c r="W43" s="1560">
        <f t="shared" si="14"/>
        <v>100</v>
      </c>
      <c r="X43" s="1553"/>
      <c r="Y43" s="3377"/>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77"/>
      <c r="Q44" s="1558" t="str">
        <f t="shared" si="11"/>
        <v>内部装修维护情况</v>
      </c>
      <c r="R44" s="1559" t="s">
        <v>8</v>
      </c>
      <c r="S44" s="1560">
        <f t="shared" si="12"/>
        <v>100</v>
      </c>
      <c r="T44" s="1559" t="s">
        <v>8</v>
      </c>
      <c r="U44" s="1560">
        <f t="shared" si="13"/>
        <v>100</v>
      </c>
      <c r="V44" s="1559" t="s">
        <v>8</v>
      </c>
      <c r="W44" s="1560">
        <f t="shared" si="14"/>
        <v>100</v>
      </c>
      <c r="X44" s="1553"/>
      <c r="Y44" s="3377"/>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77"/>
      <c r="Q45" s="1146">
        <f t="shared" si="11"/>
        <v>111</v>
      </c>
      <c r="R45" s="1554" t="s">
        <v>8</v>
      </c>
      <c r="S45" s="1555">
        <f t="shared" si="12"/>
        <v>100</v>
      </c>
      <c r="T45" s="1554" t="s">
        <v>8</v>
      </c>
      <c r="U45" s="1555">
        <f t="shared" si="13"/>
        <v>100</v>
      </c>
      <c r="V45" s="1554" t="s">
        <v>8</v>
      </c>
      <c r="W45" s="1555">
        <f t="shared" si="14"/>
        <v>100</v>
      </c>
      <c r="X45" s="1556"/>
      <c r="Y45" s="3377"/>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77"/>
      <c r="Q46" s="1558">
        <f t="shared" si="11"/>
        <v>111</v>
      </c>
      <c r="R46" s="1559" t="s">
        <v>8</v>
      </c>
      <c r="S46" s="1560">
        <f t="shared" si="12"/>
        <v>100</v>
      </c>
      <c r="T46" s="1559" t="s">
        <v>8</v>
      </c>
      <c r="U46" s="1560">
        <f t="shared" si="13"/>
        <v>100</v>
      </c>
      <c r="V46" s="1559" t="s">
        <v>8</v>
      </c>
      <c r="W46" s="1560">
        <f t="shared" si="14"/>
        <v>100</v>
      </c>
      <c r="X46" s="1553"/>
      <c r="Y46" s="3377"/>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7"/>
      <c r="Q47" s="1558">
        <f t="shared" si="11"/>
        <v>111</v>
      </c>
      <c r="R47" s="1559" t="s">
        <v>8</v>
      </c>
      <c r="S47" s="1560">
        <f t="shared" si="12"/>
        <v>100</v>
      </c>
      <c r="T47" s="1559" t="s">
        <v>8</v>
      </c>
      <c r="U47" s="1560">
        <f t="shared" si="13"/>
        <v>100</v>
      </c>
      <c r="V47" s="1559" t="s">
        <v>8</v>
      </c>
      <c r="W47" s="1560">
        <f t="shared" si="14"/>
        <v>100</v>
      </c>
      <c r="X47" s="1553"/>
      <c r="Y47" s="3477"/>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94" t="str">
        <f>A48</f>
        <v>成交单价（元/平方米）</v>
      </c>
      <c r="Q48" s="3372"/>
      <c r="R48" s="3476">
        <f>E48</f>
        <v>0</v>
      </c>
      <c r="S48" s="3476"/>
      <c r="T48" s="3476">
        <f>G48</f>
        <v>0</v>
      </c>
      <c r="U48" s="3476"/>
      <c r="V48" s="3476">
        <f>I48</f>
        <v>0</v>
      </c>
      <c r="W48" s="3476"/>
      <c r="X48" s="1545"/>
      <c r="Y48" s="1567"/>
      <c r="Z48" s="1545"/>
      <c r="AA48" s="1545"/>
      <c r="AB48" s="1545"/>
      <c r="AC48" s="1545"/>
    </row>
    <row r="49" spans="1:29" ht="15.75" thickBot="1">
      <c r="A49" s="615" t="s">
        <v>2753</v>
      </c>
      <c r="B49" s="888"/>
      <c r="C49" s="2597" t="e">
        <f>R50</f>
        <v>#DIV/0!</v>
      </c>
      <c r="D49" s="2598"/>
      <c r="E49" s="2599" t="e">
        <f>R49</f>
        <v>#DIV/0!</v>
      </c>
      <c r="F49" s="2599"/>
      <c r="G49" s="2597" t="e">
        <f>T49</f>
        <v>#DIV/0!</v>
      </c>
      <c r="H49" s="2598"/>
      <c r="I49" s="2599" t="e">
        <f>V49</f>
        <v>#DIV/0!</v>
      </c>
      <c r="J49" s="2598"/>
      <c r="K49" s="1597"/>
      <c r="L49" s="2129"/>
      <c r="M49" s="2119"/>
      <c r="N49" s="2119"/>
      <c r="O49" s="2119"/>
      <c r="P49" s="3394" t="str">
        <f>A49</f>
        <v>比较价格（元/平方米）</v>
      </c>
      <c r="Q49" s="3372"/>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45"/>
      <c r="Y49" s="1545"/>
      <c r="Z49" s="1545"/>
      <c r="AA49" s="1545"/>
      <c r="AB49" s="1545"/>
      <c r="AC49" s="1545"/>
    </row>
    <row r="50" spans="1:29" ht="15.75" thickBot="1">
      <c r="A50" s="621" t="s">
        <v>2929</v>
      </c>
      <c r="B50" s="622"/>
      <c r="C50" s="2600" t="e">
        <f>R50</f>
        <v>#DIV/0!</v>
      </c>
      <c r="D50" s="2600"/>
      <c r="E50" s="2600"/>
      <c r="F50" s="2600"/>
      <c r="G50" s="2600"/>
      <c r="H50" s="2600"/>
      <c r="I50" s="2600"/>
      <c r="J50" s="2600"/>
      <c r="K50" s="1598"/>
      <c r="L50" s="2129"/>
      <c r="M50" s="2119"/>
      <c r="N50" s="2119"/>
      <c r="O50" s="2119"/>
      <c r="P50" s="3481" t="str">
        <f>A50</f>
        <v>估价对象XX用房的比较价格（楼面单价，元/平方米）</v>
      </c>
      <c r="Q50" s="3394"/>
      <c r="R50" s="3475" t="e">
        <f>IF(F1="售价",ROUND(AVERAGE(R49:V49),0),ROUND(AVERAGE(R49:V49),1))</f>
        <v>#DIV/0!</v>
      </c>
      <c r="S50" s="3475"/>
      <c r="T50" s="3475"/>
      <c r="U50" s="3475"/>
      <c r="V50" s="3475"/>
      <c r="W50" s="347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2020-7</v>
      </c>
      <c r="D59" s="2759">
        <f>EDATE(C59,-1)</f>
        <v>43983</v>
      </c>
      <c r="E59" s="2759">
        <f t="shared" ref="E59:O59" si="16">EDATE(D59,-1)</f>
        <v>43952</v>
      </c>
      <c r="F59" s="2759">
        <f t="shared" si="16"/>
        <v>43922</v>
      </c>
      <c r="G59" s="2759">
        <f t="shared" si="16"/>
        <v>43891</v>
      </c>
      <c r="H59" s="2759">
        <f t="shared" si="16"/>
        <v>43862</v>
      </c>
      <c r="I59" s="2759">
        <f t="shared" si="16"/>
        <v>43831</v>
      </c>
      <c r="J59" s="2759">
        <f t="shared" si="16"/>
        <v>43800</v>
      </c>
      <c r="K59" s="2759">
        <f t="shared" si="16"/>
        <v>43770</v>
      </c>
      <c r="L59" s="2759">
        <f t="shared" si="16"/>
        <v>43739</v>
      </c>
      <c r="M59" s="2759">
        <f t="shared" si="16"/>
        <v>43709</v>
      </c>
      <c r="N59" s="2759">
        <f t="shared" si="16"/>
        <v>43678</v>
      </c>
      <c r="O59" s="2759">
        <f t="shared" si="16"/>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2551</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2552</v>
      </c>
      <c r="C83" s="2562" t="s">
        <v>2553</v>
      </c>
      <c r="D83" s="2562" t="s">
        <v>2554</v>
      </c>
      <c r="E83" s="2562" t="s">
        <v>2555</v>
      </c>
      <c r="F83" s="2562" t="s">
        <v>2556</v>
      </c>
      <c r="G83" s="2562" t="s">
        <v>2557</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2550</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8" t="s">
        <v>522</v>
      </c>
      <c r="D4" s="3379"/>
      <c r="E4" s="3402" t="s">
        <v>523</v>
      </c>
      <c r="F4" s="3403"/>
      <c r="G4" s="3378" t="s">
        <v>524</v>
      </c>
      <c r="H4" s="3379"/>
      <c r="I4" s="3378" t="s">
        <v>525</v>
      </c>
      <c r="J4" s="3379"/>
      <c r="K4" s="514" t="s">
        <v>526</v>
      </c>
      <c r="L4" s="2118"/>
      <c r="M4" s="2119"/>
      <c r="N4" s="2119"/>
      <c r="O4" s="2119"/>
      <c r="P4" s="3380" t="s">
        <v>527</v>
      </c>
      <c r="Q4" s="3381"/>
      <c r="R4" s="3366" t="s">
        <v>523</v>
      </c>
      <c r="S4" s="3367"/>
      <c r="T4" s="3366" t="s">
        <v>524</v>
      </c>
      <c r="U4" s="3367"/>
      <c r="V4" s="3386" t="s">
        <v>525</v>
      </c>
      <c r="W4" s="3386"/>
      <c r="X4" s="1553"/>
      <c r="Y4" s="3366" t="s">
        <v>527</v>
      </c>
      <c r="Z4" s="3367"/>
      <c r="AA4" s="3361" t="s">
        <v>523</v>
      </c>
      <c r="AB4" s="3362" t="s">
        <v>524</v>
      </c>
      <c r="AC4" s="3361" t="s">
        <v>525</v>
      </c>
    </row>
    <row r="5" spans="1:29" ht="15">
      <c r="A5" s="515"/>
      <c r="B5" s="516"/>
      <c r="C5" s="3389" t="s">
        <v>2923</v>
      </c>
      <c r="D5" s="3390"/>
      <c r="E5" s="3404" t="s">
        <v>2924</v>
      </c>
      <c r="F5" s="3405"/>
      <c r="G5" s="3389" t="s">
        <v>2925</v>
      </c>
      <c r="H5" s="3390"/>
      <c r="I5" s="3389" t="s">
        <v>2926</v>
      </c>
      <c r="J5" s="3390"/>
      <c r="K5" s="514"/>
      <c r="L5" s="2118"/>
      <c r="M5" s="2119"/>
      <c r="N5" s="2119"/>
      <c r="O5" s="2119"/>
      <c r="P5" s="3382"/>
      <c r="Q5" s="3383"/>
      <c r="R5" s="3368"/>
      <c r="S5" s="3369"/>
      <c r="T5" s="3368"/>
      <c r="U5" s="3369"/>
      <c r="V5" s="3386"/>
      <c r="W5" s="3386"/>
      <c r="X5" s="1553"/>
      <c r="Y5" s="3368"/>
      <c r="Z5" s="3369"/>
      <c r="AA5" s="3362"/>
      <c r="AB5" s="3362"/>
      <c r="AC5" s="3362"/>
    </row>
    <row r="6" spans="1:29" ht="15.75" thickBot="1">
      <c r="A6" s="517"/>
      <c r="B6" s="518"/>
      <c r="C6" s="3387" t="s">
        <v>2927</v>
      </c>
      <c r="D6" s="3388"/>
      <c r="E6" s="3406" t="s">
        <v>2927</v>
      </c>
      <c r="F6" s="3407"/>
      <c r="G6" s="3387" t="s">
        <v>2927</v>
      </c>
      <c r="H6" s="3388"/>
      <c r="I6" s="3387" t="s">
        <v>2927</v>
      </c>
      <c r="J6" s="3388"/>
      <c r="K6" s="514" t="s">
        <v>528</v>
      </c>
      <c r="L6" s="2118"/>
      <c r="M6" s="2119"/>
      <c r="N6" s="2119"/>
      <c r="O6" s="2119"/>
      <c r="P6" s="3384"/>
      <c r="Q6" s="3385"/>
      <c r="R6" s="3368"/>
      <c r="S6" s="3369"/>
      <c r="T6" s="3370"/>
      <c r="U6" s="3371"/>
      <c r="V6" s="3386"/>
      <c r="W6" s="3386"/>
      <c r="X6" s="1553"/>
      <c r="Y6" s="3370"/>
      <c r="Z6" s="3371"/>
      <c r="AA6" s="3363"/>
      <c r="AB6" s="3363"/>
      <c r="AC6" s="3363"/>
    </row>
    <row r="7" spans="1:29" s="1215" customFormat="1" ht="15.75" thickBot="1">
      <c r="A7" s="2867"/>
      <c r="B7" s="2874" t="s">
        <v>529</v>
      </c>
      <c r="C7" s="519">
        <f>'数据-取费表'!B2</f>
        <v>44034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4" t="s">
        <v>530</v>
      </c>
      <c r="Q7" s="3373"/>
      <c r="R7" s="1554" t="s">
        <v>8</v>
      </c>
      <c r="S7" s="1555">
        <f t="shared" ref="S7:S15" si="0">F7</f>
        <v>0</v>
      </c>
      <c r="T7" s="1554" t="s">
        <v>8</v>
      </c>
      <c r="U7" s="1555">
        <f t="shared" ref="U7:U15" si="1">H7</f>
        <v>0</v>
      </c>
      <c r="V7" s="1554" t="s">
        <v>8</v>
      </c>
      <c r="W7" s="1555">
        <f t="shared" ref="W7:W15" si="2">J7</f>
        <v>0</v>
      </c>
      <c r="X7" s="1556"/>
      <c r="Y7" s="3364" t="s">
        <v>530</v>
      </c>
      <c r="Z7" s="3365"/>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4" t="s">
        <v>533</v>
      </c>
      <c r="Q8" s="3365"/>
      <c r="R8" s="1554" t="s">
        <v>8</v>
      </c>
      <c r="S8" s="1555">
        <f t="shared" si="0"/>
        <v>0</v>
      </c>
      <c r="T8" s="1554" t="s">
        <v>8</v>
      </c>
      <c r="U8" s="1555">
        <f t="shared" si="1"/>
        <v>0</v>
      </c>
      <c r="V8" s="1554" t="s">
        <v>8</v>
      </c>
      <c r="W8" s="1555">
        <f t="shared" si="2"/>
        <v>0</v>
      </c>
      <c r="X8" s="1556"/>
      <c r="Y8" s="3364" t="s">
        <v>533</v>
      </c>
      <c r="Z8" s="3365"/>
      <c r="AA8" s="1557" t="e">
        <f t="shared" ref="AA8:AA40" si="3">D8/F8</f>
        <v>#DIV/0!</v>
      </c>
      <c r="AB8" s="1557" t="e">
        <f t="shared" ref="AB8:AB40" si="4">D8/H8</f>
        <v>#DIV/0!</v>
      </c>
      <c r="AC8" s="1557" t="e">
        <f t="shared" ref="AC8:AC40" si="5">D8/J8</f>
        <v>#DIV/0!</v>
      </c>
    </row>
    <row r="9" spans="1:29" s="1215" customFormat="1" ht="15">
      <c r="A9" s="2869"/>
      <c r="B9" s="2876"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2" t="s">
        <v>535</v>
      </c>
      <c r="Q9" s="1146" t="str">
        <f t="shared" ref="Q9:Q15" si="6">B9</f>
        <v>用途</v>
      </c>
      <c r="R9" s="1554" t="s">
        <v>8</v>
      </c>
      <c r="S9" s="1555">
        <f t="shared" si="0"/>
        <v>100</v>
      </c>
      <c r="T9" s="1554" t="s">
        <v>8</v>
      </c>
      <c r="U9" s="1555">
        <f t="shared" si="1"/>
        <v>100</v>
      </c>
      <c r="V9" s="1554" t="s">
        <v>8</v>
      </c>
      <c r="W9" s="1555">
        <f t="shared" si="2"/>
        <v>100</v>
      </c>
      <c r="X9" s="1556"/>
      <c r="Y9" s="3326"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26"/>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2"/>
      <c r="Q11" s="1146" t="str">
        <f t="shared" si="6"/>
        <v>容积率</v>
      </c>
      <c r="R11" s="1554" t="s">
        <v>8</v>
      </c>
      <c r="S11" s="1555" t="e">
        <f t="shared" si="0"/>
        <v>#N/A</v>
      </c>
      <c r="T11" s="1554" t="s">
        <v>8</v>
      </c>
      <c r="U11" s="1555" t="e">
        <f t="shared" si="1"/>
        <v>#N/A</v>
      </c>
      <c r="V11" s="1554" t="s">
        <v>8</v>
      </c>
      <c r="W11" s="1555" t="e">
        <f t="shared" si="2"/>
        <v>#N/A</v>
      </c>
      <c r="X11" s="1556"/>
      <c r="Y11" s="3326"/>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26"/>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26"/>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2"/>
      <c r="Q14" s="1146">
        <f t="shared" si="6"/>
        <v>111</v>
      </c>
      <c r="R14" s="1554" t="s">
        <v>8</v>
      </c>
      <c r="S14" s="1555">
        <f t="shared" si="0"/>
        <v>100</v>
      </c>
      <c r="T14" s="1554" t="s">
        <v>8</v>
      </c>
      <c r="U14" s="1555">
        <f t="shared" si="1"/>
        <v>100</v>
      </c>
      <c r="V14" s="1554" t="s">
        <v>8</v>
      </c>
      <c r="W14" s="1555">
        <f t="shared" si="2"/>
        <v>100</v>
      </c>
      <c r="X14" s="1556"/>
      <c r="Y14" s="3326"/>
      <c r="Z14" s="1145">
        <f t="shared" si="7"/>
        <v>111</v>
      </c>
      <c r="AA14" s="1557">
        <f t="shared" si="3"/>
        <v>1</v>
      </c>
      <c r="AB14" s="1557">
        <f t="shared" si="4"/>
        <v>1</v>
      </c>
      <c r="AC14" s="1557">
        <f t="shared" si="5"/>
        <v>1</v>
      </c>
    </row>
    <row r="15" spans="1:29" ht="57">
      <c r="A15" s="2865"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4" t="s">
        <v>540</v>
      </c>
      <c r="Q15" s="1558" t="str">
        <f t="shared" si="6"/>
        <v>产业集聚程度</v>
      </c>
      <c r="R15" s="1559" t="s">
        <v>8</v>
      </c>
      <c r="S15" s="1560">
        <f t="shared" si="0"/>
        <v>100</v>
      </c>
      <c r="T15" s="1559" t="s">
        <v>8</v>
      </c>
      <c r="U15" s="1560">
        <f t="shared" si="1"/>
        <v>100</v>
      </c>
      <c r="V15" s="1559" t="s">
        <v>8</v>
      </c>
      <c r="W15" s="1560">
        <f t="shared" si="2"/>
        <v>100</v>
      </c>
      <c r="X15" s="1553"/>
      <c r="Y15" s="3374"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5"/>
      <c r="Q16" s="1558"/>
      <c r="R16" s="1559"/>
      <c r="S16" s="1560"/>
      <c r="T16" s="1559"/>
      <c r="U16" s="1560"/>
      <c r="V16" s="1559"/>
      <c r="W16" s="1560"/>
      <c r="X16" s="1553"/>
      <c r="Y16" s="3375"/>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75"/>
      <c r="Q17" s="1558" t="str">
        <f>B17</f>
        <v>交通便捷度</v>
      </c>
      <c r="R17" s="1559" t="s">
        <v>8</v>
      </c>
      <c r="S17" s="1560">
        <f>F17</f>
        <v>100</v>
      </c>
      <c r="T17" s="1559" t="s">
        <v>8</v>
      </c>
      <c r="U17" s="1560">
        <f>H17</f>
        <v>100</v>
      </c>
      <c r="V17" s="1559" t="s">
        <v>8</v>
      </c>
      <c r="W17" s="1560">
        <f>J17</f>
        <v>100</v>
      </c>
      <c r="X17" s="1553"/>
      <c r="Y17" s="337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5"/>
      <c r="Q18" s="1558"/>
      <c r="R18" s="1559"/>
      <c r="S18" s="1560"/>
      <c r="T18" s="1559"/>
      <c r="U18" s="1560"/>
      <c r="V18" s="1559"/>
      <c r="W18" s="1560"/>
      <c r="X18" s="1553"/>
      <c r="Y18" s="3375"/>
      <c r="Z18" s="1561"/>
      <c r="AA18" s="1562">
        <v>1</v>
      </c>
      <c r="AB18" s="1562">
        <v>1</v>
      </c>
      <c r="AC18" s="1562">
        <v>1</v>
      </c>
    </row>
    <row r="19" spans="1:29" ht="42.75">
      <c r="A19" s="532"/>
      <c r="B19" s="2567"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75"/>
      <c r="Q19" s="1558" t="str">
        <f>B19</f>
        <v>公共配套设施</v>
      </c>
      <c r="R19" s="1559" t="s">
        <v>8</v>
      </c>
      <c r="S19" s="1560">
        <f>F19</f>
        <v>100</v>
      </c>
      <c r="T19" s="1559" t="s">
        <v>8</v>
      </c>
      <c r="U19" s="1560">
        <f>H19</f>
        <v>100</v>
      </c>
      <c r="V19" s="1559" t="s">
        <v>8</v>
      </c>
      <c r="W19" s="1560">
        <f>J19</f>
        <v>100</v>
      </c>
      <c r="X19" s="1553"/>
      <c r="Y19" s="337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75"/>
      <c r="Q20" s="1558"/>
      <c r="R20" s="1559"/>
      <c r="S20" s="1560"/>
      <c r="T20" s="1559"/>
      <c r="U20" s="1560"/>
      <c r="V20" s="1559"/>
      <c r="W20" s="1560"/>
      <c r="X20" s="1553"/>
      <c r="Y20" s="3375"/>
      <c r="Z20" s="1561"/>
      <c r="AA20" s="1562">
        <v>1</v>
      </c>
      <c r="AB20" s="1562">
        <v>1</v>
      </c>
      <c r="AC20" s="1562">
        <v>1</v>
      </c>
    </row>
    <row r="21" spans="1:29" ht="28.5">
      <c r="A21" s="532"/>
      <c r="B21" s="2555"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75"/>
      <c r="Q21" s="2543" t="str">
        <f>B21</f>
        <v>基础设施水平</v>
      </c>
      <c r="R21" s="1559" t="s">
        <v>8</v>
      </c>
      <c r="S21" s="1560">
        <f>F21</f>
        <v>100</v>
      </c>
      <c r="T21" s="1559" t="s">
        <v>8</v>
      </c>
      <c r="U21" s="1560">
        <f>H21</f>
        <v>100</v>
      </c>
      <c r="V21" s="1559" t="s">
        <v>8</v>
      </c>
      <c r="W21" s="1560">
        <f>J21</f>
        <v>100</v>
      </c>
      <c r="X21" s="2545"/>
      <c r="Y21" s="3375"/>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75"/>
      <c r="Q22" s="2543"/>
      <c r="R22" s="1559"/>
      <c r="S22" s="1560"/>
      <c r="T22" s="1559"/>
      <c r="U22" s="1560"/>
      <c r="V22" s="1559"/>
      <c r="W22" s="1560"/>
      <c r="X22" s="2545"/>
      <c r="Y22" s="3375"/>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75"/>
      <c r="Q23" s="1558" t="str">
        <f>B23</f>
        <v>环境质量</v>
      </c>
      <c r="R23" s="1559" t="s">
        <v>8</v>
      </c>
      <c r="S23" s="1560">
        <f>F23</f>
        <v>100</v>
      </c>
      <c r="T23" s="1559" t="s">
        <v>8</v>
      </c>
      <c r="U23" s="1560">
        <f>H23</f>
        <v>100</v>
      </c>
      <c r="V23" s="1559" t="s">
        <v>8</v>
      </c>
      <c r="W23" s="1560">
        <f>J23</f>
        <v>100</v>
      </c>
      <c r="X23" s="1553"/>
      <c r="Y23" s="3375"/>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75"/>
      <c r="Q24" s="1558"/>
      <c r="R24" s="1559"/>
      <c r="S24" s="1560"/>
      <c r="T24" s="1559"/>
      <c r="U24" s="1560"/>
      <c r="V24" s="1559"/>
      <c r="W24" s="1560"/>
      <c r="X24" s="1553"/>
      <c r="Y24" s="337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75"/>
      <c r="Q25" s="1558">
        <f>B25</f>
        <v>111</v>
      </c>
      <c r="R25" s="1559" t="s">
        <v>8</v>
      </c>
      <c r="S25" s="1560">
        <f>F25</f>
        <v>100</v>
      </c>
      <c r="T25" s="1559" t="s">
        <v>8</v>
      </c>
      <c r="U25" s="1560">
        <f>H25</f>
        <v>100</v>
      </c>
      <c r="V25" s="1559" t="s">
        <v>8</v>
      </c>
      <c r="W25" s="1560">
        <f>J25</f>
        <v>100</v>
      </c>
      <c r="X25" s="1553"/>
      <c r="Y25" s="337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75"/>
      <c r="Q26" s="1558">
        <f t="shared" ref="Q26:Q40" si="11">B26</f>
        <v>111</v>
      </c>
      <c r="R26" s="1559" t="s">
        <v>8</v>
      </c>
      <c r="S26" s="1560">
        <f>F26</f>
        <v>100</v>
      </c>
      <c r="T26" s="1559" t="s">
        <v>8</v>
      </c>
      <c r="U26" s="1560">
        <f>H26</f>
        <v>100</v>
      </c>
      <c r="V26" s="1559" t="s">
        <v>8</v>
      </c>
      <c r="W26" s="1560">
        <f>J26</f>
        <v>100</v>
      </c>
      <c r="X26" s="1553"/>
      <c r="Y26" s="3375"/>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75"/>
      <c r="Q27" s="1146">
        <f t="shared" si="11"/>
        <v>111</v>
      </c>
      <c r="R27" s="1554" t="s">
        <v>8</v>
      </c>
      <c r="S27" s="1555">
        <f>F27</f>
        <v>100</v>
      </c>
      <c r="T27" s="1554" t="s">
        <v>8</v>
      </c>
      <c r="U27" s="1555">
        <f>H27</f>
        <v>100</v>
      </c>
      <c r="V27" s="1554" t="s">
        <v>8</v>
      </c>
      <c r="W27" s="1555">
        <f>J27</f>
        <v>100</v>
      </c>
      <c r="X27" s="1556"/>
      <c r="Y27" s="3375"/>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75"/>
      <c r="Q28" s="1558">
        <f t="shared" si="11"/>
        <v>111</v>
      </c>
      <c r="R28" s="1559" t="s">
        <v>8</v>
      </c>
      <c r="S28" s="1560">
        <f t="shared" ref="S28:S40" si="12">F28</f>
        <v>100</v>
      </c>
      <c r="T28" s="1559" t="s">
        <v>8</v>
      </c>
      <c r="U28" s="1560">
        <f t="shared" ref="U28:U40" si="13">H28</f>
        <v>100</v>
      </c>
      <c r="V28" s="1559" t="s">
        <v>8</v>
      </c>
      <c r="W28" s="1560">
        <f t="shared" ref="W28:W40" si="14">J28</f>
        <v>100</v>
      </c>
      <c r="X28" s="1553"/>
      <c r="Y28" s="3375"/>
      <c r="Z28" s="1561">
        <f t="shared" ref="Z28:Z40" si="15">Q28</f>
        <v>111</v>
      </c>
      <c r="AA28" s="1562">
        <f t="shared" si="3"/>
        <v>1</v>
      </c>
      <c r="AB28" s="1562">
        <f t="shared" si="4"/>
        <v>1</v>
      </c>
      <c r="AC28" s="1562">
        <f t="shared" si="5"/>
        <v>1</v>
      </c>
    </row>
    <row r="29" spans="1:29" ht="15">
      <c r="A29" s="2862"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76" t="s">
        <v>550</v>
      </c>
      <c r="Q29" s="1558" t="str">
        <f t="shared" si="11"/>
        <v>建筑类型</v>
      </c>
      <c r="R29" s="1559" t="s">
        <v>8</v>
      </c>
      <c r="S29" s="1560">
        <f t="shared" si="12"/>
        <v>100</v>
      </c>
      <c r="T29" s="1559" t="s">
        <v>8</v>
      </c>
      <c r="U29" s="1560">
        <f t="shared" si="13"/>
        <v>100</v>
      </c>
      <c r="V29" s="1559" t="s">
        <v>8</v>
      </c>
      <c r="W29" s="1560">
        <f t="shared" si="14"/>
        <v>100</v>
      </c>
      <c r="X29" s="1553"/>
      <c r="Y29" s="3377"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77"/>
      <c r="Q30" s="1590" t="str">
        <f t="shared" si="11"/>
        <v>项目建筑规模</v>
      </c>
      <c r="R30" s="1563" t="s">
        <v>8</v>
      </c>
      <c r="S30" s="1564" t="e">
        <f t="shared" si="12"/>
        <v>#N/A</v>
      </c>
      <c r="T30" s="1563" t="s">
        <v>8</v>
      </c>
      <c r="U30" s="1564" t="e">
        <f t="shared" si="13"/>
        <v>#N/A</v>
      </c>
      <c r="V30" s="1563" t="s">
        <v>8</v>
      </c>
      <c r="W30" s="1564" t="e">
        <f t="shared" si="14"/>
        <v>#N/A</v>
      </c>
      <c r="X30" s="1565"/>
      <c r="Y30" s="3377"/>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77"/>
      <c r="Q31" s="1558" t="str">
        <f t="shared" si="11"/>
        <v>建筑结构</v>
      </c>
      <c r="R31" s="1559" t="s">
        <v>8</v>
      </c>
      <c r="S31" s="1560">
        <f t="shared" si="12"/>
        <v>100</v>
      </c>
      <c r="T31" s="1559" t="s">
        <v>8</v>
      </c>
      <c r="U31" s="1560">
        <f t="shared" si="13"/>
        <v>100</v>
      </c>
      <c r="V31" s="1559" t="s">
        <v>8</v>
      </c>
      <c r="W31" s="1560">
        <f t="shared" si="14"/>
        <v>100</v>
      </c>
      <c r="X31" s="1553"/>
      <c r="Y31" s="3377"/>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77"/>
      <c r="Q32" s="1558" t="str">
        <f t="shared" si="11"/>
        <v>公共部分装修</v>
      </c>
      <c r="R32" s="1559" t="s">
        <v>8</v>
      </c>
      <c r="S32" s="1560">
        <f t="shared" si="12"/>
        <v>100</v>
      </c>
      <c r="T32" s="1559" t="s">
        <v>8</v>
      </c>
      <c r="U32" s="1560">
        <f t="shared" si="13"/>
        <v>100</v>
      </c>
      <c r="V32" s="1559" t="s">
        <v>8</v>
      </c>
      <c r="W32" s="1560">
        <f t="shared" si="14"/>
        <v>100</v>
      </c>
      <c r="X32" s="1553"/>
      <c r="Y32" s="3377"/>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77"/>
      <c r="Q33" s="1558" t="str">
        <f t="shared" si="11"/>
        <v>成新度</v>
      </c>
      <c r="R33" s="1559" t="s">
        <v>8</v>
      </c>
      <c r="S33" s="1560" t="e">
        <f t="shared" si="12"/>
        <v>#N/A</v>
      </c>
      <c r="T33" s="1559" t="s">
        <v>8</v>
      </c>
      <c r="U33" s="1560" t="e">
        <f t="shared" si="13"/>
        <v>#N/A</v>
      </c>
      <c r="V33" s="1559" t="s">
        <v>8</v>
      </c>
      <c r="W33" s="1560" t="e">
        <f t="shared" si="14"/>
        <v>#N/A</v>
      </c>
      <c r="X33" s="1553"/>
      <c r="Y33" s="3377"/>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77"/>
      <c r="Q34" s="1146" t="str">
        <f t="shared" si="11"/>
        <v>物业管理</v>
      </c>
      <c r="R34" s="1554" t="s">
        <v>8</v>
      </c>
      <c r="S34" s="1555">
        <f t="shared" si="12"/>
        <v>100</v>
      </c>
      <c r="T34" s="1554" t="s">
        <v>8</v>
      </c>
      <c r="U34" s="1555">
        <f t="shared" si="13"/>
        <v>100</v>
      </c>
      <c r="V34" s="1554" t="s">
        <v>8</v>
      </c>
      <c r="W34" s="1555">
        <f t="shared" si="14"/>
        <v>100</v>
      </c>
      <c r="X34" s="1556"/>
      <c r="Y34" s="3377"/>
      <c r="Z34" s="1145" t="str">
        <f t="shared" si="15"/>
        <v>物业管理</v>
      </c>
      <c r="AA34" s="1557">
        <f t="shared" si="3"/>
        <v>1</v>
      </c>
      <c r="AB34" s="1557">
        <f t="shared" si="4"/>
        <v>1</v>
      </c>
      <c r="AC34" s="1557">
        <f t="shared" si="5"/>
        <v>1</v>
      </c>
    </row>
    <row r="35" spans="1:29" ht="15">
      <c r="A35" s="594"/>
      <c r="B35" s="1880"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77" t="s">
        <v>550</v>
      </c>
      <c r="Q35" s="1558" t="str">
        <f t="shared" si="11"/>
        <v>市政基础设施</v>
      </c>
      <c r="R35" s="1559" t="s">
        <v>8</v>
      </c>
      <c r="S35" s="1560">
        <f t="shared" si="12"/>
        <v>100</v>
      </c>
      <c r="T35" s="1559" t="s">
        <v>8</v>
      </c>
      <c r="U35" s="1560">
        <f t="shared" si="13"/>
        <v>100</v>
      </c>
      <c r="V35" s="1559" t="s">
        <v>8</v>
      </c>
      <c r="W35" s="1560">
        <f t="shared" si="14"/>
        <v>100</v>
      </c>
      <c r="X35" s="1553"/>
      <c r="Y35" s="3377"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77"/>
      <c r="Q36" s="1558" t="str">
        <f t="shared" si="11"/>
        <v>内部装修</v>
      </c>
      <c r="R36" s="1559" t="s">
        <v>8</v>
      </c>
      <c r="S36" s="1560">
        <f t="shared" si="12"/>
        <v>100</v>
      </c>
      <c r="T36" s="1559" t="s">
        <v>8</v>
      </c>
      <c r="U36" s="1560">
        <f t="shared" si="13"/>
        <v>100</v>
      </c>
      <c r="V36" s="1559" t="s">
        <v>8</v>
      </c>
      <c r="W36" s="1560">
        <f t="shared" si="14"/>
        <v>100</v>
      </c>
      <c r="X36" s="1553"/>
      <c r="Y36" s="3377"/>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77"/>
      <c r="Q37" s="1558" t="str">
        <f t="shared" si="11"/>
        <v>内部装修状况</v>
      </c>
      <c r="R37" s="1559" t="s">
        <v>8</v>
      </c>
      <c r="S37" s="1560">
        <f t="shared" si="12"/>
        <v>100</v>
      </c>
      <c r="T37" s="1559" t="s">
        <v>8</v>
      </c>
      <c r="U37" s="1560">
        <f t="shared" si="13"/>
        <v>100</v>
      </c>
      <c r="V37" s="1559" t="s">
        <v>8</v>
      </c>
      <c r="W37" s="1560">
        <f t="shared" si="14"/>
        <v>100</v>
      </c>
      <c r="X37" s="1553"/>
      <c r="Y37" s="3377"/>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77"/>
      <c r="Q38" s="1590">
        <f t="shared" si="11"/>
        <v>111</v>
      </c>
      <c r="R38" s="1563" t="s">
        <v>8</v>
      </c>
      <c r="S38" s="1564">
        <f t="shared" si="12"/>
        <v>100</v>
      </c>
      <c r="T38" s="1563" t="s">
        <v>8</v>
      </c>
      <c r="U38" s="1564">
        <f t="shared" si="13"/>
        <v>100</v>
      </c>
      <c r="V38" s="1563" t="s">
        <v>8</v>
      </c>
      <c r="W38" s="1564">
        <f t="shared" si="14"/>
        <v>100</v>
      </c>
      <c r="X38" s="1565"/>
      <c r="Y38" s="3377"/>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77"/>
      <c r="Q39" s="1558">
        <f t="shared" si="11"/>
        <v>111</v>
      </c>
      <c r="R39" s="1559" t="s">
        <v>8</v>
      </c>
      <c r="S39" s="1560">
        <f t="shared" si="12"/>
        <v>100</v>
      </c>
      <c r="T39" s="1559" t="s">
        <v>8</v>
      </c>
      <c r="U39" s="1560">
        <f t="shared" si="13"/>
        <v>100</v>
      </c>
      <c r="V39" s="1559" t="s">
        <v>8</v>
      </c>
      <c r="W39" s="1560">
        <f t="shared" si="14"/>
        <v>100</v>
      </c>
      <c r="X39" s="1553"/>
      <c r="Y39" s="3377"/>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7"/>
      <c r="Q40" s="1558">
        <f t="shared" si="11"/>
        <v>111</v>
      </c>
      <c r="R40" s="1559" t="s">
        <v>8</v>
      </c>
      <c r="S40" s="1560">
        <f t="shared" si="12"/>
        <v>100</v>
      </c>
      <c r="T40" s="1559" t="s">
        <v>8</v>
      </c>
      <c r="U40" s="1560">
        <f t="shared" si="13"/>
        <v>100</v>
      </c>
      <c r="V40" s="1559" t="s">
        <v>8</v>
      </c>
      <c r="W40" s="1560">
        <f t="shared" si="14"/>
        <v>100</v>
      </c>
      <c r="X40" s="1553"/>
      <c r="Y40" s="3477"/>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2" t="str">
        <f>A41</f>
        <v>成交单价（元/平方米）</v>
      </c>
      <c r="Q41" s="3372"/>
      <c r="R41" s="3476">
        <f>E41</f>
        <v>0</v>
      </c>
      <c r="S41" s="3476"/>
      <c r="T41" s="3476">
        <f>G41</f>
        <v>0</v>
      </c>
      <c r="U41" s="3476"/>
      <c r="V41" s="3476">
        <f>I41</f>
        <v>0</v>
      </c>
      <c r="W41" s="3476"/>
      <c r="X41" s="1545"/>
      <c r="Y41" s="1567"/>
      <c r="Z41" s="1545"/>
      <c r="AA41" s="1545"/>
      <c r="AB41" s="1545"/>
      <c r="AC41" s="1545"/>
    </row>
    <row r="42" spans="1:29" ht="15.75" thickBot="1">
      <c r="A42" s="615" t="s">
        <v>2753</v>
      </c>
      <c r="B42" s="888"/>
      <c r="C42" s="2597" t="e">
        <f>R43</f>
        <v>#DIV/0!</v>
      </c>
      <c r="D42" s="2598"/>
      <c r="E42" s="2599" t="e">
        <f>R42</f>
        <v>#DIV/0!</v>
      </c>
      <c r="F42" s="2599"/>
      <c r="G42" s="2597" t="e">
        <f>T42</f>
        <v>#DIV/0!</v>
      </c>
      <c r="H42" s="2598"/>
      <c r="I42" s="2599" t="e">
        <f>V42</f>
        <v>#DIV/0!</v>
      </c>
      <c r="J42" s="2598"/>
      <c r="K42" s="1597"/>
      <c r="L42" s="2129"/>
      <c r="M42" s="2130"/>
      <c r="N42" s="2119"/>
      <c r="O42" s="2130"/>
      <c r="P42" s="3372" t="str">
        <f>A42</f>
        <v>比较价格（元/平方米）</v>
      </c>
      <c r="Q42" s="3372"/>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45"/>
      <c r="Y42" s="1545"/>
      <c r="Z42" s="1545"/>
      <c r="AA42" s="1545"/>
      <c r="AB42" s="1545"/>
      <c r="AC42" s="1545"/>
    </row>
    <row r="43" spans="1:29" ht="15.75" thickBot="1">
      <c r="A43" s="621" t="s">
        <v>2929</v>
      </c>
      <c r="B43" s="622"/>
      <c r="C43" s="2600" t="e">
        <f>R43</f>
        <v>#DIV/0!</v>
      </c>
      <c r="D43" s="2600"/>
      <c r="E43" s="2600"/>
      <c r="F43" s="2600"/>
      <c r="G43" s="2600"/>
      <c r="H43" s="2600"/>
      <c r="I43" s="2600"/>
      <c r="J43" s="2600"/>
      <c r="K43" s="1598"/>
      <c r="L43" s="2129"/>
      <c r="M43" s="2130"/>
      <c r="N43" s="2130"/>
      <c r="O43" s="2130"/>
      <c r="P43" s="3393" t="str">
        <f>A43</f>
        <v>估价对象XX用房的比较价格（楼面单价，元/平方米）</v>
      </c>
      <c r="Q43" s="3394"/>
      <c r="R43" s="3475" t="e">
        <f>IF(F1="售价",ROUND(AVERAGE(R42:V42),0),ROUND(AVERAGE(R42:V42),1))</f>
        <v>#DIV/0!</v>
      </c>
      <c r="S43" s="3475"/>
      <c r="T43" s="3475"/>
      <c r="U43" s="3475"/>
      <c r="V43" s="3475"/>
      <c r="W43" s="347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2020-7</v>
      </c>
      <c r="D52" s="2759">
        <f>EDATE(C52,-1)</f>
        <v>43983</v>
      </c>
      <c r="E52" s="2759">
        <f t="shared" ref="E52:O52" si="16">EDATE(D52,-1)</f>
        <v>43952</v>
      </c>
      <c r="F52" s="2759">
        <f t="shared" si="16"/>
        <v>43922</v>
      </c>
      <c r="G52" s="2759">
        <f t="shared" si="16"/>
        <v>43891</v>
      </c>
      <c r="H52" s="2759">
        <f t="shared" si="16"/>
        <v>43862</v>
      </c>
      <c r="I52" s="2759">
        <f t="shared" si="16"/>
        <v>43831</v>
      </c>
      <c r="J52" s="2759">
        <f t="shared" si="16"/>
        <v>43800</v>
      </c>
      <c r="K52" s="2759">
        <f t="shared" si="16"/>
        <v>43770</v>
      </c>
      <c r="L52" s="2759">
        <f t="shared" si="16"/>
        <v>43739</v>
      </c>
      <c r="M52" s="2759">
        <f t="shared" si="16"/>
        <v>43709</v>
      </c>
      <c r="N52" s="2759">
        <f t="shared" si="16"/>
        <v>43678</v>
      </c>
      <c r="O52" s="2759">
        <f t="shared" si="16"/>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2551</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2552</v>
      </c>
      <c r="C76" s="2562" t="s">
        <v>2553</v>
      </c>
      <c r="D76" s="2562" t="s">
        <v>2554</v>
      </c>
      <c r="E76" s="2562" t="s">
        <v>2555</v>
      </c>
      <c r="F76" s="2562" t="s">
        <v>2556</v>
      </c>
      <c r="G76" s="2562" t="s">
        <v>2557</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2550</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8" t="s">
        <v>798</v>
      </c>
      <c r="D4" s="3379"/>
      <c r="E4" s="3378" t="s">
        <v>799</v>
      </c>
      <c r="F4" s="3379"/>
      <c r="G4" s="3378" t="s">
        <v>800</v>
      </c>
      <c r="H4" s="3379"/>
      <c r="I4" s="3378" t="s">
        <v>801</v>
      </c>
      <c r="J4" s="3379"/>
      <c r="K4" s="514" t="s">
        <v>802</v>
      </c>
      <c r="L4" s="2118"/>
      <c r="M4" s="2119"/>
      <c r="N4" s="2119"/>
      <c r="O4" s="2119"/>
      <c r="P4" s="3380" t="s">
        <v>803</v>
      </c>
      <c r="Q4" s="3381"/>
      <c r="R4" s="3366" t="s">
        <v>799</v>
      </c>
      <c r="S4" s="3367"/>
      <c r="T4" s="3366" t="s">
        <v>800</v>
      </c>
      <c r="U4" s="3367"/>
      <c r="V4" s="3386" t="s">
        <v>801</v>
      </c>
      <c r="W4" s="3386"/>
      <c r="X4" s="1553"/>
      <c r="Y4" s="3366" t="s">
        <v>803</v>
      </c>
      <c r="Z4" s="3367"/>
      <c r="AA4" s="3361" t="s">
        <v>799</v>
      </c>
      <c r="AB4" s="3362" t="s">
        <v>800</v>
      </c>
      <c r="AC4" s="3361" t="s">
        <v>801</v>
      </c>
    </row>
    <row r="5" spans="1:29" ht="15">
      <c r="A5" s="515"/>
      <c r="B5" s="516"/>
      <c r="C5" s="3389" t="s">
        <v>2923</v>
      </c>
      <c r="D5" s="3390"/>
      <c r="E5" s="3389" t="s">
        <v>2924</v>
      </c>
      <c r="F5" s="3390"/>
      <c r="G5" s="3389" t="s">
        <v>2925</v>
      </c>
      <c r="H5" s="3390"/>
      <c r="I5" s="3389" t="s">
        <v>2926</v>
      </c>
      <c r="J5" s="3390"/>
      <c r="K5" s="514"/>
      <c r="L5" s="2118"/>
      <c r="M5" s="2119"/>
      <c r="N5" s="2119"/>
      <c r="O5" s="2119"/>
      <c r="P5" s="3382"/>
      <c r="Q5" s="3383"/>
      <c r="R5" s="3368"/>
      <c r="S5" s="3369"/>
      <c r="T5" s="3368"/>
      <c r="U5" s="3369"/>
      <c r="V5" s="3386"/>
      <c r="W5" s="3386"/>
      <c r="X5" s="1553"/>
      <c r="Y5" s="3368"/>
      <c r="Z5" s="3369"/>
      <c r="AA5" s="3362"/>
      <c r="AB5" s="3362"/>
      <c r="AC5" s="3362"/>
    </row>
    <row r="6" spans="1:29" ht="15.75" thickBot="1">
      <c r="A6" s="517"/>
      <c r="B6" s="518"/>
      <c r="C6" s="3387" t="s">
        <v>2927</v>
      </c>
      <c r="D6" s="3388"/>
      <c r="E6" s="3391" t="s">
        <v>2927</v>
      </c>
      <c r="F6" s="3392"/>
      <c r="G6" s="3387" t="s">
        <v>2927</v>
      </c>
      <c r="H6" s="3388"/>
      <c r="I6" s="3387" t="s">
        <v>2927</v>
      </c>
      <c r="J6" s="3388"/>
      <c r="K6" s="514" t="s">
        <v>528</v>
      </c>
      <c r="L6" s="2118"/>
      <c r="M6" s="2119"/>
      <c r="N6" s="2119"/>
      <c r="O6" s="2119"/>
      <c r="P6" s="3384"/>
      <c r="Q6" s="3385"/>
      <c r="R6" s="3368"/>
      <c r="S6" s="3369"/>
      <c r="T6" s="3370"/>
      <c r="U6" s="3371"/>
      <c r="V6" s="3386"/>
      <c r="W6" s="3386"/>
      <c r="X6" s="1553"/>
      <c r="Y6" s="3370"/>
      <c r="Z6" s="3371"/>
      <c r="AA6" s="3363"/>
      <c r="AB6" s="3363"/>
      <c r="AC6" s="3363"/>
    </row>
    <row r="7" spans="1:29" s="1215" customFormat="1" ht="15.75" thickBot="1">
      <c r="A7" s="2867"/>
      <c r="B7" s="2874" t="s">
        <v>529</v>
      </c>
      <c r="C7" s="519">
        <f>'数据-取费表'!B2</f>
        <v>44034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64" t="s">
        <v>530</v>
      </c>
      <c r="Q7" s="3373"/>
      <c r="R7" s="1554" t="s">
        <v>8</v>
      </c>
      <c r="S7" s="1555">
        <f t="shared" ref="S7:S14" si="0">F7</f>
        <v>0</v>
      </c>
      <c r="T7" s="1554" t="s">
        <v>8</v>
      </c>
      <c r="U7" s="1555">
        <f t="shared" ref="U7:U14" si="1">H7</f>
        <v>0</v>
      </c>
      <c r="V7" s="1554" t="s">
        <v>8</v>
      </c>
      <c r="W7" s="1555">
        <f t="shared" ref="W7:W14" si="2">J7</f>
        <v>0</v>
      </c>
      <c r="X7" s="1556"/>
      <c r="Y7" s="3364" t="s">
        <v>530</v>
      </c>
      <c r="Z7" s="3365"/>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64" t="s">
        <v>533</v>
      </c>
      <c r="Q8" s="3365"/>
      <c r="R8" s="1554" t="s">
        <v>8</v>
      </c>
      <c r="S8" s="1555">
        <f t="shared" si="0"/>
        <v>0</v>
      </c>
      <c r="T8" s="1554" t="s">
        <v>8</v>
      </c>
      <c r="U8" s="1555">
        <f t="shared" si="1"/>
        <v>0</v>
      </c>
      <c r="V8" s="1554" t="s">
        <v>8</v>
      </c>
      <c r="W8" s="1555">
        <f t="shared" si="2"/>
        <v>0</v>
      </c>
      <c r="X8" s="1556"/>
      <c r="Y8" s="3364" t="s">
        <v>533</v>
      </c>
      <c r="Z8" s="3365"/>
      <c r="AA8" s="1557" t="e">
        <f t="shared" ref="AA8:AA36" si="3">D8/F8</f>
        <v>#DIV/0!</v>
      </c>
      <c r="AB8" s="1557" t="e">
        <f t="shared" ref="AB8:AB36" si="4">D8/H8</f>
        <v>#DIV/0!</v>
      </c>
      <c r="AC8" s="1557" t="e">
        <f t="shared" ref="AC8:AC36" si="5">D8/J8</f>
        <v>#DIV/0!</v>
      </c>
    </row>
    <row r="9" spans="1:29" s="1215" customFormat="1" ht="15">
      <c r="A9" s="2869"/>
      <c r="B9" s="2876" t="s">
        <v>2749</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2" t="s">
        <v>535</v>
      </c>
      <c r="Q9" s="1146" t="str">
        <f t="shared" ref="Q9:Q14" si="6">B9</f>
        <v>用途</v>
      </c>
      <c r="R9" s="1554" t="s">
        <v>8</v>
      </c>
      <c r="S9" s="1555">
        <f t="shared" si="0"/>
        <v>100</v>
      </c>
      <c r="T9" s="1554" t="s">
        <v>8</v>
      </c>
      <c r="U9" s="1555">
        <f t="shared" si="1"/>
        <v>100</v>
      </c>
      <c r="V9" s="1554" t="s">
        <v>8</v>
      </c>
      <c r="W9" s="1555">
        <f t="shared" si="2"/>
        <v>100</v>
      </c>
      <c r="X9" s="1556"/>
      <c r="Y9" s="3326"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26"/>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2"/>
      <c r="Q11" s="1146">
        <f t="shared" si="6"/>
        <v>111</v>
      </c>
      <c r="R11" s="1554" t="s">
        <v>8</v>
      </c>
      <c r="S11" s="1555">
        <f t="shared" si="0"/>
        <v>100</v>
      </c>
      <c r="T11" s="1554" t="s">
        <v>8</v>
      </c>
      <c r="U11" s="1555">
        <f t="shared" si="1"/>
        <v>100</v>
      </c>
      <c r="V11" s="1554" t="s">
        <v>8</v>
      </c>
      <c r="W11" s="1555">
        <f t="shared" si="2"/>
        <v>100</v>
      </c>
      <c r="X11" s="1556"/>
      <c r="Y11" s="3326"/>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26"/>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26"/>
      <c r="Z13" s="1145">
        <f t="shared" si="7"/>
        <v>111</v>
      </c>
      <c r="AA13" s="1557">
        <f t="shared" si="3"/>
        <v>1</v>
      </c>
      <c r="AB13" s="1557">
        <f t="shared" si="4"/>
        <v>1</v>
      </c>
      <c r="AC13" s="1557">
        <f t="shared" si="5"/>
        <v>1</v>
      </c>
    </row>
    <row r="14" spans="1:29" ht="85.5">
      <c r="A14" s="2865" t="s">
        <v>2747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74" t="s">
        <v>540</v>
      </c>
      <c r="Q14" s="1558" t="str">
        <f t="shared" si="6"/>
        <v>交通便捷度</v>
      </c>
      <c r="R14" s="1559" t="s">
        <v>8</v>
      </c>
      <c r="S14" s="1560">
        <f t="shared" si="0"/>
        <v>100</v>
      </c>
      <c r="T14" s="1559" t="s">
        <v>8</v>
      </c>
      <c r="U14" s="1560">
        <f t="shared" si="1"/>
        <v>100</v>
      </c>
      <c r="V14" s="1559" t="s">
        <v>8</v>
      </c>
      <c r="W14" s="1560">
        <f t="shared" si="2"/>
        <v>100</v>
      </c>
      <c r="X14" s="1553"/>
      <c r="Y14" s="3374"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75"/>
      <c r="Q15" s="1558"/>
      <c r="R15" s="1559"/>
      <c r="S15" s="1560"/>
      <c r="T15" s="1559"/>
      <c r="U15" s="1560"/>
      <c r="V15" s="1559"/>
      <c r="W15" s="1560"/>
      <c r="X15" s="1553"/>
      <c r="Y15" s="3375"/>
      <c r="Z15" s="1561"/>
      <c r="AA15" s="1562">
        <v>1</v>
      </c>
      <c r="AB15" s="1562">
        <v>1</v>
      </c>
      <c r="AC15" s="1562">
        <v>1</v>
      </c>
    </row>
    <row r="16" spans="1:29" ht="42.75">
      <c r="A16" s="515"/>
      <c r="B16" s="2567"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75"/>
      <c r="Q16" s="1558" t="str">
        <f>B16</f>
        <v>公共配套设施</v>
      </c>
      <c r="R16" s="1559" t="s">
        <v>8</v>
      </c>
      <c r="S16" s="1560">
        <f>F16</f>
        <v>100</v>
      </c>
      <c r="T16" s="1559" t="s">
        <v>8</v>
      </c>
      <c r="U16" s="1560">
        <f>H16</f>
        <v>100</v>
      </c>
      <c r="V16" s="1559" t="s">
        <v>8</v>
      </c>
      <c r="W16" s="1560">
        <f>J16</f>
        <v>100</v>
      </c>
      <c r="X16" s="1553"/>
      <c r="Y16" s="337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75"/>
      <c r="Q17" s="1558"/>
      <c r="R17" s="1559"/>
      <c r="S17" s="1560"/>
      <c r="T17" s="1559"/>
      <c r="U17" s="1560"/>
      <c r="V17" s="1559"/>
      <c r="W17" s="1560"/>
      <c r="X17" s="1553"/>
      <c r="Y17" s="3375"/>
      <c r="Z17" s="1561"/>
      <c r="AA17" s="1562">
        <v>1</v>
      </c>
      <c r="AB17" s="1562">
        <v>1</v>
      </c>
      <c r="AC17" s="1562">
        <v>1</v>
      </c>
    </row>
    <row r="18" spans="1:29" ht="28.5">
      <c r="A18" s="515"/>
      <c r="B18" s="2555"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75"/>
      <c r="Q18" s="2543" t="str">
        <f>B18</f>
        <v>基础设施水平</v>
      </c>
      <c r="R18" s="1559" t="s">
        <v>8</v>
      </c>
      <c r="S18" s="1560">
        <f>F18</f>
        <v>100</v>
      </c>
      <c r="T18" s="1559" t="s">
        <v>8</v>
      </c>
      <c r="U18" s="1560">
        <f>H18</f>
        <v>100</v>
      </c>
      <c r="V18" s="1559" t="s">
        <v>8</v>
      </c>
      <c r="W18" s="1560">
        <f>J18</f>
        <v>100</v>
      </c>
      <c r="X18" s="2545"/>
      <c r="Y18" s="3375"/>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75"/>
      <c r="Q19" s="2543"/>
      <c r="R19" s="1559"/>
      <c r="S19" s="1560"/>
      <c r="T19" s="1559"/>
      <c r="U19" s="1560"/>
      <c r="V19" s="1559"/>
      <c r="W19" s="1560"/>
      <c r="X19" s="2545"/>
      <c r="Y19" s="3375"/>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75"/>
      <c r="Q20" s="1558" t="str">
        <f>B20</f>
        <v>自然及人文环境</v>
      </c>
      <c r="R20" s="1559" t="s">
        <v>8</v>
      </c>
      <c r="S20" s="1560">
        <f>F20</f>
        <v>100</v>
      </c>
      <c r="T20" s="1559" t="s">
        <v>8</v>
      </c>
      <c r="U20" s="1560">
        <f>H20</f>
        <v>100</v>
      </c>
      <c r="V20" s="1559" t="s">
        <v>8</v>
      </c>
      <c r="W20" s="1560">
        <f>J20</f>
        <v>100</v>
      </c>
      <c r="X20" s="1553"/>
      <c r="Y20" s="337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75"/>
      <c r="Q21" s="1558"/>
      <c r="R21" s="1559"/>
      <c r="S21" s="1560"/>
      <c r="T21" s="1559"/>
      <c r="U21" s="1560"/>
      <c r="V21" s="1559"/>
      <c r="W21" s="1560"/>
      <c r="X21" s="1553"/>
      <c r="Y21" s="3375"/>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75"/>
      <c r="Q22" s="1558" t="str">
        <f>B22</f>
        <v>楼层</v>
      </c>
      <c r="R22" s="1559" t="s">
        <v>8</v>
      </c>
      <c r="S22" s="1560">
        <f>F22</f>
        <v>100</v>
      </c>
      <c r="T22" s="1559" t="s">
        <v>8</v>
      </c>
      <c r="U22" s="1560">
        <f>H22</f>
        <v>100</v>
      </c>
      <c r="V22" s="1559" t="s">
        <v>8</v>
      </c>
      <c r="W22" s="1560">
        <f>J22</f>
        <v>100</v>
      </c>
      <c r="X22" s="1553"/>
      <c r="Y22" s="3375"/>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75"/>
      <c r="Q23" s="1558">
        <f>B23</f>
        <v>111</v>
      </c>
      <c r="R23" s="1559" t="s">
        <v>8</v>
      </c>
      <c r="S23" s="1560">
        <f>F23</f>
        <v>100</v>
      </c>
      <c r="T23" s="1559" t="s">
        <v>8</v>
      </c>
      <c r="U23" s="1560">
        <f>H23</f>
        <v>100</v>
      </c>
      <c r="V23" s="1559" t="s">
        <v>8</v>
      </c>
      <c r="W23" s="1560">
        <f>J23</f>
        <v>100</v>
      </c>
      <c r="X23" s="1553"/>
      <c r="Y23" s="3375"/>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75"/>
      <c r="Q24" s="1558">
        <f t="shared" ref="Q24:Q36" si="11">B24</f>
        <v>111</v>
      </c>
      <c r="R24" s="1559" t="s">
        <v>8</v>
      </c>
      <c r="S24" s="1560">
        <f>F24</f>
        <v>100</v>
      </c>
      <c r="T24" s="1559" t="s">
        <v>8</v>
      </c>
      <c r="U24" s="1560">
        <f>H24</f>
        <v>100</v>
      </c>
      <c r="V24" s="1559" t="s">
        <v>8</v>
      </c>
      <c r="W24" s="1560">
        <f>J24</f>
        <v>100</v>
      </c>
      <c r="X24" s="1553"/>
      <c r="Y24" s="3375"/>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75"/>
      <c r="Q25" s="1146">
        <f t="shared" si="11"/>
        <v>111</v>
      </c>
      <c r="R25" s="1554" t="s">
        <v>8</v>
      </c>
      <c r="S25" s="1555">
        <f>F25</f>
        <v>100</v>
      </c>
      <c r="T25" s="1554" t="s">
        <v>8</v>
      </c>
      <c r="U25" s="1555">
        <f>H25</f>
        <v>100</v>
      </c>
      <c r="V25" s="1554" t="s">
        <v>8</v>
      </c>
      <c r="W25" s="1555">
        <f>J25</f>
        <v>100</v>
      </c>
      <c r="X25" s="1556"/>
      <c r="Y25" s="3375"/>
      <c r="Z25" s="1145">
        <f>Q25</f>
        <v>111</v>
      </c>
      <c r="AA25" s="1562">
        <f>D25/F25</f>
        <v>1</v>
      </c>
      <c r="AB25" s="1562">
        <f>D25/H25</f>
        <v>1</v>
      </c>
      <c r="AC25" s="1562">
        <f>D25/J25</f>
        <v>1</v>
      </c>
    </row>
    <row r="26" spans="1:29" ht="15">
      <c r="A26" s="2862"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76"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77"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77"/>
      <c r="Q27" s="1590" t="str">
        <f t="shared" si="11"/>
        <v>项目停车位配比</v>
      </c>
      <c r="R27" s="1563" t="s">
        <v>8</v>
      </c>
      <c r="S27" s="1564">
        <f t="shared" si="12"/>
        <v>100</v>
      </c>
      <c r="T27" s="1563" t="s">
        <v>8</v>
      </c>
      <c r="U27" s="1564">
        <f t="shared" si="13"/>
        <v>100</v>
      </c>
      <c r="V27" s="1563" t="s">
        <v>8</v>
      </c>
      <c r="W27" s="1564">
        <f t="shared" si="14"/>
        <v>100</v>
      </c>
      <c r="X27" s="1565"/>
      <c r="Y27" s="3377"/>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77"/>
      <c r="Q28" s="1558" t="str">
        <f t="shared" si="11"/>
        <v>公共部分装修</v>
      </c>
      <c r="R28" s="1559" t="s">
        <v>8</v>
      </c>
      <c r="S28" s="1560">
        <f t="shared" si="12"/>
        <v>100</v>
      </c>
      <c r="T28" s="1559" t="s">
        <v>8</v>
      </c>
      <c r="U28" s="1560">
        <f t="shared" si="13"/>
        <v>100</v>
      </c>
      <c r="V28" s="1559" t="s">
        <v>8</v>
      </c>
      <c r="W28" s="1560">
        <f t="shared" si="14"/>
        <v>100</v>
      </c>
      <c r="X28" s="1553"/>
      <c r="Y28" s="3377"/>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77"/>
      <c r="Q29" s="1558" t="str">
        <f t="shared" si="11"/>
        <v>成新率</v>
      </c>
      <c r="R29" s="1559" t="s">
        <v>8</v>
      </c>
      <c r="S29" s="1560" t="e">
        <f t="shared" si="12"/>
        <v>#N/A</v>
      </c>
      <c r="T29" s="1559" t="s">
        <v>8</v>
      </c>
      <c r="U29" s="1560" t="e">
        <f t="shared" si="13"/>
        <v>#N/A</v>
      </c>
      <c r="V29" s="1559" t="s">
        <v>8</v>
      </c>
      <c r="W29" s="1560" t="e">
        <f t="shared" si="14"/>
        <v>#N/A</v>
      </c>
      <c r="X29" s="1553"/>
      <c r="Y29" s="3377"/>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77"/>
      <c r="Q30" s="1558" t="str">
        <f t="shared" si="11"/>
        <v>物业等级</v>
      </c>
      <c r="R30" s="1559" t="s">
        <v>8</v>
      </c>
      <c r="S30" s="1560">
        <f t="shared" si="12"/>
        <v>100</v>
      </c>
      <c r="T30" s="1559" t="s">
        <v>8</v>
      </c>
      <c r="U30" s="1560">
        <f t="shared" si="13"/>
        <v>100</v>
      </c>
      <c r="V30" s="1559" t="s">
        <v>8</v>
      </c>
      <c r="W30" s="1560">
        <f t="shared" si="14"/>
        <v>100</v>
      </c>
      <c r="X30" s="1553"/>
      <c r="Y30" s="3377"/>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77"/>
      <c r="Q31" s="1146" t="str">
        <f t="shared" si="11"/>
        <v>停车位面积</v>
      </c>
      <c r="R31" s="1554" t="s">
        <v>8</v>
      </c>
      <c r="S31" s="1555" t="e">
        <f t="shared" si="12"/>
        <v>#N/A</v>
      </c>
      <c r="T31" s="1554" t="s">
        <v>8</v>
      </c>
      <c r="U31" s="1555" t="e">
        <f t="shared" si="13"/>
        <v>#N/A</v>
      </c>
      <c r="V31" s="1554" t="s">
        <v>8</v>
      </c>
      <c r="W31" s="1555" t="e">
        <f t="shared" si="14"/>
        <v>#N/A</v>
      </c>
      <c r="X31" s="1556"/>
      <c r="Y31" s="3377"/>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77" t="s">
        <v>550</v>
      </c>
      <c r="Q32" s="1558" t="str">
        <f t="shared" si="11"/>
        <v>车位类型</v>
      </c>
      <c r="R32" s="1559" t="s">
        <v>8</v>
      </c>
      <c r="S32" s="1560">
        <f t="shared" si="12"/>
        <v>100</v>
      </c>
      <c r="T32" s="1559" t="s">
        <v>8</v>
      </c>
      <c r="U32" s="1560">
        <f t="shared" si="13"/>
        <v>100</v>
      </c>
      <c r="V32" s="1559" t="s">
        <v>8</v>
      </c>
      <c r="W32" s="1560">
        <f t="shared" si="14"/>
        <v>100</v>
      </c>
      <c r="X32" s="1553"/>
      <c r="Y32" s="3377"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77"/>
      <c r="Q33" s="1558" t="str">
        <f t="shared" si="11"/>
        <v>是否直接入户</v>
      </c>
      <c r="R33" s="1559" t="s">
        <v>8</v>
      </c>
      <c r="S33" s="1560">
        <f t="shared" si="12"/>
        <v>100</v>
      </c>
      <c r="T33" s="1559" t="s">
        <v>8</v>
      </c>
      <c r="U33" s="1560">
        <f t="shared" si="13"/>
        <v>100</v>
      </c>
      <c r="V33" s="1559" t="s">
        <v>8</v>
      </c>
      <c r="W33" s="1560">
        <f t="shared" si="14"/>
        <v>100</v>
      </c>
      <c r="X33" s="1553"/>
      <c r="Y33" s="3377"/>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77"/>
      <c r="Q34" s="1558">
        <f t="shared" si="11"/>
        <v>111</v>
      </c>
      <c r="R34" s="1559" t="s">
        <v>8</v>
      </c>
      <c r="S34" s="1560">
        <f t="shared" si="12"/>
        <v>100</v>
      </c>
      <c r="T34" s="1559" t="s">
        <v>8</v>
      </c>
      <c r="U34" s="1560">
        <f t="shared" si="13"/>
        <v>100</v>
      </c>
      <c r="V34" s="1559" t="s">
        <v>8</v>
      </c>
      <c r="W34" s="1560">
        <f t="shared" si="14"/>
        <v>100</v>
      </c>
      <c r="X34" s="1553"/>
      <c r="Y34" s="3377"/>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77"/>
      <c r="Q35" s="1590">
        <f t="shared" si="11"/>
        <v>111</v>
      </c>
      <c r="R35" s="1563" t="s">
        <v>8</v>
      </c>
      <c r="S35" s="1564">
        <f t="shared" si="12"/>
        <v>100</v>
      </c>
      <c r="T35" s="1563" t="s">
        <v>8</v>
      </c>
      <c r="U35" s="1564">
        <f t="shared" si="13"/>
        <v>100</v>
      </c>
      <c r="V35" s="1563" t="s">
        <v>8</v>
      </c>
      <c r="W35" s="1564">
        <f t="shared" si="14"/>
        <v>100</v>
      </c>
      <c r="X35" s="1565"/>
      <c r="Y35" s="3377"/>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77"/>
      <c r="Q36" s="1558">
        <f t="shared" si="11"/>
        <v>111</v>
      </c>
      <c r="R36" s="1559" t="s">
        <v>8</v>
      </c>
      <c r="S36" s="1560">
        <f t="shared" si="12"/>
        <v>100</v>
      </c>
      <c r="T36" s="1559" t="s">
        <v>8</v>
      </c>
      <c r="U36" s="1560">
        <f t="shared" si="13"/>
        <v>100</v>
      </c>
      <c r="V36" s="1559" t="s">
        <v>8</v>
      </c>
      <c r="W36" s="1560">
        <f t="shared" si="14"/>
        <v>100</v>
      </c>
      <c r="X36" s="1553"/>
      <c r="Y36" s="3377"/>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72" t="str">
        <f>A37</f>
        <v>成交单价</v>
      </c>
      <c r="Q37" s="3372"/>
      <c r="R37" s="3476">
        <f>E37</f>
        <v>0</v>
      </c>
      <c r="S37" s="3476"/>
      <c r="T37" s="3476">
        <f>G37</f>
        <v>0</v>
      </c>
      <c r="U37" s="3476"/>
      <c r="V37" s="3476">
        <f>I37</f>
        <v>0</v>
      </c>
      <c r="W37" s="3476"/>
      <c r="X37" s="1545"/>
      <c r="Y37" s="1567"/>
      <c r="Z37" s="1545"/>
      <c r="AA37" s="1545"/>
      <c r="AB37" s="1545"/>
      <c r="AC37" s="1545"/>
    </row>
    <row r="38" spans="1:29" ht="15.75" thickBot="1">
      <c r="A38" s="615" t="s">
        <v>2753</v>
      </c>
      <c r="B38" s="888"/>
      <c r="C38" s="2597" t="e">
        <f>R39</f>
        <v>#DIV/0!</v>
      </c>
      <c r="D38" s="2598"/>
      <c r="E38" s="2599" t="e">
        <f>R38</f>
        <v>#DIV/0!</v>
      </c>
      <c r="F38" s="2599"/>
      <c r="G38" s="2597" t="e">
        <f>T38</f>
        <v>#DIV/0!</v>
      </c>
      <c r="H38" s="2598"/>
      <c r="I38" s="2599" t="e">
        <f>V38</f>
        <v>#DIV/0!</v>
      </c>
      <c r="J38" s="2598"/>
      <c r="K38" s="1597"/>
      <c r="L38" s="2129"/>
      <c r="M38" s="2130"/>
      <c r="N38" s="2130"/>
      <c r="O38" s="2130"/>
      <c r="P38" s="3372" t="str">
        <f>A38</f>
        <v>比较价格（元/平方米）</v>
      </c>
      <c r="Q38" s="3372"/>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45"/>
      <c r="Y38" s="1545"/>
      <c r="Z38" s="1545"/>
      <c r="AA38" s="1545"/>
      <c r="AB38" s="1545"/>
      <c r="AC38" s="1545"/>
    </row>
    <row r="39" spans="1:29" ht="15.75" thickBot="1">
      <c r="A39" s="621" t="s">
        <v>2929</v>
      </c>
      <c r="B39" s="622"/>
      <c r="C39" s="2600" t="e">
        <f>R39</f>
        <v>#DIV/0!</v>
      </c>
      <c r="D39" s="2600"/>
      <c r="E39" s="2600"/>
      <c r="F39" s="2600"/>
      <c r="G39" s="2600"/>
      <c r="H39" s="2600"/>
      <c r="I39" s="2600"/>
      <c r="J39" s="2600"/>
      <c r="K39" s="1598"/>
      <c r="L39" s="2129"/>
      <c r="M39" s="2130"/>
      <c r="N39" s="2130"/>
      <c r="O39" s="2130"/>
      <c r="P39" s="3393" t="str">
        <f>A39</f>
        <v>估价对象XX用房的比较价格（楼面单价，元/平方米）</v>
      </c>
      <c r="Q39" s="3394"/>
      <c r="R39" s="3475" t="e">
        <f>IF(F1="售价",ROUND(AVERAGE(R38:V38),0),ROUND(AVERAGE(R38:V38),1))</f>
        <v>#DIV/0!</v>
      </c>
      <c r="S39" s="3475"/>
      <c r="T39" s="3475"/>
      <c r="U39" s="3475"/>
      <c r="V39" s="3475"/>
      <c r="W39" s="347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2020-7</v>
      </c>
      <c r="D48" s="2759">
        <f>EDATE(C48,-1)</f>
        <v>43983</v>
      </c>
      <c r="E48" s="2759">
        <f t="shared" ref="E48:O48" si="16">EDATE(D48,-1)</f>
        <v>43952</v>
      </c>
      <c r="F48" s="2759">
        <f t="shared" si="16"/>
        <v>43922</v>
      </c>
      <c r="G48" s="2759">
        <f t="shared" si="16"/>
        <v>43891</v>
      </c>
      <c r="H48" s="2759">
        <f t="shared" si="16"/>
        <v>43862</v>
      </c>
      <c r="I48" s="2759">
        <f t="shared" si="16"/>
        <v>43831</v>
      </c>
      <c r="J48" s="2759">
        <f t="shared" si="16"/>
        <v>43800</v>
      </c>
      <c r="K48" s="2759">
        <f t="shared" si="16"/>
        <v>43770</v>
      </c>
      <c r="L48" s="2759">
        <f t="shared" si="16"/>
        <v>43739</v>
      </c>
      <c r="M48" s="2759">
        <f t="shared" si="16"/>
        <v>43709</v>
      </c>
      <c r="N48" s="2759">
        <f t="shared" si="16"/>
        <v>43678</v>
      </c>
      <c r="O48" s="2759">
        <f t="shared" si="16"/>
        <v>43647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2551</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2552</v>
      </c>
      <c r="C67" s="2562" t="s">
        <v>2553</v>
      </c>
      <c r="D67" s="2562" t="s">
        <v>2554</v>
      </c>
      <c r="E67" s="2562" t="s">
        <v>2555</v>
      </c>
      <c r="F67" s="2562" t="s">
        <v>2556</v>
      </c>
      <c r="G67" s="2562" t="s">
        <v>2557</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133327.24平方米。根据《建设工程规划许可证》[]、《出让合同》[]，估价对象规划建筑面积为324852.64平方米。</v>
      </c>
    </row>
    <row r="7" spans="1:4" ht="93.75">
      <c r="A7" s="2828" t="s">
        <v>2741</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2020年7月22日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根据《国有土地使用证》[]，估价对象（分摊）出让国有建设用地使用权面积为133327.24平方米。根据《建设工程规划许可证》[]、《出让合同》[]，估价对象规划建筑面积为324852.64平方米。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2742</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8" t="s">
        <v>798</v>
      </c>
      <c r="D4" s="3379"/>
      <c r="E4" s="3402" t="s">
        <v>799</v>
      </c>
      <c r="F4" s="3403"/>
      <c r="G4" s="3378" t="s">
        <v>800</v>
      </c>
      <c r="H4" s="3379"/>
      <c r="I4" s="3378" t="s">
        <v>801</v>
      </c>
      <c r="J4" s="3379"/>
      <c r="K4" s="514" t="s">
        <v>802</v>
      </c>
      <c r="L4" s="2118"/>
      <c r="M4" s="2119"/>
      <c r="N4" s="2119"/>
      <c r="O4" s="2119"/>
      <c r="P4" s="3380" t="s">
        <v>803</v>
      </c>
      <c r="Q4" s="3381"/>
      <c r="R4" s="3366" t="s">
        <v>799</v>
      </c>
      <c r="S4" s="3367"/>
      <c r="T4" s="3366" t="s">
        <v>800</v>
      </c>
      <c r="U4" s="3367"/>
      <c r="V4" s="3386" t="s">
        <v>801</v>
      </c>
      <c r="W4" s="3386"/>
      <c r="X4" s="1553"/>
      <c r="Y4" s="3366" t="s">
        <v>803</v>
      </c>
      <c r="Z4" s="3367"/>
      <c r="AA4" s="3361" t="s">
        <v>799</v>
      </c>
      <c r="AB4" s="3362" t="s">
        <v>800</v>
      </c>
      <c r="AC4" s="3361" t="s">
        <v>801</v>
      </c>
    </row>
    <row r="5" spans="1:29" ht="15">
      <c r="A5" s="515"/>
      <c r="B5" s="516"/>
      <c r="C5" s="3389" t="s">
        <v>2923</v>
      </c>
      <c r="D5" s="3390"/>
      <c r="E5" s="3404" t="s">
        <v>2924</v>
      </c>
      <c r="F5" s="3405"/>
      <c r="G5" s="3389" t="s">
        <v>2925</v>
      </c>
      <c r="H5" s="3390"/>
      <c r="I5" s="3389" t="s">
        <v>2926</v>
      </c>
      <c r="J5" s="3390"/>
      <c r="K5" s="514"/>
      <c r="L5" s="2118"/>
      <c r="M5" s="2119"/>
      <c r="N5" s="2119"/>
      <c r="O5" s="2119"/>
      <c r="P5" s="3382"/>
      <c r="Q5" s="3383"/>
      <c r="R5" s="3368"/>
      <c r="S5" s="3369"/>
      <c r="T5" s="3368"/>
      <c r="U5" s="3369"/>
      <c r="V5" s="3386"/>
      <c r="W5" s="3386"/>
      <c r="X5" s="1553"/>
      <c r="Y5" s="3368"/>
      <c r="Z5" s="3369"/>
      <c r="AA5" s="3362"/>
      <c r="AB5" s="3362"/>
      <c r="AC5" s="3362"/>
    </row>
    <row r="6" spans="1:29" ht="15.75" thickBot="1">
      <c r="A6" s="517"/>
      <c r="B6" s="518"/>
      <c r="C6" s="3387" t="s">
        <v>2927</v>
      </c>
      <c r="D6" s="3388"/>
      <c r="E6" s="3406" t="s">
        <v>2927</v>
      </c>
      <c r="F6" s="3407"/>
      <c r="G6" s="3387" t="s">
        <v>2927</v>
      </c>
      <c r="H6" s="3388"/>
      <c r="I6" s="3387" t="s">
        <v>2927</v>
      </c>
      <c r="J6" s="3388"/>
      <c r="K6" s="514" t="s">
        <v>528</v>
      </c>
      <c r="L6" s="2118"/>
      <c r="M6" s="2119"/>
      <c r="N6" s="2119"/>
      <c r="O6" s="2119"/>
      <c r="P6" s="3384"/>
      <c r="Q6" s="3385"/>
      <c r="R6" s="3368"/>
      <c r="S6" s="3369"/>
      <c r="T6" s="3370"/>
      <c r="U6" s="3371"/>
      <c r="V6" s="3386"/>
      <c r="W6" s="3386"/>
      <c r="X6" s="1553"/>
      <c r="Y6" s="3370"/>
      <c r="Z6" s="3371"/>
      <c r="AA6" s="3363"/>
      <c r="AB6" s="3363"/>
      <c r="AC6" s="3363"/>
    </row>
    <row r="7" spans="1:29" s="1215" customFormat="1" ht="15.75" thickBot="1">
      <c r="A7" s="2867"/>
      <c r="B7" s="2874" t="s">
        <v>529</v>
      </c>
      <c r="C7" s="519">
        <f>'数据-取费表'!B2</f>
        <v>44034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4" t="s">
        <v>530</v>
      </c>
      <c r="Q7" s="3373"/>
      <c r="R7" s="1554" t="s">
        <v>8</v>
      </c>
      <c r="S7" s="1555">
        <f t="shared" ref="S7:S14" si="0">F7</f>
        <v>0</v>
      </c>
      <c r="T7" s="1554" t="s">
        <v>8</v>
      </c>
      <c r="U7" s="1555">
        <f t="shared" ref="U7:U14" si="1">H7</f>
        <v>0</v>
      </c>
      <c r="V7" s="1554" t="s">
        <v>8</v>
      </c>
      <c r="W7" s="1555">
        <f t="shared" ref="W7:W14" si="2">J7</f>
        <v>0</v>
      </c>
      <c r="X7" s="1556"/>
      <c r="Y7" s="3364" t="s">
        <v>530</v>
      </c>
      <c r="Z7" s="3365"/>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4" t="s">
        <v>533</v>
      </c>
      <c r="Q8" s="3365"/>
      <c r="R8" s="1554" t="s">
        <v>8</v>
      </c>
      <c r="S8" s="1555">
        <f t="shared" si="0"/>
        <v>0</v>
      </c>
      <c r="T8" s="1554" t="s">
        <v>8</v>
      </c>
      <c r="U8" s="1555">
        <f t="shared" si="1"/>
        <v>0</v>
      </c>
      <c r="V8" s="1554" t="s">
        <v>8</v>
      </c>
      <c r="W8" s="1555">
        <f t="shared" si="2"/>
        <v>0</v>
      </c>
      <c r="X8" s="1556"/>
      <c r="Y8" s="3364" t="s">
        <v>533</v>
      </c>
      <c r="Z8" s="3365"/>
      <c r="AA8" s="1557" t="e">
        <f t="shared" ref="AA8:AA34" si="3">D8/F8</f>
        <v>#DIV/0!</v>
      </c>
      <c r="AB8" s="1557" t="e">
        <f t="shared" ref="AB8:AB34" si="4">D8/H8</f>
        <v>#DIV/0!</v>
      </c>
      <c r="AC8" s="1557" t="e">
        <f t="shared" ref="AC8:AC34" si="5">D8/J8</f>
        <v>#DIV/0!</v>
      </c>
    </row>
    <row r="9" spans="1:29" s="1215" customFormat="1" ht="15">
      <c r="A9" s="2869"/>
      <c r="B9" s="2876"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2" t="s">
        <v>535</v>
      </c>
      <c r="Q9" s="1146" t="str">
        <f t="shared" ref="Q9:Q14" si="6">B9</f>
        <v>用途</v>
      </c>
      <c r="R9" s="1554" t="s">
        <v>8</v>
      </c>
      <c r="S9" s="1555">
        <f t="shared" si="0"/>
        <v>100</v>
      </c>
      <c r="T9" s="1554" t="s">
        <v>8</v>
      </c>
      <c r="U9" s="1555">
        <f t="shared" si="1"/>
        <v>100</v>
      </c>
      <c r="V9" s="1554" t="s">
        <v>8</v>
      </c>
      <c r="W9" s="1555">
        <f t="shared" si="2"/>
        <v>100</v>
      </c>
      <c r="X9" s="1556"/>
      <c r="Y9" s="3326"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2"/>
      <c r="Q10" s="1146" t="str">
        <f t="shared" si="6"/>
        <v>土地使用年限（年）</v>
      </c>
      <c r="R10" s="1554" t="s">
        <v>8</v>
      </c>
      <c r="S10" s="1555">
        <f t="shared" si="0"/>
        <v>100</v>
      </c>
      <c r="T10" s="1554" t="s">
        <v>8</v>
      </c>
      <c r="U10" s="1555">
        <f t="shared" si="1"/>
        <v>100</v>
      </c>
      <c r="V10" s="1554" t="s">
        <v>8</v>
      </c>
      <c r="W10" s="1555">
        <f t="shared" si="2"/>
        <v>100</v>
      </c>
      <c r="X10" s="1556"/>
      <c r="Y10" s="3326"/>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2"/>
      <c r="Q11" s="1146">
        <f t="shared" si="6"/>
        <v>111</v>
      </c>
      <c r="R11" s="1554" t="s">
        <v>8</v>
      </c>
      <c r="S11" s="1555">
        <f t="shared" si="0"/>
        <v>100</v>
      </c>
      <c r="T11" s="1554" t="s">
        <v>8</v>
      </c>
      <c r="U11" s="1555">
        <f t="shared" si="1"/>
        <v>100</v>
      </c>
      <c r="V11" s="1554" t="s">
        <v>8</v>
      </c>
      <c r="W11" s="1555">
        <f t="shared" si="2"/>
        <v>100</v>
      </c>
      <c r="X11" s="1556"/>
      <c r="Y11" s="3326"/>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2"/>
      <c r="Q12" s="1146">
        <f t="shared" si="6"/>
        <v>111</v>
      </c>
      <c r="R12" s="1554" t="s">
        <v>8</v>
      </c>
      <c r="S12" s="1555">
        <f t="shared" si="0"/>
        <v>100</v>
      </c>
      <c r="T12" s="1554" t="s">
        <v>8</v>
      </c>
      <c r="U12" s="1555">
        <f t="shared" si="1"/>
        <v>100</v>
      </c>
      <c r="V12" s="1554" t="s">
        <v>8</v>
      </c>
      <c r="W12" s="1555">
        <f t="shared" si="2"/>
        <v>100</v>
      </c>
      <c r="X12" s="1556"/>
      <c r="Y12" s="3326"/>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2"/>
      <c r="Q13" s="1146">
        <f t="shared" si="6"/>
        <v>111</v>
      </c>
      <c r="R13" s="1554" t="s">
        <v>8</v>
      </c>
      <c r="S13" s="1555">
        <f t="shared" si="0"/>
        <v>100</v>
      </c>
      <c r="T13" s="1554" t="s">
        <v>8</v>
      </c>
      <c r="U13" s="1555">
        <f t="shared" si="1"/>
        <v>100</v>
      </c>
      <c r="V13" s="1554" t="s">
        <v>8</v>
      </c>
      <c r="W13" s="1555">
        <f t="shared" si="2"/>
        <v>100</v>
      </c>
      <c r="X13" s="1556"/>
      <c r="Y13" s="3326"/>
      <c r="Z13" s="1145">
        <f t="shared" si="7"/>
        <v>111</v>
      </c>
      <c r="AA13" s="1557">
        <f t="shared" si="3"/>
        <v>1</v>
      </c>
      <c r="AB13" s="1557">
        <f t="shared" si="4"/>
        <v>1</v>
      </c>
      <c r="AC13" s="1557">
        <f t="shared" si="5"/>
        <v>1</v>
      </c>
    </row>
    <row r="14" spans="1:29" ht="85.5">
      <c r="A14" s="2865" t="s">
        <v>2747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4" t="s">
        <v>540</v>
      </c>
      <c r="Q14" s="1558" t="str">
        <f t="shared" si="6"/>
        <v>交通便捷度</v>
      </c>
      <c r="R14" s="1559" t="s">
        <v>8</v>
      </c>
      <c r="S14" s="1560">
        <f t="shared" si="0"/>
        <v>100</v>
      </c>
      <c r="T14" s="1559" t="s">
        <v>8</v>
      </c>
      <c r="U14" s="1560">
        <f t="shared" si="1"/>
        <v>100</v>
      </c>
      <c r="V14" s="1559" t="s">
        <v>8</v>
      </c>
      <c r="W14" s="1560">
        <f t="shared" si="2"/>
        <v>100</v>
      </c>
      <c r="X14" s="1553"/>
      <c r="Y14" s="3374"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75"/>
      <c r="Q15" s="1558"/>
      <c r="R15" s="1559"/>
      <c r="S15" s="1560"/>
      <c r="T15" s="1559"/>
      <c r="U15" s="1560"/>
      <c r="V15" s="1559"/>
      <c r="W15" s="1560"/>
      <c r="X15" s="1553"/>
      <c r="Y15" s="3375"/>
      <c r="Z15" s="1561"/>
      <c r="AA15" s="1562">
        <v>1</v>
      </c>
      <c r="AB15" s="1562">
        <v>1</v>
      </c>
      <c r="AC15" s="1562">
        <v>1</v>
      </c>
    </row>
    <row r="16" spans="1:29" ht="42.75">
      <c r="A16" s="532"/>
      <c r="B16" s="2567"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75"/>
      <c r="Q16" s="1558" t="str">
        <f>B16</f>
        <v>公共配套设施</v>
      </c>
      <c r="R16" s="1559" t="s">
        <v>8</v>
      </c>
      <c r="S16" s="1560">
        <f>F16</f>
        <v>100</v>
      </c>
      <c r="T16" s="1559" t="s">
        <v>8</v>
      </c>
      <c r="U16" s="1560">
        <f>H16</f>
        <v>100</v>
      </c>
      <c r="V16" s="1559" t="s">
        <v>8</v>
      </c>
      <c r="W16" s="1560">
        <f>J16</f>
        <v>100</v>
      </c>
      <c r="X16" s="1553"/>
      <c r="Y16" s="337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75"/>
      <c r="Q17" s="1558"/>
      <c r="R17" s="1559"/>
      <c r="S17" s="1560"/>
      <c r="T17" s="1559"/>
      <c r="U17" s="1560"/>
      <c r="V17" s="1559"/>
      <c r="W17" s="1560"/>
      <c r="X17" s="1553"/>
      <c r="Y17" s="3375"/>
      <c r="Z17" s="1561"/>
      <c r="AA17" s="1562">
        <v>1</v>
      </c>
      <c r="AB17" s="1562">
        <v>1</v>
      </c>
      <c r="AC17" s="1562">
        <v>1</v>
      </c>
    </row>
    <row r="18" spans="1:29" ht="28.5">
      <c r="A18" s="532"/>
      <c r="B18" s="2555"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75"/>
      <c r="Q18" s="2543" t="str">
        <f>B18</f>
        <v>基础设施水平</v>
      </c>
      <c r="R18" s="1559" t="s">
        <v>8</v>
      </c>
      <c r="S18" s="1560">
        <f>F18</f>
        <v>100</v>
      </c>
      <c r="T18" s="1559" t="s">
        <v>8</v>
      </c>
      <c r="U18" s="1560">
        <f>H18</f>
        <v>100</v>
      </c>
      <c r="V18" s="1559" t="s">
        <v>8</v>
      </c>
      <c r="W18" s="1560">
        <f>J18</f>
        <v>100</v>
      </c>
      <c r="X18" s="2545"/>
      <c r="Y18" s="3375"/>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75"/>
      <c r="Q19" s="2543"/>
      <c r="R19" s="1559"/>
      <c r="S19" s="1560"/>
      <c r="T19" s="1559"/>
      <c r="U19" s="1560"/>
      <c r="V19" s="1559"/>
      <c r="W19" s="1560"/>
      <c r="X19" s="2545"/>
      <c r="Y19" s="3375"/>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75"/>
      <c r="Q20" s="1558" t="str">
        <f>B20</f>
        <v>自然及人文环境</v>
      </c>
      <c r="R20" s="1559" t="s">
        <v>8</v>
      </c>
      <c r="S20" s="1560">
        <f>F20</f>
        <v>100</v>
      </c>
      <c r="T20" s="1559" t="s">
        <v>8</v>
      </c>
      <c r="U20" s="1560">
        <f>H20</f>
        <v>100</v>
      </c>
      <c r="V20" s="1559" t="s">
        <v>8</v>
      </c>
      <c r="W20" s="1560">
        <f>J20</f>
        <v>100</v>
      </c>
      <c r="X20" s="1553"/>
      <c r="Y20" s="337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75"/>
      <c r="Q21" s="1558"/>
      <c r="R21" s="1559"/>
      <c r="S21" s="1560"/>
      <c r="T21" s="1559"/>
      <c r="U21" s="1560"/>
      <c r="V21" s="1559"/>
      <c r="W21" s="1560"/>
      <c r="X21" s="1553"/>
      <c r="Y21" s="3375"/>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75"/>
      <c r="Q22" s="1558" t="str">
        <f>B22</f>
        <v>楼层</v>
      </c>
      <c r="R22" s="1559" t="s">
        <v>8</v>
      </c>
      <c r="S22" s="1560">
        <f>F22</f>
        <v>100</v>
      </c>
      <c r="T22" s="1559" t="s">
        <v>8</v>
      </c>
      <c r="U22" s="1560">
        <f>H22</f>
        <v>100</v>
      </c>
      <c r="V22" s="1559" t="s">
        <v>8</v>
      </c>
      <c r="W22" s="1560">
        <f>J22</f>
        <v>100</v>
      </c>
      <c r="X22" s="1553"/>
      <c r="Y22" s="337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75"/>
      <c r="Q23" s="1558">
        <f>B23</f>
        <v>111</v>
      </c>
      <c r="R23" s="1559" t="s">
        <v>8</v>
      </c>
      <c r="S23" s="1560">
        <f>F23</f>
        <v>100</v>
      </c>
      <c r="T23" s="1559" t="s">
        <v>8</v>
      </c>
      <c r="U23" s="1560">
        <f>H23</f>
        <v>100</v>
      </c>
      <c r="V23" s="1559" t="s">
        <v>8</v>
      </c>
      <c r="W23" s="1560">
        <f>J23</f>
        <v>100</v>
      </c>
      <c r="X23" s="1553"/>
      <c r="Y23" s="337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75"/>
      <c r="Q24" s="1558">
        <f t="shared" ref="Q24:Q34" si="11">B24</f>
        <v>111</v>
      </c>
      <c r="R24" s="1559" t="s">
        <v>8</v>
      </c>
      <c r="S24" s="1560">
        <f>F24</f>
        <v>100</v>
      </c>
      <c r="T24" s="1559" t="s">
        <v>8</v>
      </c>
      <c r="U24" s="1560">
        <f>H24</f>
        <v>100</v>
      </c>
      <c r="V24" s="1559" t="s">
        <v>8</v>
      </c>
      <c r="W24" s="1560">
        <f>J24</f>
        <v>100</v>
      </c>
      <c r="X24" s="1553"/>
      <c r="Y24" s="3375"/>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75"/>
      <c r="Q25" s="1146">
        <f t="shared" si="11"/>
        <v>111</v>
      </c>
      <c r="R25" s="1554" t="s">
        <v>8</v>
      </c>
      <c r="S25" s="1555">
        <f>F25</f>
        <v>100</v>
      </c>
      <c r="T25" s="1554" t="s">
        <v>8</v>
      </c>
      <c r="U25" s="1555">
        <f>H25</f>
        <v>100</v>
      </c>
      <c r="V25" s="1554" t="s">
        <v>8</v>
      </c>
      <c r="W25" s="1555">
        <f>J25</f>
        <v>100</v>
      </c>
      <c r="X25" s="1556"/>
      <c r="Y25" s="3375"/>
      <c r="Z25" s="1145">
        <f>Q25</f>
        <v>111</v>
      </c>
      <c r="AA25" s="1562">
        <f>D25/F25</f>
        <v>1</v>
      </c>
      <c r="AB25" s="1562">
        <f>D25/H25</f>
        <v>1</v>
      </c>
      <c r="AC25" s="1562">
        <f>D25/J25</f>
        <v>1</v>
      </c>
    </row>
    <row r="26" spans="1:29" ht="15">
      <c r="A26" s="2862"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76"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77"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77"/>
      <c r="Q27" s="1590" t="str">
        <f t="shared" si="11"/>
        <v>成新率</v>
      </c>
      <c r="R27" s="1563" t="s">
        <v>8</v>
      </c>
      <c r="S27" s="1564" t="e">
        <f t="shared" si="12"/>
        <v>#N/A</v>
      </c>
      <c r="T27" s="1563" t="s">
        <v>8</v>
      </c>
      <c r="U27" s="1564" t="e">
        <f t="shared" si="13"/>
        <v>#N/A</v>
      </c>
      <c r="V27" s="1563" t="s">
        <v>8</v>
      </c>
      <c r="W27" s="1564" t="e">
        <f t="shared" si="14"/>
        <v>#N/A</v>
      </c>
      <c r="X27" s="1565"/>
      <c r="Y27" s="3377"/>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77"/>
      <c r="Q28" s="1558" t="str">
        <f t="shared" si="11"/>
        <v>物业等级</v>
      </c>
      <c r="R28" s="1559" t="s">
        <v>8</v>
      </c>
      <c r="S28" s="1560">
        <f t="shared" si="12"/>
        <v>100</v>
      </c>
      <c r="T28" s="1559" t="s">
        <v>8</v>
      </c>
      <c r="U28" s="1560">
        <f t="shared" si="13"/>
        <v>100</v>
      </c>
      <c r="V28" s="1559" t="s">
        <v>8</v>
      </c>
      <c r="W28" s="1560">
        <f t="shared" si="14"/>
        <v>100</v>
      </c>
      <c r="X28" s="1553"/>
      <c r="Y28" s="3377"/>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77"/>
      <c r="Q29" s="1558" t="str">
        <f t="shared" si="11"/>
        <v>有无电梯</v>
      </c>
      <c r="R29" s="1559" t="s">
        <v>8</v>
      </c>
      <c r="S29" s="1560">
        <f t="shared" si="12"/>
        <v>100</v>
      </c>
      <c r="T29" s="1559" t="s">
        <v>8</v>
      </c>
      <c r="U29" s="1560">
        <f t="shared" si="13"/>
        <v>100</v>
      </c>
      <c r="V29" s="1559" t="s">
        <v>8</v>
      </c>
      <c r="W29" s="1560">
        <f t="shared" si="14"/>
        <v>100</v>
      </c>
      <c r="X29" s="1553"/>
      <c r="Y29" s="3377"/>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77"/>
      <c r="Q30" s="1558" t="str">
        <f t="shared" si="11"/>
        <v>建筑面积</v>
      </c>
      <c r="R30" s="1559" t="s">
        <v>8</v>
      </c>
      <c r="S30" s="1560" t="e">
        <f t="shared" si="12"/>
        <v>#N/A</v>
      </c>
      <c r="T30" s="1559" t="s">
        <v>8</v>
      </c>
      <c r="U30" s="1560" t="e">
        <f t="shared" si="13"/>
        <v>#N/A</v>
      </c>
      <c r="V30" s="1559" t="s">
        <v>8</v>
      </c>
      <c r="W30" s="1560" t="e">
        <f t="shared" si="14"/>
        <v>#N/A</v>
      </c>
      <c r="X30" s="1553"/>
      <c r="Y30" s="3377"/>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77"/>
      <c r="Q31" s="1146" t="str">
        <f t="shared" si="11"/>
        <v>是否封闭</v>
      </c>
      <c r="R31" s="1554" t="s">
        <v>8</v>
      </c>
      <c r="S31" s="1555">
        <f t="shared" si="12"/>
        <v>100</v>
      </c>
      <c r="T31" s="1554" t="s">
        <v>8</v>
      </c>
      <c r="U31" s="1555">
        <f t="shared" si="13"/>
        <v>100</v>
      </c>
      <c r="V31" s="1554" t="s">
        <v>8</v>
      </c>
      <c r="W31" s="1555">
        <f t="shared" si="14"/>
        <v>100</v>
      </c>
      <c r="X31" s="1556"/>
      <c r="Y31" s="3377"/>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77" t="s">
        <v>550</v>
      </c>
      <c r="Q32" s="1558">
        <f t="shared" si="11"/>
        <v>111</v>
      </c>
      <c r="R32" s="1559" t="s">
        <v>8</v>
      </c>
      <c r="S32" s="1560">
        <f t="shared" si="12"/>
        <v>100</v>
      </c>
      <c r="T32" s="1559" t="s">
        <v>8</v>
      </c>
      <c r="U32" s="1560">
        <f t="shared" si="13"/>
        <v>100</v>
      </c>
      <c r="V32" s="1559" t="s">
        <v>8</v>
      </c>
      <c r="W32" s="1560">
        <f t="shared" si="14"/>
        <v>100</v>
      </c>
      <c r="X32" s="1553"/>
      <c r="Y32" s="3377"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77"/>
      <c r="Q33" s="1558">
        <f t="shared" si="11"/>
        <v>111</v>
      </c>
      <c r="R33" s="1559" t="s">
        <v>8</v>
      </c>
      <c r="S33" s="1560">
        <f t="shared" si="12"/>
        <v>100</v>
      </c>
      <c r="T33" s="1559" t="s">
        <v>8</v>
      </c>
      <c r="U33" s="1560">
        <f t="shared" si="13"/>
        <v>100</v>
      </c>
      <c r="V33" s="1559" t="s">
        <v>8</v>
      </c>
      <c r="W33" s="1560">
        <f t="shared" si="14"/>
        <v>100</v>
      </c>
      <c r="X33" s="1553"/>
      <c r="Y33" s="3377"/>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77"/>
      <c r="Q34" s="1558">
        <f t="shared" si="11"/>
        <v>111</v>
      </c>
      <c r="R34" s="1559" t="s">
        <v>8</v>
      </c>
      <c r="S34" s="1560">
        <f t="shared" si="12"/>
        <v>100</v>
      </c>
      <c r="T34" s="1559" t="s">
        <v>8</v>
      </c>
      <c r="U34" s="1560">
        <f t="shared" si="13"/>
        <v>100</v>
      </c>
      <c r="V34" s="1559" t="s">
        <v>8</v>
      </c>
      <c r="W34" s="1560">
        <f t="shared" si="14"/>
        <v>100</v>
      </c>
      <c r="X34" s="1553"/>
      <c r="Y34" s="3377"/>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2" t="str">
        <f>A35</f>
        <v>成交单价（元/平方米）</v>
      </c>
      <c r="Q35" s="3372"/>
      <c r="R35" s="3476">
        <f>E35</f>
        <v>0</v>
      </c>
      <c r="S35" s="3476"/>
      <c r="T35" s="3476">
        <f>G35</f>
        <v>0</v>
      </c>
      <c r="U35" s="3476"/>
      <c r="V35" s="3476">
        <f>I35</f>
        <v>0</v>
      </c>
      <c r="W35" s="3476"/>
      <c r="X35" s="1545"/>
      <c r="Y35" s="1567"/>
      <c r="Z35" s="1545"/>
      <c r="AA35" s="1545"/>
      <c r="AB35" s="1545"/>
      <c r="AC35" s="1545"/>
    </row>
    <row r="36" spans="1:29" ht="15.75" thickBot="1">
      <c r="A36" s="615" t="s">
        <v>2753</v>
      </c>
      <c r="B36" s="888"/>
      <c r="C36" s="2597" t="e">
        <f>R37</f>
        <v>#DIV/0!</v>
      </c>
      <c r="D36" s="2598"/>
      <c r="E36" s="2599" t="e">
        <f>R36</f>
        <v>#DIV/0!</v>
      </c>
      <c r="F36" s="2599"/>
      <c r="G36" s="2597" t="e">
        <f>T36</f>
        <v>#DIV/0!</v>
      </c>
      <c r="H36" s="2598"/>
      <c r="I36" s="2599" t="e">
        <f>V36</f>
        <v>#DIV/0!</v>
      </c>
      <c r="J36" s="2598"/>
      <c r="K36" s="1597"/>
      <c r="L36" s="2129"/>
      <c r="M36" s="2130"/>
      <c r="N36" s="2119"/>
      <c r="O36" s="2130"/>
      <c r="P36" s="3372" t="str">
        <f>A36</f>
        <v>比较价格（元/平方米）</v>
      </c>
      <c r="Q36" s="3372"/>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45"/>
      <c r="Y36" s="1545"/>
      <c r="Z36" s="1545"/>
      <c r="AA36" s="1545"/>
      <c r="AB36" s="1545"/>
      <c r="AC36" s="1545"/>
    </row>
    <row r="37" spans="1:29" ht="15.75" thickBot="1">
      <c r="A37" s="621" t="s">
        <v>2929</v>
      </c>
      <c r="B37" s="622"/>
      <c r="C37" s="2600" t="e">
        <f>R37</f>
        <v>#DIV/0!</v>
      </c>
      <c r="D37" s="2600"/>
      <c r="E37" s="2600"/>
      <c r="F37" s="2600"/>
      <c r="G37" s="2600"/>
      <c r="H37" s="2600"/>
      <c r="I37" s="2600"/>
      <c r="J37" s="2600"/>
      <c r="K37" s="1598"/>
      <c r="L37" s="2129"/>
      <c r="M37" s="2130"/>
      <c r="N37" s="2130"/>
      <c r="O37" s="2130"/>
      <c r="P37" s="3393" t="str">
        <f>A37</f>
        <v>估价对象XX用房的比较价格（楼面单价，元/平方米）</v>
      </c>
      <c r="Q37" s="3394"/>
      <c r="R37" s="3475" t="e">
        <f>IF(F1="售价",ROUND(AVERAGE(R36:V36),0),ROUND(AVERAGE(R36:V36),1))</f>
        <v>#DIV/0!</v>
      </c>
      <c r="S37" s="3475"/>
      <c r="T37" s="3475"/>
      <c r="U37" s="3475"/>
      <c r="V37" s="3475"/>
      <c r="W37" s="347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2020-7</v>
      </c>
      <c r="D46" s="2759">
        <f>EDATE(C46,-1)</f>
        <v>43983</v>
      </c>
      <c r="E46" s="2759">
        <f t="shared" ref="E46:O46" si="16">EDATE(D46,-1)</f>
        <v>43952</v>
      </c>
      <c r="F46" s="2759">
        <f t="shared" si="16"/>
        <v>43922</v>
      </c>
      <c r="G46" s="2759">
        <f t="shared" si="16"/>
        <v>43891</v>
      </c>
      <c r="H46" s="2759">
        <f t="shared" si="16"/>
        <v>43862</v>
      </c>
      <c r="I46" s="2759">
        <f t="shared" si="16"/>
        <v>43831</v>
      </c>
      <c r="J46" s="2759">
        <f t="shared" si="16"/>
        <v>43800</v>
      </c>
      <c r="K46" s="2759">
        <f t="shared" si="16"/>
        <v>43770</v>
      </c>
      <c r="L46" s="2759">
        <f t="shared" si="16"/>
        <v>43739</v>
      </c>
      <c r="M46" s="2759">
        <f t="shared" si="16"/>
        <v>43709</v>
      </c>
      <c r="N46" s="2759">
        <f t="shared" si="16"/>
        <v>43678</v>
      </c>
      <c r="O46" s="2759">
        <f t="shared" si="16"/>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2551</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2552</v>
      </c>
      <c r="C65" s="2562" t="s">
        <v>2553</v>
      </c>
      <c r="D65" s="2562" t="s">
        <v>2554</v>
      </c>
      <c r="E65" s="2562" t="s">
        <v>2555</v>
      </c>
      <c r="F65" s="2562" t="s">
        <v>2556</v>
      </c>
      <c r="G65" s="2562" t="s">
        <v>2557</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485" t="s">
        <v>2299</v>
      </c>
      <c r="D1" s="3486"/>
      <c r="E1" s="3486"/>
      <c r="F1" s="3486"/>
      <c r="G1" s="3486"/>
      <c r="H1" s="3486"/>
      <c r="I1" s="3486"/>
      <c r="J1" s="3486"/>
      <c r="K1" s="3486"/>
      <c r="L1" s="3486"/>
      <c r="M1" s="3486"/>
      <c r="N1" s="3486"/>
      <c r="O1" s="3486"/>
      <c r="P1" s="3486"/>
      <c r="Q1" s="3486"/>
      <c r="R1" s="3486"/>
      <c r="S1" s="3487"/>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7"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2921</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2920</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599" customFormat="1" ht="24">
      <c r="A23" s="17" t="s">
        <v>830</v>
      </c>
      <c r="B23" s="3188"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2781</v>
      </c>
      <c r="C1" s="2959">
        <f>项目基本情况!D3</f>
        <v>44034</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2812</v>
      </c>
      <c r="C2" s="2960">
        <f>'数据-取费表'!B22</f>
        <v>3</v>
      </c>
      <c r="D2" s="2955" t="s">
        <v>2782</v>
      </c>
      <c r="E2" s="2958">
        <f ca="1">INDIRECT("I"&amp;$I$1)/100</f>
        <v>4.7500000000000001E-2</v>
      </c>
      <c r="G2" s="2895"/>
      <c r="H2" s="2895"/>
      <c r="I2" s="2895" t="s">
        <v>2783</v>
      </c>
      <c r="K2" s="2895"/>
      <c r="L2" s="2895"/>
      <c r="M2" s="2895"/>
      <c r="N2" s="2895" t="s">
        <v>2784</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2814</v>
      </c>
      <c r="C3" s="2957">
        <f>'数据-取费表'!B19</f>
        <v>0</v>
      </c>
      <c r="D3" s="2955" t="s">
        <v>2782</v>
      </c>
      <c r="E3" s="2958">
        <f ca="1">INDIRECT("J"&amp;$J$1)/100</f>
        <v>0</v>
      </c>
      <c r="G3" s="2897" t="s">
        <v>2785</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2813</v>
      </c>
      <c r="C4" s="2958">
        <f ca="1">N4/100</f>
        <v>1.4999999999999999E-2</v>
      </c>
      <c r="G4" s="2903" t="s">
        <v>2786</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2787</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2788</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2789</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2790</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2791</v>
      </c>
      <c r="C10" s="2922"/>
      <c r="D10" s="2922"/>
      <c r="E10" s="2922"/>
      <c r="F10" s="2922"/>
      <c r="G10" s="2922"/>
      <c r="H10" s="2922"/>
      <c r="I10" s="2896"/>
      <c r="J10" s="2896"/>
      <c r="K10" s="2922"/>
      <c r="L10" s="2923" t="s">
        <v>2792</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2793</v>
      </c>
      <c r="C11" s="2927" t="s">
        <v>2794</v>
      </c>
      <c r="D11" s="2928" t="s">
        <v>2795</v>
      </c>
      <c r="E11" s="2929"/>
      <c r="F11" s="2928" t="s">
        <v>2796</v>
      </c>
      <c r="G11" s="2930"/>
      <c r="H11" s="2929"/>
      <c r="I11" s="2928" t="s">
        <v>2797</v>
      </c>
      <c r="J11" s="2929"/>
      <c r="K11" s="2925"/>
      <c r="L11" s="2926" t="s">
        <v>2793</v>
      </c>
      <c r="M11" s="2927" t="s">
        <v>2794</v>
      </c>
      <c r="N11" s="2926" t="s">
        <v>2798</v>
      </c>
      <c r="O11" s="2928" t="s">
        <v>2799</v>
      </c>
      <c r="P11" s="2930"/>
      <c r="Q11" s="2930"/>
      <c r="R11" s="2930"/>
      <c r="S11" s="2930"/>
      <c r="T11" s="2929"/>
      <c r="U11" s="2928" t="s">
        <v>2800</v>
      </c>
      <c r="V11" s="2930"/>
      <c r="W11" s="2929"/>
      <c r="X11" s="2926" t="s">
        <v>2801</v>
      </c>
      <c r="Y11" s="2926" t="s">
        <v>2802</v>
      </c>
      <c r="Z11" s="2926" t="s">
        <v>2803</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2804</v>
      </c>
      <c r="E12" s="2935" t="s">
        <v>2805</v>
      </c>
      <c r="F12" s="2935" t="s">
        <v>2806</v>
      </c>
      <c r="G12" s="2935" t="s">
        <v>2807</v>
      </c>
      <c r="H12" s="2935" t="s">
        <v>2789</v>
      </c>
      <c r="I12" s="2936" t="s">
        <v>2808</v>
      </c>
      <c r="J12" s="2936" t="s">
        <v>2808</v>
      </c>
      <c r="K12" s="2932"/>
      <c r="L12" s="2933"/>
      <c r="M12" s="2934"/>
      <c r="N12" s="2933"/>
      <c r="O12" s="2936" t="s">
        <v>2809</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2810</v>
      </c>
      <c r="C13" s="2940">
        <v>42301</v>
      </c>
      <c r="D13" s="2941">
        <v>4.3499999999999996</v>
      </c>
      <c r="E13" s="2941">
        <v>4.3499999999999996</v>
      </c>
      <c r="F13" s="2941">
        <v>4.75</v>
      </c>
      <c r="G13" s="2941">
        <v>4.75</v>
      </c>
      <c r="H13" s="2941">
        <v>4.9000000000000004</v>
      </c>
      <c r="I13" s="2941">
        <v>2.75</v>
      </c>
      <c r="J13" s="2941">
        <v>3.25</v>
      </c>
      <c r="K13" s="2938"/>
      <c r="L13" s="2939" t="s">
        <v>2810</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2811</v>
      </c>
      <c r="Y42" s="2945" t="s">
        <v>2811</v>
      </c>
      <c r="Z42" s="2945" t="s">
        <v>2811</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2811</v>
      </c>
      <c r="Y43" s="2945" t="s">
        <v>2811</v>
      </c>
      <c r="Z43" s="2945" t="s">
        <v>2811</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2811</v>
      </c>
      <c r="Y44" s="2945" t="s">
        <v>2811</v>
      </c>
      <c r="Z44" s="2945" t="s">
        <v>2811</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2811</v>
      </c>
      <c r="Y45" s="2945" t="s">
        <v>2811</v>
      </c>
      <c r="Z45" s="2945" t="s">
        <v>2811</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2811</v>
      </c>
      <c r="Y46" s="2945" t="s">
        <v>2811</v>
      </c>
      <c r="Z46" s="2945" t="s">
        <v>2811</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2811</v>
      </c>
      <c r="Y47" s="2945" t="s">
        <v>2811</v>
      </c>
      <c r="Z47" s="2945" t="s">
        <v>2811</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2811</v>
      </c>
      <c r="Y48" s="2945" t="s">
        <v>2811</v>
      </c>
      <c r="Z48" s="2945" t="s">
        <v>2811</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2811</v>
      </c>
      <c r="Y49" s="2945" t="s">
        <v>2811</v>
      </c>
      <c r="Z49" s="2945" t="s">
        <v>2811</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2811</v>
      </c>
      <c r="Y50" s="2945" t="s">
        <v>2811</v>
      </c>
      <c r="Z50" s="2945" t="s">
        <v>2811</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2811</v>
      </c>
      <c r="V51" s="2945" t="s">
        <v>2811</v>
      </c>
      <c r="W51" s="2945" t="s">
        <v>2811</v>
      </c>
      <c r="X51" s="2945" t="s">
        <v>2811</v>
      </c>
      <c r="Y51" s="2945" t="s">
        <v>2811</v>
      </c>
      <c r="Z51" s="2945" t="s">
        <v>2811</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2811</v>
      </c>
      <c r="J55" s="2945" t="s">
        <v>2811</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2034</v>
      </c>
      <c r="B1" s="3194"/>
      <c r="C1" s="3194"/>
      <c r="D1" s="3194"/>
      <c r="E1" s="3194"/>
      <c r="F1" s="3194"/>
      <c r="G1" s="3194"/>
      <c r="H1" s="3194"/>
      <c r="I1" s="3194"/>
      <c r="J1" s="3194"/>
      <c r="K1" s="3194"/>
      <c r="L1" s="3194"/>
      <c r="M1" s="3194"/>
      <c r="N1" s="3194"/>
      <c r="O1" s="3194"/>
      <c r="P1" s="3194"/>
      <c r="Q1" s="3194"/>
      <c r="R1" s="3194"/>
    </row>
    <row r="2" spans="1:18">
      <c r="A2" s="1792" t="s">
        <v>2036</v>
      </c>
      <c r="B2" s="1792"/>
      <c r="C2" s="1792"/>
      <c r="D2" s="1792"/>
      <c r="E2" s="1792"/>
      <c r="F2" s="1792"/>
      <c r="G2" s="1792"/>
      <c r="H2" s="1792"/>
      <c r="I2" s="1793"/>
      <c r="J2" s="1793"/>
      <c r="K2" s="1794" t="str">
        <f>"估价期日："&amp;TEXT(项目基本情况!D3,"yyyy年m月d日;;")</f>
        <v>估价期日：2020年7月22日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5" t="s">
        <v>2025</v>
      </c>
      <c r="B3" s="3195" t="s">
        <v>2724</v>
      </c>
      <c r="C3" s="3196" t="s">
        <v>2026</v>
      </c>
      <c r="D3" s="3195" t="s">
        <v>2728</v>
      </c>
      <c r="E3" s="3190" t="s">
        <v>2027</v>
      </c>
      <c r="F3" s="3190"/>
      <c r="G3" s="3190"/>
      <c r="H3" s="3190" t="s">
        <v>2028</v>
      </c>
      <c r="I3" s="3190"/>
      <c r="J3" s="3190"/>
      <c r="K3" s="3196" t="s">
        <v>2029</v>
      </c>
      <c r="L3" s="3196" t="s">
        <v>2030</v>
      </c>
      <c r="M3" s="3195" t="s">
        <v>2725</v>
      </c>
      <c r="N3" s="3197" t="str">
        <f>"（分摊）"&amp;项目基本情况!B16&amp;"国有建设用地使用权面积/㎡"</f>
        <v>（分摊）出让国有建设用地使用权面积/㎡</v>
      </c>
      <c r="O3" s="3195" t="s">
        <v>2059</v>
      </c>
      <c r="P3" s="3196" t="s">
        <v>2039</v>
      </c>
      <c r="Q3" s="3196" t="s">
        <v>2060</v>
      </c>
      <c r="R3" s="3196" t="s">
        <v>2031</v>
      </c>
    </row>
    <row r="4" spans="1:18" ht="36.75" customHeight="1">
      <c r="A4" s="3195"/>
      <c r="B4" s="3195"/>
      <c r="C4" s="3196"/>
      <c r="D4" s="3195"/>
      <c r="E4" s="2613" t="s">
        <v>2038</v>
      </c>
      <c r="F4" s="2613" t="s">
        <v>2737</v>
      </c>
      <c r="G4" s="2613" t="s">
        <v>2032</v>
      </c>
      <c r="H4" s="2613" t="s">
        <v>2033</v>
      </c>
      <c r="I4" s="2613" t="s">
        <v>2738</v>
      </c>
      <c r="J4" s="2613" t="s">
        <v>2032</v>
      </c>
      <c r="K4" s="3196"/>
      <c r="L4" s="3196"/>
      <c r="M4" s="3195"/>
      <c r="N4" s="3197"/>
      <c r="O4" s="3195"/>
      <c r="P4" s="3196"/>
      <c r="Q4" s="3196"/>
      <c r="R4" s="3196"/>
    </row>
    <row r="5" spans="1:18" ht="135" customHeight="1">
      <c r="A5" s="1928" t="s">
        <v>2648</v>
      </c>
      <c r="B5" s="2822" t="s">
        <v>2646</v>
      </c>
      <c r="C5" s="2612">
        <v>22</v>
      </c>
      <c r="D5" s="2611" t="s">
        <v>2647</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133327.24</v>
      </c>
      <c r="O5" s="1795">
        <f>项目基本情况!C21</f>
        <v>324852.64</v>
      </c>
      <c r="P5" s="1795">
        <f ca="1">结果表!E42</f>
        <v>1801</v>
      </c>
      <c r="Q5" s="1795">
        <f ca="1">结果表!D42</f>
        <v>739</v>
      </c>
      <c r="R5" s="1796">
        <f ca="1">结果表!C42</f>
        <v>24010</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797">
        <f ca="1">结果表!O39</f>
        <v>24010</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797" t="str">
        <f>结果表!O40</f>
        <v>——</v>
      </c>
    </row>
    <row r="8" spans="1:18">
      <c r="A8" s="3191">
        <f>IF(项目基本情况!B9="市场价格","——",项目基本情况!E9)</f>
        <v>0</v>
      </c>
      <c r="B8" s="3192"/>
      <c r="C8" s="3192"/>
      <c r="D8" s="3192"/>
      <c r="E8" s="3192"/>
      <c r="F8" s="3192"/>
      <c r="G8" s="3192"/>
      <c r="H8" s="3192"/>
      <c r="I8" s="3192"/>
      <c r="J8" s="3192"/>
      <c r="K8" s="3192"/>
      <c r="L8" s="3192"/>
      <c r="M8" s="3192"/>
      <c r="N8" s="3192"/>
      <c r="O8" s="3192"/>
      <c r="P8" s="3192"/>
      <c r="Q8" s="3193"/>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198" t="s">
        <v>2061</v>
      </c>
      <c r="B1" s="3198"/>
      <c r="C1" s="3198"/>
      <c r="D1" s="3198"/>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201" t="s">
        <v>2062</v>
      </c>
      <c r="B5" s="3201"/>
      <c r="C5" s="3201"/>
      <c r="D5" s="3201"/>
    </row>
    <row r="6" spans="1:4">
      <c r="A6" s="3198" t="s">
        <v>2040</v>
      </c>
      <c r="B6" s="3198"/>
      <c r="C6" s="3198"/>
      <c r="D6" s="3198"/>
    </row>
    <row r="7" spans="1:4" ht="33" customHeight="1">
      <c r="A7" s="3198" t="s">
        <v>2568</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0"/>
      <c r="C11" s="3200"/>
      <c r="D11" s="3200"/>
    </row>
    <row r="12" spans="1:4" ht="168" customHeight="1">
      <c r="A12" s="3201" t="s">
        <v>2064</v>
      </c>
      <c r="B12" s="3201"/>
      <c r="C12" s="3201"/>
      <c r="D12" s="3201"/>
    </row>
    <row r="13" spans="1:4">
      <c r="A13" s="3199" t="s">
        <v>2739</v>
      </c>
      <c r="B13" s="3199"/>
      <c r="C13" s="3199"/>
      <c r="D13" s="3199"/>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2695</v>
      </c>
      <c r="B17" s="3198"/>
      <c r="C17" s="3198"/>
      <c r="D17" s="3198"/>
    </row>
    <row r="18" spans="1:4">
      <c r="A18" s="3198" t="s">
        <v>2687</v>
      </c>
      <c r="B18" s="3198"/>
      <c r="C18" s="3198"/>
      <c r="D18" s="3198"/>
    </row>
    <row r="19" spans="1:4">
      <c r="A19" s="2823" t="s">
        <v>2688</v>
      </c>
      <c r="B19" s="2823" t="s">
        <v>2689</v>
      </c>
      <c r="C19" s="2823" t="s">
        <v>2690</v>
      </c>
      <c r="D19" s="2823" t="s">
        <v>2691</v>
      </c>
    </row>
    <row r="20" spans="1:4">
      <c r="A20" s="2823" t="str">
        <f>项目基本情况!B4</f>
        <v>土地估价师</v>
      </c>
      <c r="B20" s="2823">
        <f>项目基本情况!C4</f>
        <v>0</v>
      </c>
      <c r="C20" s="2825"/>
      <c r="D20" s="1785" t="s">
        <v>2696</v>
      </c>
    </row>
    <row r="21" spans="1:4">
      <c r="A21" s="2823" t="str">
        <f>项目基本情况!D4</f>
        <v>土地估价师</v>
      </c>
      <c r="B21" s="2823">
        <f>项目基本情况!E4</f>
        <v>0</v>
      </c>
      <c r="C21" s="2825"/>
      <c r="D21" s="1785" t="s">
        <v>2697</v>
      </c>
    </row>
    <row r="23" spans="1:4">
      <c r="A23" s="3198" t="s">
        <v>2692</v>
      </c>
      <c r="B23" s="3198"/>
      <c r="C23" s="3198"/>
      <c r="D23" s="3198"/>
    </row>
    <row r="24" spans="1:4">
      <c r="A24" s="2823" t="s">
        <v>2688</v>
      </c>
      <c r="B24" s="2823" t="s">
        <v>2693</v>
      </c>
      <c r="C24" s="2823" t="s">
        <v>2690</v>
      </c>
      <c r="D24" s="2823" t="s">
        <v>2691</v>
      </c>
    </row>
    <row r="25" spans="1:4">
      <c r="A25" s="2826" t="s">
        <v>2694</v>
      </c>
      <c r="B25" s="2823" t="s">
        <v>950</v>
      </c>
      <c r="C25" s="2825"/>
      <c r="D25" s="1785" t="s">
        <v>2697</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10" t="s">
        <v>53</v>
      </c>
      <c r="B15" s="3211" t="s">
        <v>844</v>
      </c>
      <c r="C15" s="3207"/>
    </row>
    <row r="16" spans="1:7" ht="14.25">
      <c r="A16" s="3210"/>
      <c r="B16" s="3208" t="s">
        <v>54</v>
      </c>
      <c r="C16" s="1167" t="s">
        <v>53</v>
      </c>
    </row>
    <row r="17" spans="1:3" ht="14.25">
      <c r="A17" s="3210"/>
      <c r="B17" s="3208"/>
      <c r="C17" s="1167" t="s">
        <v>55</v>
      </c>
    </row>
    <row r="18" spans="1:3" ht="14.25">
      <c r="A18" s="3210"/>
      <c r="B18" s="3208"/>
      <c r="C18" s="1167" t="s">
        <v>56</v>
      </c>
    </row>
    <row r="19" spans="1:3" ht="14.25">
      <c r="A19" s="3210"/>
      <c r="B19" s="3206" t="s">
        <v>57</v>
      </c>
      <c r="C19" s="3207"/>
    </row>
    <row r="20" spans="1:3" ht="14.25">
      <c r="A20" s="1168" t="s">
        <v>58</v>
      </c>
      <c r="B20" s="1169"/>
      <c r="C20" s="1170"/>
    </row>
    <row r="21" spans="1:3" ht="14.25">
      <c r="A21" s="3209" t="s">
        <v>59</v>
      </c>
      <c r="B21" s="3206" t="s">
        <v>60</v>
      </c>
      <c r="C21" s="3207"/>
    </row>
    <row r="22" spans="1:3" ht="14.25">
      <c r="A22" s="3209"/>
      <c r="B22" s="3206" t="s">
        <v>61</v>
      </c>
      <c r="C22" s="3207"/>
    </row>
    <row r="23" spans="1:3" ht="14.25">
      <c r="A23" s="3209"/>
      <c r="B23" s="3206" t="s">
        <v>62</v>
      </c>
      <c r="C23" s="3207"/>
    </row>
    <row r="24" spans="1:3" ht="14.25">
      <c r="A24" s="3209"/>
      <c r="B24" s="3212" t="s">
        <v>63</v>
      </c>
      <c r="C24" s="1171" t="s">
        <v>835</v>
      </c>
    </row>
    <row r="25" spans="1:3" ht="14.25">
      <c r="A25" s="3209"/>
      <c r="B25" s="3213"/>
      <c r="C25" s="1171" t="s">
        <v>836</v>
      </c>
    </row>
    <row r="26" spans="1:3" ht="14.25">
      <c r="A26" s="3209"/>
      <c r="B26" s="3213"/>
      <c r="C26" s="1171" t="s">
        <v>837</v>
      </c>
    </row>
    <row r="27" spans="1:3" ht="14.25">
      <c r="A27" s="3209"/>
      <c r="B27" s="3213"/>
      <c r="C27" s="1171" t="s">
        <v>838</v>
      </c>
    </row>
    <row r="28" spans="1:3" ht="14.25">
      <c r="A28" s="3209"/>
      <c r="B28" s="3213"/>
      <c r="C28" s="1171" t="s">
        <v>839</v>
      </c>
    </row>
    <row r="29" spans="1:3" ht="14.25">
      <c r="A29" s="3209"/>
      <c r="B29" s="3213"/>
      <c r="C29" s="1171" t="s">
        <v>840</v>
      </c>
    </row>
    <row r="30" spans="1:3" ht="14.25">
      <c r="A30" s="3209"/>
      <c r="B30" s="3213"/>
      <c r="C30" s="1171" t="s">
        <v>841</v>
      </c>
    </row>
    <row r="31" spans="1:3" ht="14.25">
      <c r="A31" s="3209"/>
      <c r="B31" s="3213"/>
      <c r="C31" s="1171" t="s">
        <v>842</v>
      </c>
    </row>
    <row r="32" spans="1:3" ht="14.25">
      <c r="A32" s="3209"/>
      <c r="B32" s="3213"/>
      <c r="C32" s="1171" t="s">
        <v>1644</v>
      </c>
    </row>
    <row r="33" spans="1:3" ht="14.25">
      <c r="A33" s="3209"/>
      <c r="B33" s="3203" t="s">
        <v>1650</v>
      </c>
      <c r="C33" s="1171" t="s">
        <v>1645</v>
      </c>
    </row>
    <row r="34" spans="1:3" ht="14.25">
      <c r="A34" s="3209"/>
      <c r="B34" s="3204"/>
      <c r="C34" s="1176" t="s">
        <v>1646</v>
      </c>
    </row>
    <row r="35" spans="1:3" ht="14.25">
      <c r="A35" s="3209"/>
      <c r="B35" s="3204"/>
      <c r="C35" s="1177" t="s">
        <v>1647</v>
      </c>
    </row>
    <row r="36" spans="1:3" ht="14.25">
      <c r="A36" s="3209"/>
      <c r="B36" s="3204"/>
      <c r="C36" s="1177" t="s">
        <v>1648</v>
      </c>
    </row>
    <row r="37" spans="1:3" ht="14.25">
      <c r="A37" s="3209"/>
      <c r="B37" s="3205"/>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1905</v>
      </c>
      <c r="B2" s="3121">
        <f ca="1">TODAY()</f>
        <v>44034</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2974</v>
      </c>
      <c r="B14" s="3125">
        <f ca="1">IF(C14&lt;B2,"已过期",1120040230)</f>
        <v>1120040230</v>
      </c>
      <c r="C14" s="3129">
        <v>44864</v>
      </c>
      <c r="D14" s="3130" t="s">
        <v>2975</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2988</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2990</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14" t="s">
        <v>1922</v>
      </c>
      <c r="B25" s="3214"/>
      <c r="C25" s="3214"/>
      <c r="D25" s="3214"/>
      <c r="E25" s="3214"/>
      <c r="F25" s="3214"/>
      <c r="G25" s="3214"/>
    </row>
    <row r="26" spans="1:7" ht="20.25" customHeight="1">
      <c r="A26" s="3215" t="s">
        <v>1923</v>
      </c>
      <c r="B26" s="3215"/>
      <c r="C26" s="3215"/>
      <c r="D26" s="3215" t="s">
        <v>1924</v>
      </c>
      <c r="E26" s="3215"/>
      <c r="F26" s="3215"/>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2989</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2539</v>
      </c>
      <c r="R1" s="2546" t="s">
        <v>2533</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2948</v>
      </c>
      <c r="C18" s="1540"/>
    </row>
    <row r="19" spans="1:3">
      <c r="A19" s="8" t="s">
        <v>120</v>
      </c>
      <c r="B19" s="3058" t="s">
        <v>2956</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16"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c r="D53" s="1752"/>
      <c r="E53" s="1752"/>
    </row>
    <row r="54" spans="1:5">
      <c r="A54" s="3216"/>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6"/>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6"/>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6"/>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2020-07-22T09:32:30Z</dcterms:modified>
</cp:coreProperties>
</file>