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B31E2E4A-300A-44F2-B966-539865DF6070}" xr6:coauthVersionLast="47" xr6:coauthVersionMax="47" xr10:uidLastSave="{00000000-0000-0000-0000-000000000000}"/>
  <bookViews>
    <workbookView xWindow="-108" yWindow="-108" windowWidth="20376" windowHeight="1221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1层" sheetId="67" r:id="rId21"/>
    <sheet name="典型户型修正" sheetId="31" state="hidden" r:id="rId22"/>
    <sheet name="收益法2层" sheetId="85" r:id="rId23"/>
    <sheet name="中指成交案例" sheetId="84" r:id="rId24"/>
    <sheet name="信息" sheetId="80" r:id="rId25"/>
    <sheet name="租约" sheetId="81" r:id="rId26"/>
    <sheet name="假设开发法" sheetId="12" state="hidden" r:id="rId27"/>
    <sheet name="收益法" sheetId="15" state="hidden" r:id="rId28"/>
    <sheet name="案例" sheetId="82" r:id="rId29"/>
    <sheet name="收益法-酒店模型" sheetId="77" state="hidden" r:id="rId30"/>
    <sheet name="收益法（汇总）" sheetId="70"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分户平面图计算各层面积" sheetId="83" r:id="rId40"/>
    <sheet name="成本法 (元)" sheetId="69" r:id="rId41"/>
    <sheet name="基准地价修正" sheetId="4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0">'收益法 (元)1层'!$A$1:$F$43,'收益法 (元)1层'!$H$3:$M$29,'收益法 (元)1层'!$A$45:$F$71,'收益法 (元)1层'!$I$46:$N$65</definedName>
    <definedName name="_xlnm.Print_Area" localSheetId="30">'收益法（汇总）'!$A$1:$F$13</definedName>
    <definedName name="_xlnm.Print_Area" localSheetId="22">收益法2层!$A$1:$F$43,收益法2层!$H$3:$M$29,收益法2层!$A$45:$F$71,收益法2层!$I$46:$N$65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4" i="33" l="1"/>
  <c r="E104" i="33" s="1"/>
  <c r="F104" i="33" s="1"/>
  <c r="G104" i="33" s="1"/>
  <c r="H104" i="33" s="1"/>
  <c r="I104" i="33" s="1"/>
  <c r="D131" i="33"/>
  <c r="E131" i="33" s="1"/>
  <c r="E127" i="33"/>
  <c r="D127" i="33" s="1"/>
  <c r="C127" i="33" s="1"/>
  <c r="I46" i="33"/>
  <c r="G46" i="33"/>
  <c r="E46" i="33"/>
  <c r="I47" i="33"/>
  <c r="G47" i="33"/>
  <c r="E47" i="33"/>
  <c r="I33" i="33"/>
  <c r="G33" i="33"/>
  <c r="E33" i="33"/>
  <c r="I7" i="33"/>
  <c r="G7" i="33"/>
  <c r="E7" i="33"/>
  <c r="C45" i="33"/>
  <c r="F70" i="67"/>
  <c r="F52" i="67"/>
  <c r="F49" i="67"/>
  <c r="M14" i="80"/>
  <c r="N15" i="80"/>
  <c r="W7" i="1"/>
  <c r="V7" i="1"/>
  <c r="AD6" i="1"/>
  <c r="Q72" i="85"/>
  <c r="Q59" i="85"/>
  <c r="K59" i="85"/>
  <c r="P74" i="85" s="1"/>
  <c r="F59" i="85"/>
  <c r="Q58" i="85"/>
  <c r="Q51" i="85"/>
  <c r="J50" i="85"/>
  <c r="J49" i="85"/>
  <c r="M47" i="85"/>
  <c r="D46" i="85"/>
  <c r="F33" i="85"/>
  <c r="F61" i="85" s="1"/>
  <c r="F31" i="85"/>
  <c r="F23" i="85"/>
  <c r="D24" i="85" s="1"/>
  <c r="F21" i="85"/>
  <c r="F20" i="85"/>
  <c r="M19" i="85"/>
  <c r="F18" i="85"/>
  <c r="M17" i="85"/>
  <c r="F17" i="85"/>
  <c r="F15" i="85"/>
  <c r="AM7" i="1"/>
  <c r="AL7" i="1"/>
  <c r="AK7" i="1"/>
  <c r="Q7" i="1"/>
  <c r="L7" i="1"/>
  <c r="J7" i="1"/>
  <c r="I7" i="1"/>
  <c r="H7" i="1"/>
  <c r="D22" i="85" l="1"/>
  <c r="D23" i="85"/>
  <c r="P61" i="85"/>
  <c r="K19" i="80" l="1"/>
  <c r="J18" i="80"/>
  <c r="D13" i="4"/>
  <c r="C11" i="4"/>
  <c r="H15" i="80"/>
  <c r="C15" i="80"/>
  <c r="G14" i="80"/>
  <c r="R27" i="84"/>
  <c r="R28" i="84"/>
  <c r="R25" i="84"/>
  <c r="R29" i="84" s="1"/>
  <c r="Q28" i="84"/>
  <c r="P28" i="84"/>
  <c r="P26" i="84"/>
  <c r="R26" i="84" s="1"/>
  <c r="B14" i="80"/>
  <c r="B18" i="82"/>
  <c r="B19" i="82" s="1"/>
  <c r="H7" i="81"/>
  <c r="G7" i="81"/>
  <c r="H6" i="81"/>
  <c r="F13" i="4" s="1"/>
  <c r="G6" i="81"/>
  <c r="H5" i="81"/>
  <c r="G5" i="81"/>
  <c r="H4" i="81"/>
  <c r="G4" i="81"/>
  <c r="G2" i="81"/>
  <c r="H3" i="81"/>
  <c r="G3" i="81"/>
  <c r="F7" i="81"/>
  <c r="F6" i="81"/>
  <c r="F5" i="81"/>
  <c r="F4" i="81"/>
  <c r="F3" i="81"/>
  <c r="B7" i="81"/>
  <c r="B6" i="81"/>
  <c r="G9" i="80" s="1"/>
  <c r="B5" i="81"/>
  <c r="B4" i="81"/>
  <c r="B3" i="81"/>
  <c r="A7" i="81"/>
  <c r="A6" i="81"/>
  <c r="A5" i="81"/>
  <c r="A4" i="81"/>
  <c r="A3" i="81"/>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S29" i="84" l="1"/>
  <c r="R30" i="84"/>
  <c r="S30" i="84" s="1"/>
  <c r="P13" i="80"/>
  <c r="G10" i="80"/>
  <c r="F19" i="6"/>
  <c r="L9" i="80"/>
  <c r="I123" i="81"/>
  <c r="I150" i="81"/>
  <c r="E151" i="81" s="1"/>
  <c r="I94" i="81"/>
  <c r="I66" i="81"/>
  <c r="H39" i="81"/>
  <c r="E124" i="81"/>
  <c r="H9" i="80"/>
  <c r="E14" i="31"/>
  <c r="C19" i="82"/>
  <c r="T7" i="31"/>
  <c r="D7" i="31"/>
  <c r="E7" i="31"/>
  <c r="F7" i="31"/>
  <c r="C7" i="31"/>
  <c r="B7" i="31"/>
  <c r="T5" i="31"/>
  <c r="D5" i="31"/>
  <c r="C5" i="31"/>
  <c r="B5" i="31"/>
  <c r="D3" i="31"/>
  <c r="E3" i="31"/>
  <c r="F3" i="31"/>
  <c r="G3" i="31"/>
  <c r="H3" i="31"/>
  <c r="D4" i="31"/>
  <c r="C4" i="31"/>
  <c r="C3" i="31"/>
  <c r="I5" i="33"/>
  <c r="G5" i="33"/>
  <c r="E5" i="33"/>
  <c r="C7" i="82"/>
  <c r="C8" i="82"/>
  <c r="C6" i="82"/>
  <c r="I10" i="33"/>
  <c r="G10" i="33"/>
  <c r="E10" i="33"/>
  <c r="E10" i="80"/>
  <c r="I14" i="80" s="1"/>
  <c r="C10" i="80"/>
  <c r="D14" i="80" s="1"/>
  <c r="D9" i="80"/>
  <c r="G15" i="80" s="1"/>
  <c r="B9" i="80"/>
  <c r="H4" i="31"/>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151" i="81" l="1"/>
  <c r="E7" i="81" s="1"/>
  <c r="D7" i="81"/>
  <c r="J124" i="81"/>
  <c r="E6" i="81" s="1"/>
  <c r="D6" i="81"/>
  <c r="O13" i="80" s="1"/>
  <c r="U6" i="1" s="1"/>
  <c r="G4" i="31"/>
  <c r="J40" i="81"/>
  <c r="E3" i="81" s="1"/>
  <c r="D3" i="81"/>
  <c r="J67" i="81"/>
  <c r="E4" i="81" s="1"/>
  <c r="D4" i="81"/>
  <c r="F4" i="31"/>
  <c r="J95" i="81"/>
  <c r="E5" i="81" s="1"/>
  <c r="D5" i="81"/>
  <c r="E4" i="31"/>
  <c r="H10" i="80"/>
  <c r="F20" i="6"/>
  <c r="J19" i="80"/>
  <c r="U7" i="1" s="1"/>
  <c r="B15" i="80"/>
  <c r="C9" i="80"/>
  <c r="D13" i="80" s="1"/>
  <c r="D15" i="80" s="1"/>
  <c r="J9" i="80"/>
  <c r="U2" i="43"/>
  <c r="E9" i="80"/>
  <c r="I13" i="80" s="1"/>
  <c r="I15" i="80" s="1"/>
  <c r="K9" i="80"/>
  <c r="C14" i="31"/>
  <c r="D14" i="31"/>
  <c r="J49" i="67"/>
  <c r="B58" i="1"/>
  <c r="B21" i="1"/>
  <c r="I14" i="3"/>
  <c r="I13" i="3"/>
  <c r="C14" i="3"/>
  <c r="C13" i="3"/>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C36" i="33"/>
  <c r="G36" i="33" s="1"/>
  <c r="N7" i="1"/>
  <c r="I36" i="33"/>
  <c r="E36" i="33"/>
  <c r="Y6" i="1"/>
  <c r="Y7" i="1" s="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E38" i="71"/>
  <c r="N68" i="71"/>
  <c r="C30" i="71"/>
  <c r="C35" i="71"/>
  <c r="C38" i="71"/>
  <c r="D38" i="71" s="1"/>
  <c r="B28" i="71"/>
  <c r="B27" i="71" s="1"/>
  <c r="B26" i="71"/>
  <c r="D30" i="71"/>
  <c r="P28" i="71"/>
  <c r="E28" i="71" s="1"/>
  <c r="Q28" i="71"/>
  <c r="F28" i="71" s="1"/>
  <c r="F27" i="71" s="1"/>
  <c r="F26" i="71" s="1"/>
  <c r="D62" i="71"/>
  <c r="B66" i="71"/>
  <c r="N65" i="71" s="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G83" i="21" s="1"/>
  <c r="H1" i="69"/>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J51" i="85"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s="1"/>
  <c r="AA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B73" i="35"/>
  <c r="J23" i="35" s="1"/>
  <c r="AC23" i="35" s="1"/>
  <c r="B57" i="35"/>
  <c r="J11" i="35" s="1"/>
  <c r="W11" i="35" s="1"/>
  <c r="B61" i="35"/>
  <c r="B59" i="35"/>
  <c r="F12" i="35" s="1"/>
  <c r="B131" i="34"/>
  <c r="B129" i="34"/>
  <c r="B127" i="34"/>
  <c r="B99" i="34"/>
  <c r="B97" i="34"/>
  <c r="B95" i="34"/>
  <c r="H30" i="34" s="1"/>
  <c r="B93" i="34"/>
  <c r="F29" i="34" s="1"/>
  <c r="S29" i="34" s="1"/>
  <c r="B75" i="34"/>
  <c r="B73" i="34"/>
  <c r="B71" i="34"/>
  <c r="B130" i="33"/>
  <c r="J46" i="33" s="1"/>
  <c r="B128" i="33"/>
  <c r="B126" i="33"/>
  <c r="B98" i="33"/>
  <c r="B96" i="33"/>
  <c r="B94" i="33"/>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AA40" i="33"/>
  <c r="Q39" i="33"/>
  <c r="Z39" i="33" s="1"/>
  <c r="J39" i="33"/>
  <c r="AC39" i="33" s="1"/>
  <c r="Q38" i="33"/>
  <c r="Z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B126" i="21"/>
  <c r="B98" i="21"/>
  <c r="H31" i="21" s="1"/>
  <c r="B96" i="21"/>
  <c r="B94" i="21"/>
  <c r="J29" i="21" s="1"/>
  <c r="AC29" i="21" s="1"/>
  <c r="B92" i="21"/>
  <c r="B90" i="2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AA26" i="33" s="1"/>
  <c r="U35" i="33"/>
  <c r="S40" i="33"/>
  <c r="H39" i="37"/>
  <c r="F11" i="40"/>
  <c r="AA11" i="40" s="1"/>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J21" i="40"/>
  <c r="W21" i="40" s="1"/>
  <c r="H42" i="39"/>
  <c r="AB42" i="39" s="1"/>
  <c r="J34" i="39"/>
  <c r="AC34" i="39" s="1"/>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H23" i="34"/>
  <c r="U23" i="34" s="1"/>
  <c r="J23" i="34"/>
  <c r="F19" i="34"/>
  <c r="H17" i="34"/>
  <c r="F15" i="34"/>
  <c r="AA15" i="34" s="1"/>
  <c r="J15" i="34"/>
  <c r="H15" i="34"/>
  <c r="AB15" i="34" s="1"/>
  <c r="F41" i="33"/>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F13" i="33"/>
  <c r="S13" i="33"/>
  <c r="J29" i="33"/>
  <c r="H29" i="33"/>
  <c r="U29" i="33" s="1"/>
  <c r="F29" i="33"/>
  <c r="S29" i="33" s="1"/>
  <c r="J31" i="33"/>
  <c r="W31" i="33" s="1"/>
  <c r="H31" i="33"/>
  <c r="F31" i="33"/>
  <c r="H45" i="33"/>
  <c r="U45" i="33" s="1"/>
  <c r="J45" i="33"/>
  <c r="F45" i="33"/>
  <c r="AA45" i="33" s="1"/>
  <c r="J14" i="34"/>
  <c r="W14" i="34" s="1"/>
  <c r="F14" i="34"/>
  <c r="H14" i="34"/>
  <c r="F30" i="34"/>
  <c r="S30" i="34"/>
  <c r="J30" i="34"/>
  <c r="H32" i="34"/>
  <c r="F32" i="34"/>
  <c r="J32" i="34"/>
  <c r="W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44" i="33"/>
  <c r="U44" i="33" s="1"/>
  <c r="F44" i="33"/>
  <c r="S44" i="33" s="1"/>
  <c r="H13" i="34"/>
  <c r="U13" i="34" s="1"/>
  <c r="J13" i="34"/>
  <c r="W13" i="34" s="1"/>
  <c r="F13" i="34"/>
  <c r="AA13" i="34" s="1"/>
  <c r="J31" i="34"/>
  <c r="H31" i="34"/>
  <c r="F31" i="34"/>
  <c r="S31" i="34"/>
  <c r="H47" i="34"/>
  <c r="U47" i="34" s="1"/>
  <c r="F47" i="34"/>
  <c r="S47" i="34" s="1"/>
  <c r="J47" i="34"/>
  <c r="J25" i="35"/>
  <c r="W25" i="35" s="1"/>
  <c r="J35" i="35"/>
  <c r="AC35" i="35" s="1"/>
  <c r="F35" i="35"/>
  <c r="AA35" i="35" s="1"/>
  <c r="H35" i="35"/>
  <c r="J25" i="36"/>
  <c r="W25" i="36" s="1"/>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S14" i="39" s="1"/>
  <c r="H14" i="39"/>
  <c r="AB14" i="39" s="1"/>
  <c r="F12" i="40"/>
  <c r="S12" i="40"/>
  <c r="H12" i="40"/>
  <c r="AB12" i="40" s="1"/>
  <c r="H30" i="40"/>
  <c r="AB30" i="40"/>
  <c r="F33" i="40"/>
  <c r="AA33" i="40" s="1"/>
  <c r="H33" i="40"/>
  <c r="U33" i="40"/>
  <c r="J35" i="40"/>
  <c r="AC35" i="40" s="1"/>
  <c r="J37" i="40"/>
  <c r="AC37" i="40"/>
  <c r="J13" i="40"/>
  <c r="W13" i="40" s="1"/>
  <c r="F14" i="37"/>
  <c r="AA14" i="37" s="1"/>
  <c r="F27" i="37"/>
  <c r="AA27" i="37"/>
  <c r="F13" i="39"/>
  <c r="J13" i="39"/>
  <c r="W13" i="39" s="1"/>
  <c r="H13" i="39"/>
  <c r="H14" i="40"/>
  <c r="J14" i="40"/>
  <c r="W14" i="40" s="1"/>
  <c r="F14" i="40"/>
  <c r="S14" i="40" s="1"/>
  <c r="AA14" i="40"/>
  <c r="J14" i="37"/>
  <c r="J27" i="37"/>
  <c r="AC27" i="37" s="1"/>
  <c r="J36" i="37"/>
  <c r="AC36" i="37"/>
  <c r="J10" i="36"/>
  <c r="AC10" i="36" s="1"/>
  <c r="S11" i="36"/>
  <c r="F17" i="21"/>
  <c r="AA17" i="21" s="1"/>
  <c r="H17" i="21"/>
  <c r="AB17" i="21" s="1"/>
  <c r="F15" i="21"/>
  <c r="S15" i="21" s="1"/>
  <c r="J41" i="39"/>
  <c r="W41" i="39" s="1"/>
  <c r="U36" i="39"/>
  <c r="S35" i="39"/>
  <c r="G544" i="3"/>
  <c r="G536" i="3"/>
  <c r="G535" i="3"/>
  <c r="G532" i="3"/>
  <c r="G528" i="3"/>
  <c r="G527" i="3"/>
  <c r="G514" i="3"/>
  <c r="G508" i="3"/>
  <c r="G500" i="3"/>
  <c r="G496" i="3"/>
  <c r="G584" i="3"/>
  <c r="G580" i="3"/>
  <c r="G576" i="3"/>
  <c r="G572" i="3"/>
  <c r="G568" i="3"/>
  <c r="G564" i="3"/>
  <c r="G560" i="3"/>
  <c r="G554" i="3"/>
  <c r="G550" i="3"/>
  <c r="BL584" i="3"/>
  <c r="BL580" i="3"/>
  <c r="BL576" i="3"/>
  <c r="BL572" i="3"/>
  <c r="BL568" i="3"/>
  <c r="BL564" i="3"/>
  <c r="BL560" i="3"/>
  <c r="BL522" i="3"/>
  <c r="BL582" i="3"/>
  <c r="BL578" i="3"/>
  <c r="BL574" i="3"/>
  <c r="BL570" i="3"/>
  <c r="BL566" i="3"/>
  <c r="BL562" i="3"/>
  <c r="BL556" i="3"/>
  <c r="AZ556" i="3" s="1"/>
  <c r="BL536" i="3"/>
  <c r="G529" i="3"/>
  <c r="BL514" i="3"/>
  <c r="G493" i="3"/>
  <c r="BA584" i="3"/>
  <c r="AZ584" i="3" s="1"/>
  <c r="BA582" i="3"/>
  <c r="AZ582" i="3" s="1"/>
  <c r="BA580" i="3"/>
  <c r="AZ580" i="3" s="1"/>
  <c r="BA578" i="3"/>
  <c r="BA576" i="3"/>
  <c r="BA574" i="3"/>
  <c r="AZ574" i="3" s="1"/>
  <c r="BA572" i="3"/>
  <c r="BA570" i="3"/>
  <c r="BA568" i="3"/>
  <c r="AZ568" i="3" s="1"/>
  <c r="BA566" i="3"/>
  <c r="AZ566" i="3" s="1"/>
  <c r="BA564" i="3"/>
  <c r="AZ564" i="3" s="1"/>
  <c r="BA562" i="3"/>
  <c r="BA560" i="3"/>
  <c r="AZ560" i="3" s="1"/>
  <c r="BA558" i="3"/>
  <c r="BA556" i="3"/>
  <c r="BA554" i="3"/>
  <c r="BA542" i="3"/>
  <c r="BA520" i="3"/>
  <c r="BA508" i="3"/>
  <c r="BA496" i="3"/>
  <c r="BA583" i="3"/>
  <c r="BA581" i="3"/>
  <c r="BA579" i="3"/>
  <c r="BA577" i="3"/>
  <c r="BA575" i="3"/>
  <c r="BA573" i="3"/>
  <c r="BA571" i="3"/>
  <c r="BA569" i="3"/>
  <c r="BA567" i="3"/>
  <c r="BA565" i="3"/>
  <c r="BA563" i="3"/>
  <c r="BA561" i="3"/>
  <c r="BA559" i="3"/>
  <c r="AZ559" i="3" s="1"/>
  <c r="BA547" i="3"/>
  <c r="BA531" i="3"/>
  <c r="BA513" i="3"/>
  <c r="BA495"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BQ567" i="3"/>
  <c r="BL567" i="3" s="1"/>
  <c r="BQ565" i="3"/>
  <c r="BL565" i="3" s="1"/>
  <c r="BQ563" i="3"/>
  <c r="BL563" i="3"/>
  <c r="AZ563" i="3" s="1"/>
  <c r="BQ561" i="3"/>
  <c r="BL561" i="3" s="1"/>
  <c r="AZ561" i="3" s="1"/>
  <c r="BQ559" i="3"/>
  <c r="BL559" i="3" s="1"/>
  <c r="G559" i="3"/>
  <c r="G555" i="3"/>
  <c r="G553" i="3"/>
  <c r="G549" i="3"/>
  <c r="G545" i="3"/>
  <c r="G543" i="3"/>
  <c r="G541" i="3"/>
  <c r="G537" i="3"/>
  <c r="BQ555" i="3"/>
  <c r="BL555" i="3" s="1"/>
  <c r="BQ553" i="3"/>
  <c r="BQ551" i="3"/>
  <c r="BQ549" i="3"/>
  <c r="BQ547" i="3"/>
  <c r="BQ545" i="3"/>
  <c r="BQ543" i="3"/>
  <c r="BL543" i="3" s="1"/>
  <c r="BQ541" i="3"/>
  <c r="BQ539" i="3"/>
  <c r="BQ537" i="3"/>
  <c r="BQ535" i="3"/>
  <c r="BQ533" i="3"/>
  <c r="BQ531" i="3"/>
  <c r="BQ529" i="3"/>
  <c r="BQ527" i="3"/>
  <c r="BQ525" i="3"/>
  <c r="BL525" i="3" s="1"/>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s="1"/>
  <c r="BQ495" i="3"/>
  <c r="BQ493" i="3"/>
  <c r="O27" i="31"/>
  <c r="O28" i="31"/>
  <c r="O26" i="31"/>
  <c r="I26" i="31"/>
  <c r="I25" i="31"/>
  <c r="Q26" i="31"/>
  <c r="K26" i="31"/>
  <c r="I27" i="31"/>
  <c r="Q27" i="31"/>
  <c r="K27" i="31"/>
  <c r="I28" i="31"/>
  <c r="Q28" i="31"/>
  <c r="K28" i="31"/>
  <c r="H25" i="21"/>
  <c r="U25" i="21" s="1"/>
  <c r="F25" i="21"/>
  <c r="J25" i="21"/>
  <c r="AC25" i="21" s="1"/>
  <c r="H43" i="33"/>
  <c r="H17" i="37"/>
  <c r="U17" i="37" s="1"/>
  <c r="AB27" i="37"/>
  <c r="AA36" i="39"/>
  <c r="F39" i="33"/>
  <c r="S39" i="33" s="1"/>
  <c r="F14" i="36"/>
  <c r="AA14" i="36" s="1"/>
  <c r="F22" i="36"/>
  <c r="S22" i="36" s="1"/>
  <c r="F26" i="36"/>
  <c r="S26" i="36"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c r="J36" i="40"/>
  <c r="W36" i="40" s="1"/>
  <c r="H19" i="37"/>
  <c r="AB19" i="37" s="1"/>
  <c r="J43" i="33"/>
  <c r="AC43" i="33" s="1"/>
  <c r="W23" i="35"/>
  <c r="U26" i="37"/>
  <c r="AA13" i="33"/>
  <c r="U11" i="33"/>
  <c r="U19" i="21"/>
  <c r="AB38" i="21"/>
  <c r="F43" i="33"/>
  <c r="AA43" i="33" s="1"/>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12" i="3"/>
  <c r="G506" i="3"/>
  <c r="G498" i="3"/>
  <c r="G16" i="3"/>
  <c r="BA304" i="3"/>
  <c r="BA305" i="3"/>
  <c r="AZ305" i="3" s="1"/>
  <c r="BL305" i="3"/>
  <c r="G306" i="3"/>
  <c r="G309" i="3"/>
  <c r="BL310" i="3"/>
  <c r="BA312" i="3"/>
  <c r="BA313" i="3"/>
  <c r="AZ313" i="3" s="1"/>
  <c r="BL313" i="3"/>
  <c r="G314" i="3"/>
  <c r="G317" i="3"/>
  <c r="BL318" i="3"/>
  <c r="BA320" i="3"/>
  <c r="BA321" i="3"/>
  <c r="BL321" i="3"/>
  <c r="G322" i="3"/>
  <c r="G325" i="3"/>
  <c r="BL326" i="3"/>
  <c r="AZ326" i="3" s="1"/>
  <c r="BA328" i="3"/>
  <c r="BA329" i="3"/>
  <c r="AZ329" i="3" s="1"/>
  <c r="BL329" i="3"/>
  <c r="G330" i="3"/>
  <c r="G333" i="3"/>
  <c r="BL334" i="3"/>
  <c r="BA336" i="3"/>
  <c r="AZ336" i="3" s="1"/>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G359" i="3"/>
  <c r="BA361" i="3"/>
  <c r="AZ361" i="3" s="1"/>
  <c r="BL362" i="3"/>
  <c r="G363" i="3"/>
  <c r="BA365" i="3"/>
  <c r="BL366" i="3"/>
  <c r="G367" i="3"/>
  <c r="BA369" i="3"/>
  <c r="AZ369" i="3" s="1"/>
  <c r="BL370" i="3"/>
  <c r="G371" i="3"/>
  <c r="BA373" i="3"/>
  <c r="AZ373" i="3" s="1"/>
  <c r="BL374" i="3"/>
  <c r="AZ374" i="3" s="1"/>
  <c r="G375" i="3"/>
  <c r="BA377" i="3"/>
  <c r="AZ377" i="3" s="1"/>
  <c r="BA379" i="3"/>
  <c r="BL380" i="3"/>
  <c r="G381" i="3"/>
  <c r="BA383" i="3"/>
  <c r="BL384" i="3"/>
  <c r="G385" i="3"/>
  <c r="BA387" i="3"/>
  <c r="BL388" i="3"/>
  <c r="G389" i="3"/>
  <c r="BA391" i="3"/>
  <c r="BL392" i="3"/>
  <c r="G393" i="3"/>
  <c r="BF5" i="3"/>
  <c r="AC5" i="3"/>
  <c r="G538" i="3"/>
  <c r="G520" i="3"/>
  <c r="G17" i="3"/>
  <c r="BA17" i="3"/>
  <c r="AZ368" i="3"/>
  <c r="G509" i="3"/>
  <c r="U36" i="40"/>
  <c r="F83" i="43"/>
  <c r="H85" i="43" s="1"/>
  <c r="F50" i="43"/>
  <c r="H54" i="43" s="1"/>
  <c r="F72" i="43"/>
  <c r="H75" i="43" s="1"/>
  <c r="U17" i="39"/>
  <c r="S14" i="35"/>
  <c r="U43" i="21"/>
  <c r="U35" i="21"/>
  <c r="AC35" i="21"/>
  <c r="W37" i="37"/>
  <c r="W44" i="34"/>
  <c r="AC44" i="34"/>
  <c r="S15" i="37"/>
  <c r="U12" i="40"/>
  <c r="AA12" i="40"/>
  <c r="J37" i="33"/>
  <c r="AC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B33" i="36"/>
  <c r="U33" i="36"/>
  <c r="AC12" i="39"/>
  <c r="W12" i="39"/>
  <c r="AA32" i="36"/>
  <c r="S32" i="36"/>
  <c r="AC13" i="34"/>
  <c r="AA47" i="34"/>
  <c r="W28" i="37"/>
  <c r="S19" i="39"/>
  <c r="H12" i="39"/>
  <c r="AB12" i="39" s="1"/>
  <c r="F39" i="40"/>
  <c r="S39" i="40" s="1"/>
  <c r="B12" i="1"/>
  <c r="E12" i="1" s="1"/>
  <c r="B10" i="1"/>
  <c r="E10" i="1" s="1"/>
  <c r="K12" i="1"/>
  <c r="M12" i="1" s="1"/>
  <c r="S13" i="1"/>
  <c r="AR13" i="1" s="1"/>
  <c r="R13" i="1"/>
  <c r="J51" i="67"/>
  <c r="C42" i="1"/>
  <c r="C24" i="12" s="1"/>
  <c r="B41" i="1"/>
  <c r="AB37" i="40"/>
  <c r="S35" i="40"/>
  <c r="U35" i="40"/>
  <c r="AC36" i="40"/>
  <c r="W38" i="40"/>
  <c r="AA32" i="40"/>
  <c r="S17" i="40"/>
  <c r="S23" i="40"/>
  <c r="AC17" i="40"/>
  <c r="AC15" i="40"/>
  <c r="AA19" i="40"/>
  <c r="S28" i="40"/>
  <c r="U21" i="40"/>
  <c r="AB19" i="40"/>
  <c r="U37" i="39"/>
  <c r="S43" i="39"/>
  <c r="U35" i="39"/>
  <c r="F32" i="39"/>
  <c r="S32" i="39" s="1"/>
  <c r="F106" i="39"/>
  <c r="G106" i="39" s="1"/>
  <c r="H106" i="39" s="1"/>
  <c r="I106" i="39" s="1"/>
  <c r="J106" i="39" s="1"/>
  <c r="K106" i="39" s="1"/>
  <c r="L106" i="39" s="1"/>
  <c r="M106" i="39" s="1"/>
  <c r="U25" i="39"/>
  <c r="AB27" i="39"/>
  <c r="J21" i="39"/>
  <c r="W21" i="39" s="1"/>
  <c r="F21" i="39"/>
  <c r="AA21" i="39" s="1"/>
  <c r="G94" i="39"/>
  <c r="H21" i="39"/>
  <c r="AB21" i="39" s="1"/>
  <c r="W19" i="39"/>
  <c r="U19" i="39"/>
  <c r="S17" i="39"/>
  <c r="AA12" i="39"/>
  <c r="S9" i="39"/>
  <c r="U14" i="39"/>
  <c r="S23" i="36"/>
  <c r="U13" i="36"/>
  <c r="U26" i="36"/>
  <c r="AA26" i="36"/>
  <c r="AC26" i="36"/>
  <c r="W14" i="36"/>
  <c r="AB14" i="36"/>
  <c r="U22" i="36"/>
  <c r="S16" i="36"/>
  <c r="AA25" i="36"/>
  <c r="S24" i="36"/>
  <c r="U24" i="36"/>
  <c r="AB20" i="36"/>
  <c r="U16" i="36"/>
  <c r="S23" i="35"/>
  <c r="U29" i="35"/>
  <c r="U28" i="35"/>
  <c r="AB27" i="35"/>
  <c r="U32" i="35"/>
  <c r="AC30" i="35"/>
  <c r="S32" i="35"/>
  <c r="AA36" i="35"/>
  <c r="S28" i="35"/>
  <c r="AB16" i="35"/>
  <c r="U22" i="35"/>
  <c r="AC20" i="35"/>
  <c r="S22" i="35"/>
  <c r="U14" i="35"/>
  <c r="AA11" i="35"/>
  <c r="AC9" i="35"/>
  <c r="W9" i="35"/>
  <c r="F9" i="35"/>
  <c r="S9" i="35" s="1"/>
  <c r="H9" i="35"/>
  <c r="U9" i="35" s="1"/>
  <c r="AB40" i="37"/>
  <c r="S25" i="37"/>
  <c r="AC29" i="37"/>
  <c r="U29" i="37"/>
  <c r="W30"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25" i="34"/>
  <c r="S17" i="34"/>
  <c r="AA29"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F36" i="33"/>
  <c r="AA36"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F87" i="33"/>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F34" i="67"/>
  <c r="F62" i="67" s="1"/>
  <c r="M20" i="67"/>
  <c r="F34" i="15"/>
  <c r="F62" i="15" s="1"/>
  <c r="BL17"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W23" i="40"/>
  <c r="U32" i="40"/>
  <c r="AB31" i="40"/>
  <c r="S37" i="40"/>
  <c r="W28" i="40"/>
  <c r="W34" i="40"/>
  <c r="W19" i="40"/>
  <c r="W27" i="40"/>
  <c r="S36" i="40"/>
  <c r="W37" i="40"/>
  <c r="S33" i="40"/>
  <c r="AA15" i="40"/>
  <c r="S31" i="40"/>
  <c r="U15" i="40"/>
  <c r="AB17" i="40"/>
  <c r="U8" i="40"/>
  <c r="S8" i="40"/>
  <c r="AC41" i="39"/>
  <c r="U42" i="39"/>
  <c r="U41" i="39"/>
  <c r="W25" i="39"/>
  <c r="AC25" i="39"/>
  <c r="U13" i="39"/>
  <c r="AB13" i="39"/>
  <c r="AA13" i="39"/>
  <c r="S13" i="39"/>
  <c r="AA14" i="39"/>
  <c r="U43" i="39"/>
  <c r="AB43" i="39"/>
  <c r="AB11" i="39"/>
  <c r="U11" i="39"/>
  <c r="AA27" i="39"/>
  <c r="S27" i="39"/>
  <c r="W17" i="39"/>
  <c r="AC17" i="39"/>
  <c r="AA45" i="39"/>
  <c r="AB39" i="39"/>
  <c r="W34" i="39"/>
  <c r="U38" i="39"/>
  <c r="S8" i="39"/>
  <c r="S20" i="36"/>
  <c r="U32" i="36"/>
  <c r="W29" i="36"/>
  <c r="U25" i="36"/>
  <c r="AB28" i="36"/>
  <c r="AA13" i="36"/>
  <c r="W9" i="36"/>
  <c r="W22" i="36"/>
  <c r="AB20" i="35"/>
  <c r="AC25" i="35"/>
  <c r="S35" i="35"/>
  <c r="W35" i="35"/>
  <c r="AA16" i="35"/>
  <c r="AA35" i="37"/>
  <c r="W36" i="37"/>
  <c r="S27" i="37"/>
  <c r="S28" i="37"/>
  <c r="W32" i="37"/>
  <c r="U36" i="37"/>
  <c r="U38" i="37"/>
  <c r="AB37" i="37"/>
  <c r="AC34" i="37"/>
  <c r="AA31" i="37"/>
  <c r="U19" i="37"/>
  <c r="AA29" i="37"/>
  <c r="U8" i="37"/>
  <c r="AB40" i="34"/>
  <c r="U19" i="34"/>
  <c r="W19"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W13" i="33"/>
  <c r="AC13" i="33"/>
  <c r="S11"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AA39" i="40"/>
  <c r="J32" i="39"/>
  <c r="H32" i="39"/>
  <c r="AB32" i="39" s="1"/>
  <c r="AA32" i="39"/>
  <c r="S21" i="39"/>
  <c r="AC17" i="37"/>
  <c r="J19" i="37"/>
  <c r="W19" i="37" s="1"/>
  <c r="AA23" i="37"/>
  <c r="J23" i="37"/>
  <c r="W23" i="37" s="1"/>
  <c r="G79" i="37"/>
  <c r="J10" i="37"/>
  <c r="W10" i="37" s="1"/>
  <c r="H11" i="37"/>
  <c r="AB11" i="37" s="1"/>
  <c r="H11" i="34"/>
  <c r="U11" i="34" s="1"/>
  <c r="J10" i="34"/>
  <c r="AC10" i="34" s="1"/>
  <c r="W35" i="33"/>
  <c r="AC35" i="33"/>
  <c r="J36" i="33"/>
  <c r="W36" i="33" s="1"/>
  <c r="H36" i="33"/>
  <c r="U36" i="33" s="1"/>
  <c r="J27" i="33"/>
  <c r="W27" i="33" s="1"/>
  <c r="G87" i="33"/>
  <c r="H87" i="33" s="1"/>
  <c r="I87" i="33" s="1"/>
  <c r="J87" i="33" s="1"/>
  <c r="K87" i="33" s="1"/>
  <c r="L87" i="33" s="1"/>
  <c r="M87" i="33" s="1"/>
  <c r="J25" i="33"/>
  <c r="AC25" i="33" s="1"/>
  <c r="F23" i="33"/>
  <c r="H19" i="33"/>
  <c r="U19" i="33" s="1"/>
  <c r="H17" i="33"/>
  <c r="U17" i="33" s="1"/>
  <c r="F17" i="33"/>
  <c r="S17" i="33" s="1"/>
  <c r="AA23" i="21"/>
  <c r="AB15" i="21"/>
  <c r="J23" i="21"/>
  <c r="AC23" i="21" s="1"/>
  <c r="H23" i="21"/>
  <c r="AB23" i="21" s="1"/>
  <c r="AP7" i="1"/>
  <c r="AB45" i="21"/>
  <c r="AA32" i="21"/>
  <c r="S32" i="21"/>
  <c r="AB32" i="21"/>
  <c r="U32" i="21"/>
  <c r="AC32" i="39"/>
  <c r="W32" i="39"/>
  <c r="J11" i="37"/>
  <c r="AC11" i="37" s="1"/>
  <c r="J11" i="34"/>
  <c r="W11" i="34" s="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4" i="73"/>
  <c r="B13" i="76"/>
  <c r="E2" i="68"/>
  <c r="F6" i="73"/>
  <c r="B12" i="76"/>
  <c r="E9" i="76"/>
  <c r="F7" i="73"/>
  <c r="B9" i="76"/>
  <c r="E8" i="76"/>
  <c r="F20" i="31"/>
  <c r="F5" i="73"/>
  <c r="E10" i="76"/>
  <c r="E7" i="76"/>
  <c r="B11" i="76"/>
  <c r="E13" i="76"/>
  <c r="AO13" i="1"/>
  <c r="E2" i="69"/>
  <c r="E11" i="76"/>
  <c r="B10" i="76"/>
  <c r="E12" i="76"/>
  <c r="B8" i="76"/>
  <c r="D6" i="73"/>
  <c r="B7" i="76"/>
  <c r="S45" i="33" l="1"/>
  <c r="AA32" i="37"/>
  <c r="AZ17" i="3"/>
  <c r="AZ342" i="3"/>
  <c r="S25" i="21"/>
  <c r="AA25" i="21"/>
  <c r="U14" i="40"/>
  <c r="AB14" i="40"/>
  <c r="AB39" i="37"/>
  <c r="U39" i="37"/>
  <c r="F30" i="21"/>
  <c r="J30" i="21"/>
  <c r="H30" i="21"/>
  <c r="E115" i="33"/>
  <c r="F115" i="33" s="1"/>
  <c r="G115" i="33" s="1"/>
  <c r="H115" i="33" s="1"/>
  <c r="I115" i="33" s="1"/>
  <c r="J115" i="33" s="1"/>
  <c r="K115" i="33" s="1"/>
  <c r="L115" i="33" s="1"/>
  <c r="M115" i="33" s="1"/>
  <c r="F38" i="33"/>
  <c r="H38" i="33"/>
  <c r="AB38" i="33" s="1"/>
  <c r="F25" i="35"/>
  <c r="H25" i="35"/>
  <c r="AB13" i="37"/>
  <c r="U13" i="37"/>
  <c r="AC31" i="34"/>
  <c r="W31" i="34"/>
  <c r="S21" i="40"/>
  <c r="AA21" i="40"/>
  <c r="H27" i="21"/>
  <c r="F27" i="21"/>
  <c r="J27" i="21"/>
  <c r="AA35" i="34"/>
  <c r="S35" i="34"/>
  <c r="U23" i="21"/>
  <c r="U32" i="39"/>
  <c r="S37" i="21"/>
  <c r="AB41" i="33"/>
  <c r="S15" i="39"/>
  <c r="AZ322" i="3"/>
  <c r="AZ311" i="3"/>
  <c r="W8" i="39"/>
  <c r="U40" i="39"/>
  <c r="AB46" i="34"/>
  <c r="S44" i="39"/>
  <c r="B101" i="43"/>
  <c r="C25" i="39"/>
  <c r="J38" i="33"/>
  <c r="AC38" i="33" s="1"/>
  <c r="J27" i="34"/>
  <c r="H27" i="34"/>
  <c r="J12" i="36"/>
  <c r="H12" i="36"/>
  <c r="F34" i="36"/>
  <c r="H34" i="36"/>
  <c r="J34" i="36"/>
  <c r="W34" i="36" s="1"/>
  <c r="S36" i="37"/>
  <c r="S14" i="36"/>
  <c r="F48" i="9"/>
  <c r="O52" i="9" s="1"/>
  <c r="F28" i="85"/>
  <c r="C28" i="85" s="1"/>
  <c r="F32" i="85"/>
  <c r="F60" i="85" s="1"/>
  <c r="M18" i="85"/>
  <c r="AZ387" i="3"/>
  <c r="AZ389" i="3"/>
  <c r="AB34" i="39"/>
  <c r="BA586" i="3"/>
  <c r="BP5" i="3"/>
  <c r="BA585" i="3"/>
  <c r="F45" i="21"/>
  <c r="J45" i="21"/>
  <c r="AA42" i="21"/>
  <c r="S42" i="21"/>
  <c r="H36" i="35"/>
  <c r="J36" i="35"/>
  <c r="AC36" i="35" s="1"/>
  <c r="AZ558" i="3"/>
  <c r="AZ570" i="3"/>
  <c r="H12" i="35"/>
  <c r="AZ391" i="3"/>
  <c r="AZ362" i="3"/>
  <c r="AZ310" i="3"/>
  <c r="AZ356" i="3"/>
  <c r="AZ320" i="3"/>
  <c r="AZ304" i="3"/>
  <c r="AZ360" i="3"/>
  <c r="AZ577" i="3"/>
  <c r="AZ557" i="3"/>
  <c r="S14" i="37"/>
  <c r="G587" i="3"/>
  <c r="B75" i="43"/>
  <c r="F15" i="33"/>
  <c r="J12" i="35"/>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G517" i="3"/>
  <c r="BL516" i="3"/>
  <c r="G516" i="3"/>
  <c r="BL513" i="3"/>
  <c r="BA512" i="3"/>
  <c r="BA511" i="3"/>
  <c r="G511" i="3"/>
  <c r="G510" i="3"/>
  <c r="BL509" i="3"/>
  <c r="BA506" i="3"/>
  <c r="BL505" i="3"/>
  <c r="BA504" i="3"/>
  <c r="G504" i="3"/>
  <c r="BA503" i="3"/>
  <c r="G503" i="3"/>
  <c r="BL502" i="3"/>
  <c r="AZ502" i="3" s="1"/>
  <c r="BA502" i="3"/>
  <c r="G502" i="3"/>
  <c r="BL501" i="3"/>
  <c r="BA501" i="3"/>
  <c r="BL500" i="3"/>
  <c r="BT5" i="3"/>
  <c r="BL498" i="3"/>
  <c r="BJ5" i="3"/>
  <c r="BS5" i="3"/>
  <c r="G497" i="3"/>
  <c r="BR5" i="3"/>
  <c r="G495" i="3"/>
  <c r="BH5" i="3"/>
  <c r="BA494" i="3"/>
  <c r="BL493" i="3"/>
  <c r="BA493" i="3"/>
  <c r="M20" i="15"/>
  <c r="F34" i="85"/>
  <c r="F62" i="85" s="1"/>
  <c r="M20" i="85"/>
  <c r="G570" i="3"/>
  <c r="BO5" i="3"/>
  <c r="F11" i="1"/>
  <c r="G11" i="1" s="1"/>
  <c r="AF6" i="1"/>
  <c r="Z6" i="1" s="1"/>
  <c r="BL13" i="3"/>
  <c r="BL398" i="3"/>
  <c r="BL402" i="3"/>
  <c r="BL403" i="3"/>
  <c r="G405" i="3"/>
  <c r="G412" i="3"/>
  <c r="BL416" i="3"/>
  <c r="BA420" i="3"/>
  <c r="BL423" i="3"/>
  <c r="G426" i="3"/>
  <c r="BL430" i="3"/>
  <c r="G431" i="3"/>
  <c r="BL443" i="3"/>
  <c r="G448" i="3"/>
  <c r="G449" i="3"/>
  <c r="BL449" i="3"/>
  <c r="BL450" i="3"/>
  <c r="BA452" i="3"/>
  <c r="BL452" i="3"/>
  <c r="G454" i="3"/>
  <c r="G459" i="3"/>
  <c r="G464" i="3"/>
  <c r="BL465" i="3"/>
  <c r="BL469" i="3"/>
  <c r="BL473" i="3"/>
  <c r="AZ473" i="3" s="1"/>
  <c r="BL474" i="3"/>
  <c r="G475" i="3"/>
  <c r="BL487" i="3"/>
  <c r="G488" i="3"/>
  <c r="BA358" i="3"/>
  <c r="AZ358" i="3" s="1"/>
  <c r="BA396" i="3"/>
  <c r="BL208" i="3"/>
  <c r="BL224" i="3"/>
  <c r="BA228" i="3"/>
  <c r="BA233" i="3"/>
  <c r="AZ233" i="3" s="1"/>
  <c r="BL237" i="3"/>
  <c r="BL238" i="3"/>
  <c r="BL242" i="3"/>
  <c r="BA245" i="3"/>
  <c r="BA248" i="3"/>
  <c r="AZ248" i="3" s="1"/>
  <c r="BL252" i="3"/>
  <c r="BL261" i="3"/>
  <c r="BA265" i="3"/>
  <c r="BA267" i="3"/>
  <c r="AZ267" i="3" s="1"/>
  <c r="BA271" i="3"/>
  <c r="BL271" i="3"/>
  <c r="BA275" i="3"/>
  <c r="BL278" i="3"/>
  <c r="BA279" i="3"/>
  <c r="BA283" i="3"/>
  <c r="BL286" i="3"/>
  <c r="BA116" i="3"/>
  <c r="AZ116" i="3" s="1"/>
  <c r="BA121" i="3"/>
  <c r="BL121" i="3"/>
  <c r="BA125" i="3"/>
  <c r="BA129" i="3"/>
  <c r="BA133" i="3"/>
  <c r="AZ133" i="3" s="1"/>
  <c r="G155" i="3"/>
  <c r="C60" i="71"/>
  <c r="D59" i="71"/>
  <c r="BL399" i="3"/>
  <c r="G401" i="3"/>
  <c r="BA408" i="3"/>
  <c r="BA409" i="3"/>
  <c r="AZ409" i="3" s="1"/>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AZ353" i="3" s="1"/>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AZ274" i="3" s="1"/>
  <c r="BL274" i="3"/>
  <c r="G281" i="3"/>
  <c r="G286" i="3"/>
  <c r="G144" i="3"/>
  <c r="BL157" i="3"/>
  <c r="BL159" i="3"/>
  <c r="AZ159" i="3" s="1"/>
  <c r="G160" i="3"/>
  <c r="BA162" i="3"/>
  <c r="BA168" i="3"/>
  <c r="AZ168" i="3" s="1"/>
  <c r="G179" i="3"/>
  <c r="AZ462" i="3"/>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AZ235" i="3" s="1"/>
  <c r="G244" i="3"/>
  <c r="BA250" i="3"/>
  <c r="AZ250" i="3" s="1"/>
  <c r="BL254" i="3"/>
  <c r="G256" i="3"/>
  <c r="BA257" i="3"/>
  <c r="BA259" i="3"/>
  <c r="AZ259" i="3" s="1"/>
  <c r="G261" i="3"/>
  <c r="BA269" i="3"/>
  <c r="AZ269" i="3" s="1"/>
  <c r="G271" i="3"/>
  <c r="BA276" i="3"/>
  <c r="G279" i="3"/>
  <c r="G283" i="3"/>
  <c r="BA286" i="3"/>
  <c r="G289" i="3"/>
  <c r="G294" i="3"/>
  <c r="BA126" i="3"/>
  <c r="F3" i="35"/>
  <c r="G1" i="85"/>
  <c r="C5" i="68"/>
  <c r="BL186" i="3"/>
  <c r="G205" i="3"/>
  <c r="BA22" i="3"/>
  <c r="BA30" i="3"/>
  <c r="BL30" i="3"/>
  <c r="BL31" i="3"/>
  <c r="BA40" i="3"/>
  <c r="BL40" i="3"/>
  <c r="BL41" i="3"/>
  <c r="BA48" i="3"/>
  <c r="BA49" i="3"/>
  <c r="G52" i="3"/>
  <c r="BA52" i="3"/>
  <c r="BL62" i="3"/>
  <c r="BL63" i="3"/>
  <c r="G72" i="3"/>
  <c r="BL86" i="3"/>
  <c r="G88" i="3"/>
  <c r="BA88" i="3"/>
  <c r="BA97" i="3"/>
  <c r="AZ97" i="3" s="1"/>
  <c r="BL97" i="3"/>
  <c r="BA110" i="3"/>
  <c r="AZ110" i="3" s="1"/>
  <c r="B68" i="43"/>
  <c r="E67" i="71"/>
  <c r="B40" i="71"/>
  <c r="S40" i="71" s="1"/>
  <c r="C31" i="71"/>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21" i="37"/>
  <c r="U25" i="40"/>
  <c r="S18" i="36"/>
  <c r="B57" i="43"/>
  <c r="N66" i="71"/>
  <c r="E79" i="71"/>
  <c r="E78" i="71" s="1"/>
  <c r="D58" i="71"/>
  <c r="U68" i="71"/>
  <c r="X38" i="71"/>
  <c r="B63" i="71"/>
  <c r="B64" i="71" s="1"/>
  <c r="S64" i="71" s="1"/>
  <c r="BA145" i="3"/>
  <c r="G150" i="3"/>
  <c r="G154" i="3"/>
  <c r="BA156" i="3"/>
  <c r="AZ156" i="3" s="1"/>
  <c r="G170" i="3"/>
  <c r="BL173" i="3"/>
  <c r="AZ173" i="3" s="1"/>
  <c r="BL179" i="3"/>
  <c r="AZ179" i="3" s="1"/>
  <c r="G180" i="3"/>
  <c r="BA181" i="3"/>
  <c r="AZ181" i="3" s="1"/>
  <c r="BL183" i="3"/>
  <c r="AZ183" i="3" s="1"/>
  <c r="BA186" i="3"/>
  <c r="AZ186" i="3" s="1"/>
  <c r="BA194" i="3"/>
  <c r="AZ194" i="3" s="1"/>
  <c r="BL194" i="3"/>
  <c r="BA198" i="3"/>
  <c r="G206" i="3"/>
  <c r="BL206" i="3"/>
  <c r="G21" i="3"/>
  <c r="BL24" i="3"/>
  <c r="G25" i="3"/>
  <c r="G29" i="3"/>
  <c r="BL34" i="3"/>
  <c r="G35" i="3"/>
  <c r="G39" i="3"/>
  <c r="BL44" i="3"/>
  <c r="G45" i="3"/>
  <c r="BL45" i="3"/>
  <c r="G49" i="3"/>
  <c r="BA50" i="3"/>
  <c r="BA55" i="3"/>
  <c r="G57" i="3"/>
  <c r="G61" i="3"/>
  <c r="BA62" i="3"/>
  <c r="AZ62" i="3" s="1"/>
  <c r="BA65" i="3"/>
  <c r="BL65" i="3"/>
  <c r="BL66" i="3"/>
  <c r="BA95" i="3"/>
  <c r="G96" i="3"/>
  <c r="BL103" i="3"/>
  <c r="G104" i="3"/>
  <c r="S25" i="40"/>
  <c r="B77" i="43"/>
  <c r="E75" i="71"/>
  <c r="E74" i="71" s="1"/>
  <c r="E55" i="71"/>
  <c r="E56" i="71" s="1"/>
  <c r="U56" i="71" s="1"/>
  <c r="BA14" i="3"/>
  <c r="M7" i="1"/>
  <c r="O7" i="1" s="1"/>
  <c r="P7" i="1" s="1"/>
  <c r="G7" i="1"/>
  <c r="BG5" i="3"/>
  <c r="BA15" i="3"/>
  <c r="BI5" i="3"/>
  <c r="BE5" i="3"/>
  <c r="BL14" i="3"/>
  <c r="B25" i="31"/>
  <c r="G1" i="69"/>
  <c r="BA13" i="3"/>
  <c r="AZ13" i="3" s="1"/>
  <c r="BC5" i="3"/>
  <c r="BN5" i="3"/>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AA25" i="33"/>
  <c r="W25" i="33"/>
  <c r="U9" i="33"/>
  <c r="W9" i="33"/>
  <c r="W8" i="33"/>
  <c r="E19" i="6"/>
  <c r="F6" i="1"/>
  <c r="G6" i="1" s="1"/>
  <c r="D51" i="43"/>
  <c r="D55" i="43"/>
  <c r="D54" i="43"/>
  <c r="D53" i="43"/>
  <c r="E50" i="43" s="1"/>
  <c r="B48" i="43" s="1"/>
  <c r="F30" i="69"/>
  <c r="F48" i="69" s="1"/>
  <c r="F31" i="12"/>
  <c r="F32" i="67"/>
  <c r="F60" i="67" s="1"/>
  <c r="F54" i="9"/>
  <c r="F28" i="15"/>
  <c r="F28" i="67"/>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26" i="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K120" i="9" s="1"/>
  <c r="A18" i="62" s="1"/>
  <c r="B64" i="72" s="1"/>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E29" i="6" s="1"/>
  <c r="K15" i="1"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03" i="3"/>
  <c r="AZ372" i="3"/>
  <c r="AZ347" i="3"/>
  <c r="AZ337" i="3"/>
  <c r="AZ376" i="3"/>
  <c r="AZ309" i="3"/>
  <c r="AC12" i="37"/>
  <c r="BL503" i="3"/>
  <c r="AZ503" i="3" s="1"/>
  <c r="BL515" i="3"/>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BL425" i="3"/>
  <c r="BL426" i="3"/>
  <c r="AZ426" i="3" s="1"/>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BA457" i="3"/>
  <c r="AZ457" i="3" s="1"/>
  <c r="BA459" i="3"/>
  <c r="AZ459" i="3" s="1"/>
  <c r="BA460" i="3"/>
  <c r="BA461" i="3"/>
  <c r="BL464" i="3"/>
  <c r="BL466" i="3"/>
  <c r="AZ466" i="3" s="1"/>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BL397" i="3"/>
  <c r="G585" i="3"/>
  <c r="BL587" i="3"/>
  <c r="BL586" i="3"/>
  <c r="AZ586" i="3" s="1"/>
  <c r="G574" i="3"/>
  <c r="BL16" i="3"/>
  <c r="AZ16" i="3" s="1"/>
  <c r="BA401" i="3"/>
  <c r="AZ401" i="3" s="1"/>
  <c r="BA403" i="3"/>
  <c r="AZ403" i="3" s="1"/>
  <c r="BA404" i="3"/>
  <c r="AZ404" i="3" s="1"/>
  <c r="BA405" i="3"/>
  <c r="BL410" i="3"/>
  <c r="AZ410" i="3" s="1"/>
  <c r="AZ419" i="3"/>
  <c r="AZ422" i="3"/>
  <c r="AZ448" i="3"/>
  <c r="AZ464" i="3"/>
  <c r="BA482" i="3"/>
  <c r="BA484" i="3"/>
  <c r="AZ484" i="3" s="1"/>
  <c r="G491" i="3"/>
  <c r="BA303" i="3"/>
  <c r="BA307" i="3"/>
  <c r="AZ307" i="3" s="1"/>
  <c r="G311" i="3"/>
  <c r="BL314" i="3"/>
  <c r="AZ314" i="3" s="1"/>
  <c r="G315" i="3"/>
  <c r="BA332" i="3"/>
  <c r="BL332" i="3"/>
  <c r="G339" i="3"/>
  <c r="G364" i="3"/>
  <c r="BA367" i="3"/>
  <c r="AZ367" i="3" s="1"/>
  <c r="BA370" i="3"/>
  <c r="AZ370" i="3" s="1"/>
  <c r="BA210"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AZ126" i="3" s="1"/>
  <c r="BA144" i="3"/>
  <c r="AZ144" i="3" s="1"/>
  <c r="BA153" i="3"/>
  <c r="AZ153" i="3" s="1"/>
  <c r="BL155" i="3"/>
  <c r="AZ155" i="3" s="1"/>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AZ228" i="3" s="1"/>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BL20" i="3"/>
  <c r="BA21" i="3"/>
  <c r="BA25" i="3"/>
  <c r="BA26" i="3"/>
  <c r="BL28" i="3"/>
  <c r="BA29" i="3"/>
  <c r="AZ29" i="3" s="1"/>
  <c r="BA36" i="3"/>
  <c r="BL38" i="3"/>
  <c r="BA39" i="3"/>
  <c r="AZ39" i="3" s="1"/>
  <c r="BL47" i="3"/>
  <c r="AZ47" i="3" s="1"/>
  <c r="BL54" i="3"/>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BL25" i="3"/>
  <c r="BL27" i="3"/>
  <c r="AZ27" i="3" s="1"/>
  <c r="BA28" i="3"/>
  <c r="BA31" i="3"/>
  <c r="AZ31" i="3" s="1"/>
  <c r="BA32" i="3"/>
  <c r="G38" i="3"/>
  <c r="BA38" i="3"/>
  <c r="BA41" i="3"/>
  <c r="AZ41" i="3" s="1"/>
  <c r="BA42" i="3"/>
  <c r="G46" i="3"/>
  <c r="BL48" i="3"/>
  <c r="BA51" i="3"/>
  <c r="BL56" i="3"/>
  <c r="BA58" i="3"/>
  <c r="AZ58" i="3" s="1"/>
  <c r="BL59" i="3"/>
  <c r="BL60" i="3"/>
  <c r="BA61" i="3"/>
  <c r="AZ61" i="3" s="1"/>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AZ90" i="3" s="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AB31" i="34"/>
  <c r="U31" i="34"/>
  <c r="S12" i="21"/>
  <c r="AA12" i="21"/>
  <c r="S12" i="35"/>
  <c r="AA12" i="35"/>
  <c r="AC45" i="39"/>
  <c r="S34" i="21"/>
  <c r="J34" i="35"/>
  <c r="F34" i="35"/>
  <c r="J26" i="37"/>
  <c r="F26" i="37"/>
  <c r="F40" i="40"/>
  <c r="G578" i="3"/>
  <c r="AZ431" i="3"/>
  <c r="AZ439" i="3"/>
  <c r="AZ445" i="3"/>
  <c r="AZ449" i="3"/>
  <c r="AZ452" i="3"/>
  <c r="AZ456" i="3"/>
  <c r="AZ467"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BA266" i="3"/>
  <c r="AZ266" i="3" s="1"/>
  <c r="G272" i="3"/>
  <c r="G275" i="3"/>
  <c r="BL276" i="3"/>
  <c r="AZ276" i="3" s="1"/>
  <c r="BL279" i="3"/>
  <c r="AZ279" i="3" s="1"/>
  <c r="BL281" i="3"/>
  <c r="AZ281" i="3" s="1"/>
  <c r="BA285" i="3"/>
  <c r="BA287" i="3"/>
  <c r="AZ287" i="3" s="1"/>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L48" i="15"/>
  <c r="M24" i="67"/>
  <c r="L48" i="67"/>
  <c r="F8" i="67"/>
  <c r="F9" i="15"/>
  <c r="J15" i="67"/>
  <c r="D5" i="73"/>
  <c r="C76" i="15"/>
  <c r="M29" i="15"/>
  <c r="F13" i="67"/>
  <c r="F7" i="15"/>
  <c r="F6" i="67"/>
  <c r="M22" i="67"/>
  <c r="D4" i="73"/>
  <c r="F26" i="15"/>
  <c r="M26" i="67"/>
  <c r="M9" i="67"/>
  <c r="F42" i="67"/>
  <c r="M8" i="67"/>
  <c r="M23" i="67"/>
  <c r="D7" i="73"/>
  <c r="F38" i="15"/>
  <c r="J15" i="15"/>
  <c r="M6" i="67"/>
  <c r="M9" i="15"/>
  <c r="F26" i="67"/>
  <c r="F43" i="15"/>
  <c r="M23" i="15"/>
  <c r="L47" i="15"/>
  <c r="D3" i="73"/>
  <c r="F36" i="67"/>
  <c r="F6" i="15"/>
  <c r="D9" i="69"/>
  <c r="M28" i="67"/>
  <c r="C76" i="67"/>
  <c r="M28" i="15"/>
  <c r="F16" i="15"/>
  <c r="M26" i="15"/>
  <c r="F42" i="15"/>
  <c r="F16" i="67"/>
  <c r="F9" i="67"/>
  <c r="F38" i="67"/>
  <c r="M6" i="15"/>
  <c r="F36" i="15"/>
  <c r="F8" i="15"/>
  <c r="M22" i="15"/>
  <c r="C36" i="69"/>
  <c r="F40" i="15"/>
  <c r="M24" i="15"/>
  <c r="F13" i="15"/>
  <c r="M8" i="15"/>
  <c r="F40" i="67"/>
  <c r="F37" i="67"/>
  <c r="L47" i="67"/>
  <c r="F37" i="15"/>
  <c r="AA15" i="33" l="1"/>
  <c r="S15" i="33"/>
  <c r="U12" i="35"/>
  <c r="AB12" i="35"/>
  <c r="W45" i="21"/>
  <c r="AC45" i="21"/>
  <c r="U12" i="36"/>
  <c r="AB12" i="36"/>
  <c r="W27" i="21"/>
  <c r="AC27" i="21"/>
  <c r="AC30" i="21"/>
  <c r="W30" i="21"/>
  <c r="AZ174" i="3"/>
  <c r="G30" i="6"/>
  <c r="G31" i="6" s="1"/>
  <c r="AZ111" i="3"/>
  <c r="AZ38" i="3"/>
  <c r="AZ205" i="3"/>
  <c r="AZ277" i="3"/>
  <c r="AZ256" i="3"/>
  <c r="AZ249" i="3"/>
  <c r="AZ421" i="3"/>
  <c r="AZ535" i="3"/>
  <c r="AZ530" i="3"/>
  <c r="P67" i="71"/>
  <c r="E66" i="71"/>
  <c r="D60" i="71"/>
  <c r="T60" i="71"/>
  <c r="AB36" i="35"/>
  <c r="U36" i="35"/>
  <c r="AA45" i="21"/>
  <c r="S45" i="21"/>
  <c r="AC12" i="36"/>
  <c r="W12" i="36"/>
  <c r="AA27" i="21"/>
  <c r="S27" i="21"/>
  <c r="AA38" i="33"/>
  <c r="S38" i="33"/>
  <c r="S30" i="21"/>
  <c r="AA30" i="21"/>
  <c r="G5" i="3"/>
  <c r="B3" i="3" s="1"/>
  <c r="AZ37" i="3"/>
  <c r="AZ170" i="3"/>
  <c r="AZ246" i="3"/>
  <c r="AZ268" i="3"/>
  <c r="AA13" i="35"/>
  <c r="AZ104" i="3"/>
  <c r="AZ51" i="3"/>
  <c r="AZ20" i="3"/>
  <c r="AZ177" i="3"/>
  <c r="AZ273" i="3"/>
  <c r="AZ130" i="3"/>
  <c r="AZ244" i="3"/>
  <c r="AZ239" i="3"/>
  <c r="AZ118" i="3"/>
  <c r="AZ397" i="3"/>
  <c r="AZ461" i="3"/>
  <c r="AZ454" i="3"/>
  <c r="AZ515" i="3"/>
  <c r="AZ65" i="3"/>
  <c r="AZ537" i="3"/>
  <c r="AB34" i="36"/>
  <c r="U34" i="36"/>
  <c r="AB27" i="34"/>
  <c r="U27" i="34"/>
  <c r="AB27" i="21"/>
  <c r="U27" i="21"/>
  <c r="U25" i="35"/>
  <c r="AB25" i="35"/>
  <c r="AZ113" i="3"/>
  <c r="AZ234" i="3"/>
  <c r="AZ59" i="3"/>
  <c r="D31" i="71"/>
  <c r="C32" i="71"/>
  <c r="AZ286" i="3"/>
  <c r="AZ121" i="3"/>
  <c r="AZ271" i="3"/>
  <c r="AZ493" i="3"/>
  <c r="W12" i="35"/>
  <c r="AC12" i="35"/>
  <c r="S34" i="36"/>
  <c r="AA34" i="36"/>
  <c r="AC27" i="34"/>
  <c r="W27" i="34"/>
  <c r="S25" i="35"/>
  <c r="AA25" i="35"/>
  <c r="AZ15" i="3"/>
  <c r="F11" i="85"/>
  <c r="M11" i="85"/>
  <c r="J10" i="85" s="1"/>
  <c r="F30" i="6"/>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U42" i="33"/>
  <c r="K6" i="1"/>
  <c r="M6" i="1" s="1"/>
  <c r="O6" i="1" s="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P28" i="43"/>
  <c r="B66" i="40" s="1"/>
  <c r="P25" i="43"/>
  <c r="P29" i="43"/>
  <c r="P27" i="43"/>
  <c r="B70" i="39" s="1"/>
  <c r="M11" i="67"/>
  <c r="F11" i="15"/>
  <c r="M11" i="15"/>
  <c r="J10" i="15" s="1"/>
  <c r="F11" i="67"/>
  <c r="AE11" i="1"/>
  <c r="AE9" i="1"/>
  <c r="AE8" i="1"/>
  <c r="AE12" i="1"/>
  <c r="AE10" i="1"/>
  <c r="M9" i="85"/>
  <c r="M29" i="67"/>
  <c r="F40" i="85"/>
  <c r="F38" i="85"/>
  <c r="F42" i="85"/>
  <c r="L47" i="85"/>
  <c r="M6" i="85"/>
  <c r="F7" i="85"/>
  <c r="C76" i="85"/>
  <c r="M28" i="85"/>
  <c r="F43" i="67"/>
  <c r="M23" i="85"/>
  <c r="F6" i="85"/>
  <c r="M8" i="85"/>
  <c r="F43" i="85"/>
  <c r="F36" i="85"/>
  <c r="F8" i="85"/>
  <c r="M29" i="85"/>
  <c r="C16" i="15"/>
  <c r="F13" i="85"/>
  <c r="L48" i="85"/>
  <c r="M22" i="85"/>
  <c r="F9" i="85"/>
  <c r="M24" i="85"/>
  <c r="F26" i="85"/>
  <c r="G1" i="73"/>
  <c r="F7" i="67"/>
  <c r="F16" i="85"/>
  <c r="F27" i="69"/>
  <c r="M26" i="85"/>
  <c r="J15" i="85"/>
  <c r="F37" i="85"/>
  <c r="F50" i="85" l="1"/>
  <c r="M7" i="85"/>
  <c r="J6" i="85" s="1"/>
  <c r="J5" i="85" s="1"/>
  <c r="J26" i="85" s="1"/>
  <c r="F65" i="85"/>
  <c r="F64" i="85"/>
  <c r="F71" i="85"/>
  <c r="L59" i="85"/>
  <c r="N59" i="85"/>
  <c r="M59" i="85"/>
  <c r="L58" i="85"/>
  <c r="J53" i="85"/>
  <c r="J57" i="85"/>
  <c r="J55" i="85" s="1"/>
  <c r="J58" i="85" s="1"/>
  <c r="Q50" i="85" s="1"/>
  <c r="L57" i="85"/>
  <c r="L60" i="85"/>
  <c r="I54" i="85"/>
  <c r="L56" i="85"/>
  <c r="C6" i="85"/>
  <c r="C10" i="85" s="1"/>
  <c r="C5" i="85" s="1"/>
  <c r="F66" i="85"/>
  <c r="F68" i="85"/>
  <c r="C27" i="85"/>
  <c r="F51" i="85"/>
  <c r="Q71" i="85"/>
  <c r="T32" i="71"/>
  <c r="D32" i="71"/>
  <c r="S42" i="33"/>
  <c r="P66" i="71"/>
  <c r="P65" i="71"/>
  <c r="B22" i="31"/>
  <c r="E62" i="39"/>
  <c r="C53" i="85"/>
  <c r="AA7" i="36"/>
  <c r="R36" i="36" s="1"/>
  <c r="G16" i="1"/>
  <c r="F10" i="39" s="1"/>
  <c r="S10" i="39" s="1"/>
  <c r="K16" i="1"/>
  <c r="W42" i="33"/>
  <c r="E60" i="40"/>
  <c r="E56" i="40"/>
  <c r="E61" i="39"/>
  <c r="H16" i="1"/>
  <c r="Q16" i="1"/>
  <c r="F28" i="12" s="1"/>
  <c r="C29" i="12" s="1"/>
  <c r="D28" i="12" s="1"/>
  <c r="F71" i="67"/>
  <c r="C6" i="67"/>
  <c r="C32" i="67" s="1"/>
  <c r="F50" i="67"/>
  <c r="C49" i="67" s="1"/>
  <c r="M7" i="67"/>
  <c r="J6" i="67" s="1"/>
  <c r="J18" i="67" s="1"/>
  <c r="H6" i="3"/>
  <c r="AP6" i="1"/>
  <c r="AC6" i="3"/>
  <c r="F1" i="67"/>
  <c r="C47" i="69"/>
  <c r="D45" i="69" s="1"/>
  <c r="Q73" i="67"/>
  <c r="Q74" i="67"/>
  <c r="P6" i="1"/>
  <c r="C13" i="12" s="1"/>
  <c r="F45" i="69"/>
  <c r="D26" i="43"/>
  <c r="C25" i="43" s="1"/>
  <c r="C33" i="43" s="1"/>
  <c r="C29" i="69"/>
  <c r="D27" i="69" s="1"/>
  <c r="Q61" i="15"/>
  <c r="F1" i="15"/>
  <c r="Q52" i="15"/>
  <c r="E16" i="6"/>
  <c r="E59" i="40"/>
  <c r="M14" i="1"/>
  <c r="O14" i="1" s="1"/>
  <c r="O16" i="1" s="1"/>
  <c r="E63" i="39"/>
  <c r="E3" i="6"/>
  <c r="B14" i="74" s="1"/>
  <c r="J5" i="15"/>
  <c r="J24" i="15" s="1"/>
  <c r="C49" i="15"/>
  <c r="Q60" i="15"/>
  <c r="T40" i="71"/>
  <c r="D40" i="71"/>
  <c r="D22" i="71"/>
  <c r="C21" i="71"/>
  <c r="T52" i="71"/>
  <c r="D52" i="71"/>
  <c r="D56" i="71"/>
  <c r="T56" i="71"/>
  <c r="O65" i="71"/>
  <c r="D66" i="71"/>
  <c r="O66" i="71"/>
  <c r="B40" i="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AE6" i="1"/>
  <c r="M27" i="15"/>
  <c r="C16" i="67"/>
  <c r="C16" i="85"/>
  <c r="M27" i="85"/>
  <c r="F41" i="15"/>
  <c r="J24" i="85" l="1"/>
  <c r="F1" i="85"/>
  <c r="Q52" i="85"/>
  <c r="Q61" i="85"/>
  <c r="Q74" i="85"/>
  <c r="Q57" i="85"/>
  <c r="Q66" i="85"/>
  <c r="Q60" i="85"/>
  <c r="Q73" i="85"/>
  <c r="J19" i="85"/>
  <c r="J18" i="85"/>
  <c r="C33" i="85"/>
  <c r="C32" i="85"/>
  <c r="C49" i="85"/>
  <c r="C61" i="85" s="1"/>
  <c r="D37" i="11"/>
  <c r="C33" i="33"/>
  <c r="J10" i="67"/>
  <c r="J5" i="67" s="1"/>
  <c r="J24" i="67" s="1"/>
  <c r="AG6" i="1"/>
  <c r="J10" i="40"/>
  <c r="AC10" i="40" s="1"/>
  <c r="L36" i="43"/>
  <c r="L37" i="43" s="1"/>
  <c r="P37" i="43" s="1"/>
  <c r="F24" i="85"/>
  <c r="C38" i="85"/>
  <c r="H10" i="39"/>
  <c r="U10" i="39" s="1"/>
  <c r="H10" i="40"/>
  <c r="AB10" i="40" s="1"/>
  <c r="AA10" i="39"/>
  <c r="J10" i="39"/>
  <c r="W10" i="39" s="1"/>
  <c r="F10" i="40"/>
  <c r="S10" i="40" s="1"/>
  <c r="F27" i="68"/>
  <c r="F45" i="68" s="1"/>
  <c r="E65" i="39"/>
  <c r="D3" i="34"/>
  <c r="E6" i="3"/>
  <c r="F27" i="11"/>
  <c r="C29" i="11" s="1"/>
  <c r="D27" i="11" s="1"/>
  <c r="C10" i="67"/>
  <c r="C5" i="67" s="1"/>
  <c r="C38" i="67" s="1"/>
  <c r="W10" i="40"/>
  <c r="M16" i="1"/>
  <c r="L16" i="1" s="1"/>
  <c r="D14" i="12"/>
  <c r="D17" i="12" s="1"/>
  <c r="C17" i="12" s="1"/>
  <c r="D3" i="33"/>
  <c r="E6" i="6"/>
  <c r="D20" i="12" s="1"/>
  <c r="C20" i="12" s="1"/>
  <c r="C18" i="12" s="1"/>
  <c r="C48" i="67"/>
  <c r="C66" i="67" s="1"/>
  <c r="V2" i="43"/>
  <c r="C34" i="43" s="1"/>
  <c r="E34" i="43" s="1"/>
  <c r="C6" i="69"/>
  <c r="C7" i="69" s="1"/>
  <c r="C48" i="15"/>
  <c r="C66" i="15" s="1"/>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E54" i="34" s="1"/>
  <c r="F54" i="34" s="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H48" i="35"/>
  <c r="C49" i="34"/>
  <c r="C50" i="34"/>
  <c r="I41" i="36"/>
  <c r="J41" i="36" s="1"/>
  <c r="R43" i="37"/>
  <c r="E42" i="37"/>
  <c r="G63" i="40"/>
  <c r="F65" i="40"/>
  <c r="C37" i="36"/>
  <c r="C36" i="36"/>
  <c r="G58" i="21"/>
  <c r="AE7" i="1"/>
  <c r="D10" i="69"/>
  <c r="M27" i="67"/>
  <c r="C14" i="85"/>
  <c r="C17" i="67"/>
  <c r="C17" i="15"/>
  <c r="F41" i="67"/>
  <c r="C14" i="67"/>
  <c r="C17" i="85"/>
  <c r="C34" i="69"/>
  <c r="O36" i="43" l="1"/>
  <c r="C48" i="85"/>
  <c r="C15" i="85"/>
  <c r="C18" i="85"/>
  <c r="AB10" i="39"/>
  <c r="F33" i="33"/>
  <c r="J33" i="33"/>
  <c r="H33" i="33"/>
  <c r="E7" i="70"/>
  <c r="O37" i="43"/>
  <c r="Q37" i="43"/>
  <c r="P36" i="43"/>
  <c r="N37" i="43"/>
  <c r="M36" i="43"/>
  <c r="M37" i="43"/>
  <c r="N36" i="43"/>
  <c r="Q36" i="43"/>
  <c r="C24" i="85"/>
  <c r="I54" i="34"/>
  <c r="J54" i="34" s="1"/>
  <c r="U10" i="40"/>
  <c r="AA10" i="40"/>
  <c r="AC10" i="39"/>
  <c r="C29" i="68"/>
  <c r="D27" i="68" s="1"/>
  <c r="C47" i="68"/>
  <c r="D45" i="68" s="1"/>
  <c r="N16" i="1"/>
  <c r="F50" i="68" s="1"/>
  <c r="D10" i="11"/>
  <c r="C10" i="11" s="1"/>
  <c r="H24" i="6"/>
  <c r="D30" i="6"/>
  <c r="H22" i="6"/>
  <c r="R22" i="6" s="1"/>
  <c r="R9" i="1" s="1"/>
  <c r="H21" i="6"/>
  <c r="C28" i="11"/>
  <c r="C27" i="11" s="1"/>
  <c r="C47" i="11"/>
  <c r="D45" i="11" s="1"/>
  <c r="H25" i="6"/>
  <c r="R25" i="6" s="1"/>
  <c r="R12" i="1" s="1"/>
  <c r="D6" i="6"/>
  <c r="D10" i="68"/>
  <c r="D19" i="68"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C8" i="69" s="1"/>
  <c r="C5" i="69" s="1"/>
  <c r="D19" i="69"/>
  <c r="F50" i="11"/>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F41" i="85"/>
  <c r="E6" i="76"/>
  <c r="C14" i="15"/>
  <c r="F35" i="85"/>
  <c r="B6" i="76"/>
  <c r="M21" i="85"/>
  <c r="J29" i="85" l="1"/>
  <c r="F69" i="85"/>
  <c r="C66" i="85"/>
  <c r="C60" i="85"/>
  <c r="F50" i="69"/>
  <c r="C19" i="85"/>
  <c r="C20" i="85" s="1"/>
  <c r="C26" i="85" s="1"/>
  <c r="U33" i="33"/>
  <c r="AB33" i="33"/>
  <c r="T48" i="33" s="1"/>
  <c r="G48" i="33" s="1"/>
  <c r="AC33" i="33"/>
  <c r="V48" i="33" s="1"/>
  <c r="I48" i="33" s="1"/>
  <c r="I52" i="33" s="1"/>
  <c r="J52" i="33" s="1"/>
  <c r="W33" i="33"/>
  <c r="AA33" i="33"/>
  <c r="R48" i="33" s="1"/>
  <c r="S33" i="33"/>
  <c r="F63" i="85"/>
  <c r="C62" i="85" s="1"/>
  <c r="C34" i="85"/>
  <c r="C31" i="85" s="1"/>
  <c r="J20" i="85"/>
  <c r="J17" i="85" s="1"/>
  <c r="D31" i="6"/>
  <c r="C10" i="68"/>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5" l="1"/>
  <c r="C23" i="85"/>
  <c r="C29" i="85" s="1"/>
  <c r="J59" i="85" s="1"/>
  <c r="J60" i="85" s="1"/>
  <c r="G52" i="33"/>
  <c r="H52" i="33" s="1"/>
  <c r="G53" i="33"/>
  <c r="H53" i="33" s="1"/>
  <c r="R49" i="33"/>
  <c r="E48" i="3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3" i="85" l="1"/>
  <c r="C37" i="85" s="1"/>
  <c r="Q49" i="85"/>
  <c r="J14" i="85"/>
  <c r="C36" i="85"/>
  <c r="C30" i="85" s="1"/>
  <c r="C39" i="85" s="1"/>
  <c r="C57" i="85"/>
  <c r="C64" i="85" s="1"/>
  <c r="Q70" i="85"/>
  <c r="L46" i="85"/>
  <c r="Q48" i="85"/>
  <c r="C75" i="85"/>
  <c r="C48" i="33"/>
  <c r="C49" i="33"/>
  <c r="C56" i="85"/>
  <c r="C65" i="85" s="1"/>
  <c r="C58" i="85" s="1"/>
  <c r="C67" i="85" s="1"/>
  <c r="C68" i="85" s="1"/>
  <c r="C71" i="85" s="1"/>
  <c r="I53" i="33"/>
  <c r="J53" i="33" s="1"/>
  <c r="E53" i="33"/>
  <c r="F53" i="33" s="1"/>
  <c r="E52" i="33"/>
  <c r="F52" i="33" s="1"/>
  <c r="D17" i="7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L51" i="85"/>
  <c r="F35" i="15"/>
  <c r="M21" i="67"/>
  <c r="C80" i="85" l="1"/>
  <c r="C79" i="85" s="1"/>
  <c r="C40" i="85"/>
  <c r="Q47" i="85" s="1"/>
  <c r="Q53" i="85" s="1"/>
  <c r="Q69" i="85"/>
  <c r="Q68" i="85" s="1"/>
  <c r="H42" i="85"/>
  <c r="J22" i="85"/>
  <c r="J13" i="85"/>
  <c r="J23" i="85" s="1"/>
  <c r="Q67" i="85"/>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Q65" i="85" l="1"/>
  <c r="Q75" i="85" s="1"/>
  <c r="C45" i="85"/>
  <c r="C46" i="85" s="1"/>
  <c r="D2" i="85"/>
  <c r="B3" i="85" s="1"/>
  <c r="Q56" i="85"/>
  <c r="Q62" i="85" s="1"/>
  <c r="C43" i="85"/>
  <c r="C83" i="85"/>
  <c r="C82" i="85" s="1"/>
  <c r="J16" i="85"/>
  <c r="J25" i="8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2" i="85" l="1"/>
  <c r="Q69" i="67"/>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19" i="9"/>
  <c r="C102" i="9" l="1"/>
  <c r="C21" i="9"/>
  <c r="B3" i="33"/>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7" i="1"/>
  <c r="AO9" i="1"/>
  <c r="AO10" i="1"/>
  <c r="AO11" i="1"/>
  <c r="C20" i="9"/>
  <c r="AO6" i="1"/>
  <c r="C103" i="9" l="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G21" i="9" s="1"/>
  <c r="D21" i="9"/>
  <c r="D22" i="9"/>
  <c r="B3" i="70"/>
  <c r="C34" i="9"/>
  <c r="D9" i="71"/>
  <c r="C8" i="71"/>
  <c r="C42" i="40"/>
  <c r="C43" i="40"/>
  <c r="E47" i="40"/>
  <c r="F47" i="40" s="1"/>
  <c r="E46" i="40"/>
  <c r="F46" i="40" s="1"/>
  <c r="I47" i="40"/>
  <c r="J47" i="40" s="1"/>
  <c r="D20" i="9"/>
  <c r="G20" i="9" l="1"/>
  <c r="C32" i="9" s="1"/>
  <c r="D103"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34" i="9"/>
  <c r="D7" i="71"/>
  <c r="C6" i="71"/>
  <c r="C5" i="71" l="1"/>
  <c r="D5" i="71" s="1"/>
  <c r="M24" i="43" s="1"/>
  <c r="D6" i="71"/>
  <c r="G118" i="9"/>
  <c r="F118" i="9" s="1"/>
  <c r="I118" i="9"/>
  <c r="H102" i="9" s="1"/>
  <c r="R24" i="31" l="1"/>
  <c r="E14" i="74"/>
  <c r="S24" i="31"/>
  <c r="R25" i="31"/>
  <c r="S25" i="31" s="1"/>
  <c r="F4" i="52"/>
  <c r="B51" i="72" s="1"/>
  <c r="F119" i="9"/>
  <c r="F5" i="52" s="1"/>
  <c r="B53" i="72" s="1"/>
  <c r="D7" i="53"/>
  <c r="B21" i="72" s="1"/>
  <c r="E118" i="9"/>
  <c r="G4" i="52"/>
  <c r="B52" i="72" s="1"/>
  <c r="I4" i="52"/>
  <c r="C105" i="9"/>
  <c r="H118" i="9"/>
  <c r="S22" i="31" l="1"/>
  <c r="H101" i="9"/>
  <c r="C104" i="9"/>
  <c r="H119" i="9"/>
  <c r="H5" i="52" s="1"/>
  <c r="H4" i="52"/>
  <c r="E4" i="52"/>
  <c r="B48" i="72" s="1"/>
  <c r="D118" i="9"/>
  <c r="D14" i="74" l="1"/>
  <c r="B5" i="74"/>
  <c r="F14" i="74"/>
  <c r="R22" i="31"/>
  <c r="B20" i="31"/>
  <c r="B21" i="31" s="1"/>
  <c r="D119" i="9"/>
  <c r="D5" i="52" s="1"/>
  <c r="B49" i="72" s="1"/>
  <c r="D4" i="52"/>
  <c r="B47" i="72" s="1"/>
  <c r="D5" i="53"/>
  <c r="M48" i="9"/>
  <c r="H107" i="9"/>
  <c r="D45" i="9"/>
  <c r="G14" i="74" l="1"/>
  <c r="B6" i="74" s="1"/>
  <c r="D6" i="74" s="1"/>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C16" authorId="1" shapeId="0" xr:uid="{00000000-0006-0000-2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4000000}">
      <text>
        <r>
          <rPr>
            <sz val="12"/>
            <color indexed="81"/>
            <rFont val="宋体"/>
            <family val="3"/>
            <charset val="134"/>
          </rPr>
          <t>1.05~1.1</t>
        </r>
        <r>
          <rPr>
            <sz val="9"/>
            <color indexed="81"/>
            <rFont val="宋体"/>
            <family val="3"/>
            <charset val="134"/>
          </rPr>
          <t xml:space="preserve">
</t>
        </r>
      </text>
    </comment>
    <comment ref="E16" authorId="1" shapeId="0" xr:uid="{00000000-0006-0000-2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color indexed="81"/>
            <rFont val="宋体"/>
            <family val="3"/>
            <charset val="134"/>
          </rPr>
          <t xml:space="preserve">需在此处填写剩余土地年限
</t>
        </r>
      </text>
    </comment>
    <comment ref="C111"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<sst xmlns="http://schemas.openxmlformats.org/spreadsheetml/2006/main" count="8844" uniqueCount="3694">
  <si>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</si>
  <si>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</si>
  <si>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</si>
  <si>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</si>
  <si>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</si>
  <si>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</si>
  <si>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</si>
  <si>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</si>
  <si>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</si>
  <si>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</si>
  <si>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</si>
  <si>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</si>
  <si>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</si>
  <si>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</si>
  <si>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</si>
  <si>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</si>
  <si>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</si>
  <si>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</si>
  <si>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</si>
  <si>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</si>
  <si>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</si>
  <si>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</si>
  <si>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</si>
  <si>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</si>
  <si>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</si>
  <si>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</si>
  <si>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</si>
  <si>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</si>
  <si>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</si>
  <si>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</si>
  <si>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</si>
  <si>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</si>
  <si>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</si>
  <si>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</si>
  <si>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</si>
  <si>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</si>
  <si>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</si>
  <si>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</si>
  <si>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</si>
  <si>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</si>
  <si>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</si>
  <si>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</si>
  <si>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</si>
  <si>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</si>
  <si>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</si>
  <si>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</si>
  <si>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</si>
  <si>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</si>
  <si>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</si>
  <si>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</si>
  <si>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</si>
  <si>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</si>
  <si>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</si>
  <si>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</si>
  <si>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</si>
  <si>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</si>
  <si>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</si>
  <si>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</si>
  <si>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</si>
  <si>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</si>
  <si>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</si>
  <si>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</si>
  <si>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</si>
  <si>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</si>
  <si>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</si>
  <si>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</si>
  <si>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</si>
  <si>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</si>
  <si>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</si>
  <si>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</si>
  <si>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</si>
  <si>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</si>
  <si>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</si>
  <si>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</si>
  <si>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</si>
  <si>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</si>
  <si>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</si>
  <si>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</si>
  <si>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</si>
  <si>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</si>
  <si>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</si>
  <si>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</si>
  <si>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</si>
  <si>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</si>
  <si>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</si>
  <si>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</si>
  <si>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</si>
  <si>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</si>
  <si>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</si>
  <si>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</si>
  <si>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</si>
  <si>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</si>
  <si>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</si>
  <si>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</si>
  <si>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</si>
  <si>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</si>
  <si>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</si>
  <si>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</si>
  <si>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</si>
  <si>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</si>
  <si>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</si>
  <si>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</si>
  <si>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</si>
  <si>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</si>
  <si>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</si>
  <si>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</si>
  <si>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</si>
  <si>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</si>
  <si>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</si>
  <si>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</si>
  <si>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</si>
  <si>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</si>
  <si>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</si>
  <si>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</si>
  <si>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</si>
  <si>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</si>
  <si>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</si>
  <si>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</si>
  <si>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</si>
  <si>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</si>
  <si>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</si>
  <si>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</si>
  <si>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</si>
  <si>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</si>
  <si>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</si>
  <si>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</si>
  <si>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</si>
  <si>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</si>
  <si>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</si>
  <si>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</si>
  <si>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</si>
  <si>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</si>
  <si>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</si>
  <si>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</si>
  <si>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</si>
  <si>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</si>
  <si>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</si>
  <si>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</si>
  <si>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</si>
  <si>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</si>
  <si>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</si>
  <si>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</si>
  <si>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</si>
  <si>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</si>
  <si>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</si>
  <si>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</si>
  <si>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</si>
  <si>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</si>
  <si>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</si>
  <si>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</si>
  <si>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</si>
  <si>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</si>
  <si>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</si>
  <si>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</si>
  <si>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</si>
  <si>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</si>
  <si>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</si>
  <si>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</si>
  <si>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</si>
  <si>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</si>
  <si>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</si>
  <si>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</si>
  <si>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</si>
  <si>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</si>
  <si>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</si>
  <si>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</si>
  <si>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</si>
  <si>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</si>
  <si>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</si>
  <si>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</si>
  <si>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</si>
  <si>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</si>
  <si>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</si>
  <si>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</si>
  <si>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</si>
  <si>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</si>
  <si>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</si>
  <si>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</si>
  <si>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</si>
  <si>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</si>
  <si>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</si>
  <si>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</si>
  <si>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</si>
  <si>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</si>
  <si>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</si>
  <si>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</si>
  <si>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</si>
  <si>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</si>
  <si>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</si>
  <si>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</si>
  <si>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</si>
  <si>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</si>
  <si>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</si>
  <si>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</si>
  <si>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</si>
  <si>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</si>
  <si>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</si>
  <si>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</si>
  <si>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</si>
  <si>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</si>
  <si>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</si>
  <si>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</si>
  <si>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</si>
  <si>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</si>
  <si>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</si>
  <si>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</si>
  <si>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</si>
  <si>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</si>
  <si>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</si>
  <si>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</si>
  <si>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</si>
  <si>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</si>
  <si>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</si>
  <si>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</si>
  <si>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</si>
  <si>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</si>
  <si>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</si>
  <si>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</si>
  <si>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</si>
  <si>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</si>
  <si>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</si>
  <si>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</si>
  <si>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</si>
  <si>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</si>
  <si>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</si>
  <si>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</si>
  <si>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</si>
  <si>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</si>
  <si>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</si>
  <si>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</si>
  <si>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</si>
  <si>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</si>
  <si>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</si>
  <si>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</si>
  <si>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</si>
  <si>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</si>
  <si>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</si>
  <si>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</si>
  <si>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</si>
  <si>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</si>
  <si>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</si>
  <si>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</si>
  <si>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</si>
  <si>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</si>
  <si>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</si>
  <si>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</si>
  <si>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</si>
  <si>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</si>
  <si>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</si>
  <si>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</si>
  <si>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</si>
  <si>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</si>
  <si>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</si>
  <si>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</si>
  <si>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</si>
  <si>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</si>
  <si>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</si>
  <si>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</si>
  <si>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</si>
  <si>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</si>
  <si>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</si>
  <si>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</si>
  <si>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</si>
  <si>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</si>
  <si>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</si>
  <si>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</si>
  <si>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</si>
  <si>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</si>
  <si>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</si>
  <si>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</si>
  <si>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</si>
  <si>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</si>
  <si>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</si>
  <si>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</si>
  <si>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</si>
  <si>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</si>
  <si>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</si>
  <si>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</si>
  <si>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</si>
  <si>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</si>
  <si>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</si>
  <si>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</si>
  <si>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</si>
  <si>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</si>
  <si>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</si>
  <si>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</si>
  <si>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</si>
  <si>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</si>
  <si>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</si>
  <si>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</si>
  <si>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</si>
  <si>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</si>
  <si>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</si>
  <si>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</si>
  <si>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</si>
  <si>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</si>
  <si>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</si>
  <si>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</si>
  <si>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</si>
  <si>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</si>
  <si>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</si>
  <si>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</si>
  <si>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</si>
  <si>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</si>
  <si>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</si>
  <si>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</si>
  <si>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</si>
  <si>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</si>
  <si>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</si>
  <si>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</si>
  <si>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</si>
  <si>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</si>
  <si>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</si>
  <si>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</si>
  <si>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</si>
  <si>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</si>
  <si>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</si>
  <si>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</si>
  <si>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</si>
  <si>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</si>
  <si>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</si>
  <si>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</si>
  <si>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</si>
  <si>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</si>
  <si>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</si>
  <si>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</si>
  <si>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</si>
  <si>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</si>
  <si>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</si>
  <si>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</si>
  <si>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</si>
  <si>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</si>
  <si>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</si>
  <si>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</si>
  <si>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</si>
  <si>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</si>
  <si>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</si>
  <si>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</si>
  <si>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</si>
  <si>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</si>
  <si>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</si>
  <si>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</si>
  <si>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</si>
  <si>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</si>
  <si>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</si>
  <si>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</si>
  <si>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</si>
  <si>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</si>
  <si>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</si>
  <si>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</si>
  <si>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</si>
  <si>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</si>
  <si>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</si>
  <si>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</si>
  <si>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</si>
  <si>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</si>
  <si>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</si>
  <si>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</si>
  <si>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</si>
  <si>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</si>
  <si>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</si>
  <si>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</si>
  <si>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</si>
  <si>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</si>
  <si>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</si>
  <si>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</si>
  <si>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</si>
  <si>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</si>
  <si>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</si>
  <si>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</si>
  <si>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</si>
  <si>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</si>
  <si>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</si>
  <si>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</si>
  <si>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</si>
  <si>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</si>
  <si>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</si>
  <si>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</si>
  <si>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</si>
  <si>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</si>
  <si>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</si>
  <si>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</si>
  <si>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</si>
  <si>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</si>
  <si>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</si>
  <si>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</si>
  <si>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</si>
  <si>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</si>
  <si>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</si>
  <si>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</si>
  <si>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</si>
  <si>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</si>
  <si>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</si>
  <si>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</si>
  <si>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</si>
  <si>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</si>
  <si>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</si>
  <si>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</si>
  <si>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</si>
  <si>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</si>
  <si>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</si>
  <si>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</si>
  <si>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</si>
  <si>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</si>
  <si>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</si>
  <si>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</si>
  <si>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</si>
  <si>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</si>
  <si>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</si>
  <si>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</si>
  <si>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</si>
  <si>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</si>
  <si>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</si>
  <si>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</si>
  <si>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</si>
  <si>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</si>
  <si>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</si>
  <si>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</si>
  <si>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</si>
  <si>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</si>
  <si>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</si>
  <si>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</si>
  <si>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</si>
  <si>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</si>
  <si>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</si>
  <si>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</si>
  <si>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</si>
  <si>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</si>
  <si>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</si>
  <si>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</si>
  <si>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</si>
  <si>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</si>
  <si>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</si>
  <si>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</si>
  <si>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</si>
  <si>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</si>
  <si>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</si>
  <si>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</si>
  <si>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</si>
  <si>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</si>
  <si>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</si>
  <si>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</si>
  <si>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</si>
  <si>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</si>
  <si>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</si>
  <si>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</si>
  <si>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</si>
  <si>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</si>
  <si>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</si>
  <si>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</si>
  <si>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</si>
  <si>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</si>
  <si>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</si>
  <si>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</si>
  <si>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</si>
  <si>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</si>
  <si>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</si>
  <si>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</si>
  <si>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</si>
  <si>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</si>
  <si>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</si>
  <si>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</si>
  <si>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</si>
  <si>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</si>
  <si>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</si>
  <si>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</si>
  <si>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</si>
  <si>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</si>
  <si>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</si>
  <si>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</si>
  <si>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</si>
  <si>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</si>
  <si>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</si>
  <si>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</si>
  <si>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</si>
  <si>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</si>
  <si>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</si>
  <si>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</si>
  <si>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</si>
  <si>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</si>
  <si>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</si>
  <si>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</si>
  <si>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</si>
  <si>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</si>
  <si>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</si>
  <si>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</si>
  <si>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</si>
  <si>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</si>
  <si>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</si>
  <si>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</si>
  <si>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</si>
  <si>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</si>
  <si>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</si>
  <si>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</si>
  <si>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</si>
  <si>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</si>
  <si>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</si>
  <si>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</si>
  <si>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</si>
  <si>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</si>
  <si>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</si>
  <si>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</si>
  <si>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</si>
  <si>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</si>
  <si>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</si>
  <si>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</si>
  <si>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</si>
  <si>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</si>
  <si>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</si>
  <si>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</si>
  <si>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</si>
  <si>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</si>
  <si>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</si>
  <si>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</si>
  <si>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</si>
  <si>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</si>
  <si>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</si>
  <si>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</si>
  <si>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</si>
  <si>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</si>
  <si>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</si>
  <si>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</si>
  <si>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</si>
  <si>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</si>
  <si>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</si>
  <si>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</si>
  <si>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</si>
  <si>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</si>
  <si>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</si>
  <si>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</si>
  <si>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</si>
  <si>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</si>
  <si>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</si>
  <si>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</si>
  <si>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</si>
  <si>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</si>
  <si>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</si>
  <si>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</si>
  <si>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</si>
  <si>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</si>
  <si>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</si>
  <si>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</si>
  <si>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</si>
  <si>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</si>
  <si>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</si>
  <si>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</si>
  <si>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</si>
  <si>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</si>
  <si>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</si>
  <si>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</si>
  <si>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</si>
  <si>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</si>
  <si>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</si>
  <si>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</si>
  <si>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</si>
  <si>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</si>
  <si>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</si>
  <si>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</si>
  <si>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</si>
  <si>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</si>
  <si>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</si>
  <si>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</si>
  <si>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</si>
  <si>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</si>
  <si>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</si>
  <si>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</si>
  <si>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</si>
  <si>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</si>
  <si>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</si>
  <si>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</si>
  <si>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</si>
  <si>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</si>
  <si>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</si>
  <si>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</si>
  <si>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</si>
  <si>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</si>
  <si>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</si>
  <si>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</si>
  <si>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</si>
  <si>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</si>
  <si>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</si>
  <si>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</si>
  <si>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</si>
  <si>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</si>
  <si>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</si>
  <si>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</si>
  <si>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</si>
  <si>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</si>
  <si>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</si>
  <si>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</si>
  <si>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</si>
  <si>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</si>
  <si>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</si>
  <si>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</si>
  <si>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</si>
  <si>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</si>
  <si>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</si>
  <si>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</si>
  <si>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</si>
  <si>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</si>
  <si>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</si>
  <si>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</si>
  <si>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</si>
  <si>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</si>
  <si>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</si>
  <si>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</si>
  <si>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</si>
  <si>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</si>
  <si>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</si>
  <si>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</si>
  <si>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</si>
  <si>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</si>
  <si>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</si>
  <si>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</si>
  <si>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</si>
  <si>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</si>
  <si>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</si>
  <si>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</si>
  <si>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</si>
  <si>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</si>
  <si>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</si>
  <si>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</si>
  <si>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</si>
  <si>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</si>
  <si>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</si>
  <si>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</si>
  <si>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</si>
  <si>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</si>
  <si>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</si>
  <si>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</si>
  <si>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</si>
  <si>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</si>
  <si>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</si>
  <si>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</si>
  <si>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</si>
  <si>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</si>
  <si>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</si>
  <si>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</si>
  <si>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</si>
  <si>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</si>
  <si>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</si>
  <si>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</si>
  <si>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</si>
  <si>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</si>
  <si>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</si>
  <si>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</si>
  <si>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</si>
  <si>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</si>
  <si>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</si>
  <si>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</si>
  <si>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</si>
  <si>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</si>
  <si>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</si>
  <si>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</si>
  <si>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</si>
  <si>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</si>
  <si>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</si>
  <si>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</si>
  <si>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</si>
  <si>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</si>
  <si>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</si>
  <si>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</si>
  <si>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</si>
  <si>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</si>
  <si>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</si>
  <si>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</si>
  <si>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</si>
  <si>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</si>
  <si>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</si>
  <si>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</si>
  <si>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</si>
  <si>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</si>
  <si>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</si>
  <si>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</si>
  <si>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</si>
  <si>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</si>
  <si>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</si>
  <si>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</si>
  <si>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</si>
  <si>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</si>
  <si>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</si>
  <si>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</si>
  <si>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</si>
  <si>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</si>
  <si>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</si>
  <si>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</si>
  <si>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</si>
  <si>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</si>
  <si>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</si>
  <si>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</si>
  <si>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</si>
  <si>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</si>
  <si>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</si>
  <si>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</si>
  <si>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</si>
  <si>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</si>
  <si>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</si>
  <si>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</si>
  <si>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</si>
  <si>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</si>
  <si>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</si>
  <si>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</si>
  <si>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</si>
  <si>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</si>
  <si>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</si>
  <si>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</si>
  <si>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</si>
  <si>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</si>
  <si>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</si>
  <si>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</si>
  <si>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</si>
  <si>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</si>
  <si>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</si>
  <si>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</si>
  <si>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</si>
  <si>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</si>
  <si>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</si>
  <si>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</si>
  <si>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</si>
  <si>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</si>
  <si>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</si>
  <si>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</si>
  <si>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</si>
  <si>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</si>
  <si>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</si>
  <si>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</si>
  <si>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</si>
  <si>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</si>
  <si>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</si>
  <si>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</si>
  <si>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</si>
  <si>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</si>
  <si>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</si>
  <si>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</si>
  <si>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</si>
  <si>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</si>
  <si>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</si>
  <si>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</si>
  <si>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</si>
  <si>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</si>
  <si>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</si>
  <si>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</si>
  <si>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</si>
  <si>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</si>
  <si>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</si>
  <si>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</si>
  <si>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</si>
  <si>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</si>
  <si>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</si>
  <si>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</si>
  <si>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</si>
  <si>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</si>
  <si>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</si>
  <si>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</si>
  <si>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</si>
  <si>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</si>
  <si>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</si>
  <si>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</si>
  <si>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</si>
  <si>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</si>
  <si>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</si>
  <si>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</si>
  <si>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</si>
  <si>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</si>
  <si>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</si>
  <si>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</si>
  <si>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</si>
  <si>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</si>
  <si>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</si>
  <si>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</si>
  <si>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</si>
  <si>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</si>
  <si>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</si>
  <si>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</si>
  <si>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</si>
  <si>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</si>
  <si>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</si>
  <si>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</si>
  <si>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</si>
  <si>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</si>
  <si>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</si>
  <si>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</si>
  <si>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</si>
  <si>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</si>
  <si>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</si>
  <si>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</si>
  <si>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</si>
  <si>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</si>
  <si>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</si>
  <si>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</si>
  <si>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</si>
  <si>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</si>
  <si>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</si>
  <si>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</si>
  <si>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</si>
  <si>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</si>
  <si>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</si>
  <si>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</si>
  <si>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</si>
  <si>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</si>
  <si>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</si>
  <si>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</si>
  <si>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</si>
  <si>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</si>
  <si>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</si>
  <si>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</si>
  <si>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</si>
  <si>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</si>
  <si>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</si>
  <si>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</si>
  <si>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</si>
  <si>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</si>
  <si>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</si>
  <si>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</si>
  <si>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</si>
  <si>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</si>
  <si>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</si>
  <si>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</si>
  <si>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</si>
  <si>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</si>
  <si>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</si>
  <si>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</si>
  <si>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</si>
  <si>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</si>
  <si>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</si>
  <si>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</si>
  <si>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</si>
  <si>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</si>
  <si>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</si>
  <si>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</si>
  <si>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</si>
  <si>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</si>
  <si>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</si>
  <si>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</si>
  <si>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</si>
  <si>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</si>
  <si>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</si>
  <si>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</si>
  <si>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</si>
  <si>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</si>
  <si>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</si>
  <si>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</si>
  <si>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</si>
  <si>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</si>
  <si>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</si>
  <si>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</si>
  <si>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</si>
  <si>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</si>
  <si>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</si>
  <si>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</si>
  <si>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</si>
  <si>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</si>
  <si>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</si>
  <si>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</si>
  <si>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</si>
  <si>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</si>
  <si>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</si>
  <si>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</si>
  <si>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</si>
  <si>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</si>
  <si>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</si>
  <si>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</si>
  <si>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</si>
  <si>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</si>
  <si>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</si>
  <si>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</si>
  <si>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</si>
  <si>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</si>
  <si>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</si>
  <si>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</si>
  <si>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</si>
  <si>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</si>
  <si>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</si>
  <si>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</si>
  <si>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</si>
  <si>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</si>
  <si>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</si>
  <si>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</si>
  <si>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</si>
  <si>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</si>
  <si>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</si>
  <si>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</si>
  <si>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</si>
  <si>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</si>
  <si>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</si>
  <si>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</si>
  <si>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</si>
  <si>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</si>
  <si>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</si>
  <si>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</si>
  <si>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</si>
  <si>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</si>
  <si>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</si>
  <si>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</si>
  <si>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</si>
  <si>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</si>
  <si>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</si>
  <si>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</si>
  <si>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</si>
  <si>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</si>
  <si>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</si>
  <si>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</si>
  <si>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</si>
  <si>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</si>
  <si>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</si>
  <si>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</si>
  <si>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</si>
  <si>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</si>
  <si>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</si>
  <si>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</si>
  <si>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</si>
  <si>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</si>
  <si>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</si>
  <si>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</si>
  <si>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</si>
  <si>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</si>
  <si>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</si>
  <si>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</si>
  <si>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</si>
  <si>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</si>
  <si>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</si>
  <si>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</si>
  <si>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</si>
  <si>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</si>
  <si>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</si>
  <si>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</si>
  <si>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</si>
  <si>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</si>
  <si>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</si>
  <si>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</si>
  <si>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</si>
  <si>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</si>
  <si>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</si>
  <si>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</si>
  <si>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</si>
  <si>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</si>
  <si>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</si>
  <si>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</si>
  <si>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</si>
  <si>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</si>
  <si>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</si>
  <si>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</si>
  <si>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</si>
  <si>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</si>
  <si>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</si>
  <si>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</si>
  <si>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</si>
  <si>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</si>
  <si>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</si>
  <si>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</si>
  <si>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</si>
  <si>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</si>
  <si>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</si>
  <si>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</si>
  <si>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</si>
  <si>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</si>
  <si>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</si>
  <si>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</si>
  <si>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</si>
  <si>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</si>
  <si>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</si>
  <si>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</si>
  <si>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</si>
  <si>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</si>
  <si>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</si>
  <si>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</si>
  <si>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</si>
  <si>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</si>
  <si>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</si>
  <si>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</si>
  <si>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</si>
  <si>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</si>
  <si>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</si>
  <si>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</si>
  <si>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</si>
  <si>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</si>
  <si>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</si>
  <si>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</si>
  <si>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</si>
  <si>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</si>
  <si>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</si>
  <si>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</si>
  <si>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</si>
  <si>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</si>
  <si>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</si>
  <si>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</si>
  <si>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</si>
  <si>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</si>
  <si>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</si>
  <si>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</si>
  <si>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</si>
  <si>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</si>
  <si>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</si>
  <si>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</si>
  <si>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</si>
  <si>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</si>
  <si>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</si>
  <si>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</si>
  <si>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</si>
  <si>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</si>
  <si>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</si>
  <si>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</si>
  <si>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</si>
  <si>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</si>
  <si>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</si>
  <si>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</si>
  <si>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</si>
  <si>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</si>
  <si>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</si>
  <si>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</si>
  <si>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</si>
  <si>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</si>
  <si>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</si>
  <si>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</si>
  <si>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</si>
  <si>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</si>
  <si>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</si>
  <si>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</si>
  <si>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</si>
  <si>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</si>
  <si>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</si>
  <si>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</si>
  <si>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</si>
  <si>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</si>
  <si>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</si>
  <si>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</si>
  <si>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</si>
  <si>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</si>
  <si>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</si>
  <si>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</si>
  <si>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</si>
  <si>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</si>
  <si>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</si>
  <si>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</si>
  <si>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</si>
  <si>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</si>
  <si>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</si>
  <si>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</si>
  <si>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</si>
  <si>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</si>
  <si>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</si>
  <si>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</si>
  <si>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</si>
  <si>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</si>
  <si>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</si>
  <si>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</si>
  <si>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</si>
  <si>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</si>
  <si>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</si>
  <si>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</si>
  <si>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</si>
  <si>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</si>
  <si>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</si>
  <si>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</si>
  <si>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</si>
  <si>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</si>
  <si>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</si>
  <si>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</si>
  <si>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</si>
  <si>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</si>
  <si>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</si>
  <si>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</si>
  <si>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</si>
  <si>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</si>
  <si>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</si>
  <si>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</si>
  <si>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</si>
  <si>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</si>
  <si>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</si>
  <si>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</si>
  <si>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</si>
  <si>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</si>
  <si>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</si>
  <si>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</si>
  <si>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</si>
  <si>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</si>
  <si>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</si>
  <si>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</si>
  <si>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</si>
  <si>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</si>
  <si>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</si>
  <si>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</si>
  <si>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</si>
  <si>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</si>
  <si>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</si>
  <si>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</si>
  <si>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</si>
  <si>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</si>
  <si>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</si>
  <si>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</si>
  <si>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</si>
  <si>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</si>
  <si>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</si>
  <si>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</si>
  <si>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</si>
  <si>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</si>
  <si>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</si>
  <si>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</si>
  <si>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</si>
  <si>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</si>
  <si>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</si>
  <si>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</si>
  <si>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</si>
  <si>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</si>
  <si>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</si>
  <si>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</si>
  <si>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</si>
  <si>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</si>
  <si>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</si>
  <si>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</si>
  <si>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</si>
  <si>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</si>
  <si>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</si>
  <si>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</si>
  <si>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</si>
  <si>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</si>
  <si>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</si>
  <si>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</si>
  <si>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</si>
  <si>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</si>
  <si>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</si>
  <si>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</si>
  <si>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</si>
  <si>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</si>
  <si>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</si>
  <si>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</si>
  <si>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</si>
  <si>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</si>
  <si>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</si>
  <si>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</si>
  <si>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</si>
  <si>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</si>
  <si>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</si>
  <si>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</si>
  <si>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</si>
  <si>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</si>
  <si>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</si>
  <si>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</si>
  <si>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</si>
  <si>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</si>
  <si>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</si>
  <si>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</si>
  <si>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</si>
  <si>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</si>
  <si>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</si>
  <si>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</si>
  <si>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</si>
  <si>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</si>
  <si>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</si>
  <si>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</si>
  <si>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</si>
  <si>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</si>
  <si>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</si>
  <si>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</si>
  <si>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</si>
  <si>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</si>
  <si>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</si>
  <si>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</si>
  <si>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</si>
  <si>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</si>
  <si>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</si>
  <si>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</si>
  <si>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</si>
  <si>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</si>
  <si>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</si>
  <si>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</si>
  <si>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</si>
  <si>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</si>
  <si>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</si>
  <si>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</si>
  <si>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</si>
  <si>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</si>
  <si>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</si>
  <si>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</si>
  <si>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</si>
  <si>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</si>
  <si>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</si>
  <si>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</si>
  <si>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</si>
  <si>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</si>
  <si>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</si>
  <si>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</si>
  <si>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</si>
  <si>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</si>
  <si>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</si>
  <si>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</si>
  <si>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</si>
  <si>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</si>
  <si>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</si>
  <si>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</si>
  <si>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</si>
  <si>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</si>
  <si>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</si>
  <si>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</si>
  <si>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</si>
  <si>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</si>
  <si>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</si>
  <si>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</si>
  <si>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</si>
  <si>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</si>
  <si>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</si>
  <si>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</si>
  <si>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</si>
  <si>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</si>
  <si>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</si>
  <si>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</si>
  <si>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</si>
  <si>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</si>
  <si>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</si>
  <si>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</si>
  <si>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</si>
  <si>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</si>
  <si>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</si>
  <si>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</si>
  <si>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</si>
  <si>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</si>
  <si>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</si>
  <si>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</si>
  <si>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</si>
  <si>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</si>
  <si>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</si>
  <si>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</si>
  <si>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</si>
  <si>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</si>
  <si>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</si>
  <si>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</si>
  <si>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</si>
  <si>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</si>
  <si>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</si>
  <si>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</si>
  <si>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</si>
  <si>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</si>
  <si>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</si>
  <si>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</si>
  <si>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</si>
  <si>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</si>
  <si>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</si>
  <si>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</si>
  <si>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</si>
  <si>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</si>
  <si>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</si>
  <si>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</si>
  <si>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</si>
  <si>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</si>
  <si>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</si>
  <si>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</si>
  <si>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</si>
  <si>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</si>
  <si>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</si>
  <si>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</si>
  <si>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</si>
  <si>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</si>
  <si>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</si>
  <si>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</si>
  <si>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</si>
  <si>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</si>
  <si>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</si>
  <si>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</si>
  <si>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</si>
  <si>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</si>
  <si>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</si>
  <si>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</si>
  <si>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</si>
  <si>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</si>
  <si>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</si>
  <si>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</si>
  <si>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</si>
  <si>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</si>
  <si>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</si>
  <si>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</si>
  <si>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</si>
  <si>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</si>
  <si>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</si>
  <si>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</si>
  <si>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</si>
  <si>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</si>
  <si>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</si>
  <si>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</si>
  <si>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</si>
  <si>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</si>
  <si>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</si>
  <si>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</si>
  <si>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</si>
  <si>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</si>
  <si>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</si>
  <si>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</si>
  <si>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</si>
  <si>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</si>
  <si>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</si>
  <si>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</si>
  <si>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</si>
  <si>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</si>
  <si>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</si>
  <si>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</si>
  <si>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</si>
  <si>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</si>
  <si>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</si>
  <si>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</si>
  <si>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</si>
  <si>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</si>
  <si>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</si>
  <si>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</si>
  <si>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</si>
  <si>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</si>
  <si>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</si>
  <si>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</si>
  <si>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</si>
  <si>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</si>
  <si>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</si>
  <si>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</si>
  <si>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</si>
  <si>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</si>
  <si>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</si>
  <si>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</si>
  <si>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</si>
  <si>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</si>
  <si>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</si>
  <si>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</si>
  <si>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</si>
  <si>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</si>
  <si>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</si>
  <si>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</si>
  <si>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</si>
  <si>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</si>
  <si>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</si>
  <si>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</si>
  <si>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</si>
  <si>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</si>
  <si>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</si>
  <si>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</si>
  <si>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</si>
  <si>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</si>
  <si>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</si>
  <si>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</si>
  <si>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</si>
  <si>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</si>
  <si>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</si>
  <si>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</si>
  <si>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</si>
  <si>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</si>
  <si>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</si>
  <si>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</si>
  <si>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</si>
  <si>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</si>
  <si>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</si>
  <si>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</si>
  <si>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</si>
  <si>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</si>
  <si>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</si>
  <si>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</si>
  <si>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</si>
  <si>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</si>
  <si>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</si>
  <si>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</si>
  <si>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</si>
  <si>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</si>
  <si>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</si>
  <si>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</si>
  <si>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</si>
  <si>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</si>
  <si>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</si>
  <si>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</si>
  <si>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</si>
  <si>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</si>
  <si>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</si>
  <si>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</si>
  <si>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</si>
  <si>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</si>
  <si>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</si>
  <si>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</si>
  <si>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</si>
  <si>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</si>
  <si>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</si>
  <si>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</si>
  <si>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</si>
  <si>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</si>
  <si>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</si>
  <si>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</si>
  <si>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</si>
  <si>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</si>
  <si>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</si>
  <si>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</si>
  <si>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</si>
  <si>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</si>
  <si>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</si>
  <si>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</si>
  <si>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</si>
  <si>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</si>
  <si>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</si>
  <si>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</si>
  <si>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</si>
  <si>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</si>
  <si>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</si>
  <si>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</si>
  <si>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</si>
  <si>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</si>
  <si>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</si>
  <si>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</si>
  <si>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</si>
  <si>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</si>
  <si>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</si>
  <si>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</si>
  <si>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</si>
  <si>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</si>
  <si>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</si>
  <si>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</si>
  <si>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</si>
  <si>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</si>
  <si>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</si>
  <si>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</si>
  <si>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</si>
  <si>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</si>
  <si>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</si>
  <si>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</si>
  <si>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</si>
  <si>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</si>
  <si>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</si>
  <si>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</si>
  <si>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</si>
  <si>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</si>
  <si>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</si>
  <si>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</si>
  <si>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</si>
  <si>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</si>
  <si>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</si>
  <si>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</si>
  <si>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</si>
  <si>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</si>
  <si>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</si>
  <si>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</si>
  <si>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</si>
  <si>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</si>
  <si>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</si>
  <si>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</si>
  <si>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</si>
  <si>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</si>
  <si>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</si>
  <si>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</si>
  <si>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</si>
  <si>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</si>
  <si>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</si>
  <si>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</si>
  <si>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</si>
  <si>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</si>
  <si>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</si>
  <si>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</si>
  <si>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</si>
  <si>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</si>
  <si>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</si>
  <si>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</si>
  <si>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</si>
  <si>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</si>
  <si>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</si>
  <si>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</si>
  <si>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</si>
  <si>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</si>
  <si>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</si>
  <si>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</si>
  <si>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</si>
  <si>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</si>
  <si>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</si>
  <si>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</si>
  <si>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</si>
  <si>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</si>
  <si>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</si>
  <si>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</si>
  <si>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</si>
  <si>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</si>
  <si>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</si>
  <si>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</si>
  <si>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</si>
  <si>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</si>
  <si>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</si>
  <si>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</si>
  <si>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</si>
  <si>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</si>
  <si>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</si>
  <si>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</si>
  <si>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</si>
  <si>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</si>
  <si>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</si>
  <si>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</si>
  <si>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</si>
  <si>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</si>
  <si>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</si>
  <si>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</si>
  <si>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</si>
  <si>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</si>
  <si>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</si>
  <si>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</si>
  <si>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</si>
  <si>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</si>
  <si>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</si>
  <si>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</si>
  <si>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</si>
  <si>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</si>
  <si>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</si>
  <si>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</si>
  <si>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</si>
  <si>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</si>
  <si>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</si>
  <si>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</si>
  <si>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</si>
  <si>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</si>
  <si>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</si>
  <si>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</si>
  <si>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</si>
  <si>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</si>
  <si>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</si>
  <si>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</si>
  <si>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</si>
  <si>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</si>
  <si>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</si>
  <si>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</si>
  <si>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</si>
  <si>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</si>
  <si>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</si>
  <si>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</si>
  <si>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</si>
  <si>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</si>
  <si>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</si>
  <si>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</si>
  <si>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</si>
  <si>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</si>
  <si>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</si>
  <si>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</si>
  <si>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</si>
  <si>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</si>
  <si>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</si>
  <si>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</si>
  <si>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</si>
  <si>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</si>
  <si>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</si>
  <si>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</si>
  <si>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</si>
  <si>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</si>
  <si>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</si>
  <si>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</si>
  <si>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</si>
  <si>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</si>
  <si>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</si>
  <si>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</si>
  <si>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</si>
  <si>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</si>
  <si>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</si>
  <si>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</si>
  <si>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</si>
  <si>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</si>
  <si>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</si>
  <si>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</si>
  <si>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</si>
  <si>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</si>
  <si>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</si>
  <si>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</si>
  <si>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</si>
  <si>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</si>
  <si>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</si>
  <si>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</si>
  <si>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</si>
  <si>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</si>
  <si>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</si>
  <si>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</si>
  <si>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</si>
  <si>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</si>
  <si>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</si>
  <si>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</si>
  <si>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</si>
  <si>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</si>
  <si>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</si>
  <si>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</si>
  <si>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</si>
  <si>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</si>
  <si>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</si>
  <si>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</si>
  <si>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</si>
  <si>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</si>
  <si>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</si>
  <si>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</si>
  <si>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</si>
  <si>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</si>
  <si>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</si>
  <si>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</si>
  <si>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</si>
  <si>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</si>
  <si>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</si>
  <si>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</si>
  <si>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</si>
  <si>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</si>
  <si>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</si>
  <si>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</si>
  <si>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</si>
  <si>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</si>
  <si>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</si>
  <si>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</si>
  <si>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</si>
  <si>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</si>
  <si>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</si>
  <si>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</si>
  <si>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</si>
  <si>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</si>
  <si>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</si>
  <si>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</si>
  <si>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</si>
  <si>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</si>
  <si>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</si>
  <si>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</si>
  <si>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</si>
  <si>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</si>
  <si>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</si>
  <si>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</si>
  <si>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</si>
  <si>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</si>
  <si>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</si>
  <si>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</si>
  <si>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</si>
  <si>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</si>
  <si>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</si>
  <si>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</si>
  <si>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</si>
  <si>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</si>
  <si>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</si>
  <si>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</si>
  <si>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</si>
  <si>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</si>
  <si>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</si>
  <si>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</si>
  <si>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</si>
  <si>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</si>
  <si>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</si>
  <si>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</si>
  <si>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</si>
  <si>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</si>
  <si>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</si>
  <si>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</si>
  <si>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</si>
  <si>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</si>
  <si>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</si>
  <si>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</si>
  <si>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</si>
  <si>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</si>
  <si>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</si>
  <si>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</si>
  <si>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</si>
  <si>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</si>
  <si>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</si>
  <si>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</si>
  <si>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</si>
  <si>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</si>
  <si>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</si>
  <si>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</si>
  <si>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</si>
  <si>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</si>
  <si>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</si>
  <si>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</si>
  <si>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</si>
  <si>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</si>
  <si>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</si>
  <si>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</si>
  <si>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</si>
  <si>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</si>
  <si>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</si>
  <si>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</si>
  <si>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</si>
  <si>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</si>
  <si>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</si>
  <si>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</si>
  <si>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</si>
  <si>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</si>
  <si>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</si>
  <si>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</si>
  <si>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</si>
  <si>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</si>
  <si>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</si>
  <si>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</si>
  <si>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</si>
  <si>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</si>
  <si>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</si>
  <si>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</si>
  <si>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</si>
  <si>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</si>
  <si>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</si>
  <si>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</si>
  <si>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</si>
  <si>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</si>
  <si>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</si>
  <si>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</si>
  <si>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</si>
  <si>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</si>
  <si>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</si>
  <si>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</si>
  <si>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</si>
  <si>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</si>
  <si>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</si>
  <si>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</si>
  <si>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</si>
  <si>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</si>
  <si>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</si>
  <si>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</si>
  <si>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</si>
  <si>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</si>
  <si>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</si>
  <si>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</si>
  <si>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</si>
  <si>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</si>
  <si>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</si>
  <si>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</si>
  <si>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</si>
  <si>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</si>
  <si>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</si>
  <si>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</si>
  <si>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</si>
  <si>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</si>
  <si>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</si>
  <si>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</si>
  <si>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</si>
  <si>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</si>
  <si>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</si>
  <si>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</si>
  <si>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</si>
  <si>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</si>
  <si>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</si>
  <si>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</si>
  <si>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</si>
  <si>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</si>
  <si>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</si>
  <si>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</si>
  <si>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</si>
  <si>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</si>
  <si>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</si>
  <si>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</si>
  <si>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</si>
  <si>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</si>
  <si>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</si>
  <si>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</si>
  <si>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</si>
  <si>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</si>
  <si>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</si>
  <si>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</si>
  <si>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</si>
  <si>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</si>
  <si>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</si>
  <si>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</si>
  <si>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</si>
  <si>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</si>
  <si>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</si>
  <si>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</si>
  <si>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</si>
  <si>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</si>
  <si>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</si>
  <si>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</si>
  <si>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</si>
  <si>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</si>
  <si>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</si>
  <si>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</si>
  <si>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</si>
  <si>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</si>
  <si>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</si>
  <si>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</si>
  <si>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</si>
  <si>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</si>
  <si>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</si>
  <si>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</si>
  <si>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</si>
  <si>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</si>
  <si>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</si>
  <si>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</si>
  <si>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</si>
  <si>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</si>
  <si>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</si>
  <si>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</si>
  <si>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</si>
  <si>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</si>
  <si>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</si>
  <si>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</si>
  <si>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</si>
  <si>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</si>
  <si>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</si>
  <si>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</si>
  <si>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</si>
  <si>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</si>
  <si>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</si>
  <si>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</si>
  <si>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</si>
  <si>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</si>
  <si>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</si>
  <si>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</si>
  <si>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</si>
  <si>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</si>
  <si>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</si>
  <si>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</si>
  <si>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</si>
  <si>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</si>
  <si>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</si>
  <si>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</si>
  <si>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</si>
  <si>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</si>
  <si>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</si>
  <si>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</si>
  <si>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</si>
  <si>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</si>
  <si>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</si>
  <si>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</si>
  <si>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</si>
  <si>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</si>
  <si>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</si>
  <si>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</si>
  <si>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</si>
  <si>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</si>
  <si>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</si>
  <si>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</si>
  <si>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</si>
  <si>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</si>
  <si>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</si>
  <si>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</si>
  <si>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</si>
  <si>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</si>
  <si>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</si>
  <si>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</si>
  <si>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</si>
  <si>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</si>
  <si>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</si>
  <si>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</si>
  <si>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</si>
  <si>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</si>
  <si>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</si>
  <si>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</si>
  <si>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</si>
  <si>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</si>
  <si>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</si>
  <si>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</si>
  <si>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</si>
  <si>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</si>
  <si>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</si>
  <si>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</si>
  <si>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</si>
  <si>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</si>
  <si>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</si>
  <si>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</si>
  <si>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</si>
  <si>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</si>
  <si>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</si>
  <si>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</si>
  <si>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</si>
  <si>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</si>
  <si>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</si>
  <si>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</si>
  <si>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</si>
  <si>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</si>
  <si>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</si>
  <si>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</si>
  <si>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</si>
  <si>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</si>
  <si>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</si>
  <si>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</si>
  <si>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</si>
  <si>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</si>
  <si>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</si>
  <si>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</si>
  <si>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</si>
  <si>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</si>
  <si>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</si>
  <si>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</si>
  <si>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</si>
  <si>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</si>
  <si>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</si>
  <si>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</si>
  <si>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</si>
  <si>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</si>
  <si>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</si>
  <si>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</si>
  <si>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</si>
  <si>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</si>
  <si>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</si>
  <si>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</si>
  <si>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</si>
  <si>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</si>
  <si>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</si>
  <si>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</si>
  <si>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</si>
  <si>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</si>
  <si>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</si>
  <si>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</si>
  <si>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</si>
  <si>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</si>
  <si>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</si>
  <si>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</si>
  <si>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</si>
  <si>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</si>
  <si>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</si>
  <si>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</si>
  <si>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</si>
  <si>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</si>
  <si>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</si>
  <si>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</si>
  <si>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</si>
  <si>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</si>
  <si>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</si>
  <si>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</si>
  <si>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</si>
  <si>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</si>
  <si>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</si>
  <si>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</si>
  <si>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</si>
  <si>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</si>
  <si>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</si>
  <si>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</si>
  <si>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</si>
  <si>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</si>
  <si>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</si>
  <si>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</si>
  <si>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</si>
  <si>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</si>
  <si>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</si>
  <si>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</si>
  <si>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</si>
  <si>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</si>
  <si>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</si>
  <si>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</si>
  <si>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</si>
  <si>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</si>
  <si>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</si>
  <si>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</si>
  <si>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</si>
  <si>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</si>
  <si>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</si>
  <si>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</si>
  <si>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</si>
  <si>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</si>
  <si>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</si>
  <si>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</si>
  <si>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</si>
  <si>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</si>
  <si>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</si>
  <si>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</si>
  <si>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</si>
  <si>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</si>
  <si>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</si>
  <si>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</si>
  <si>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</si>
  <si>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</si>
  <si>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</si>
  <si>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</si>
  <si>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</si>
  <si>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</si>
  <si>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</si>
  <si>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</si>
  <si>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</si>
  <si>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</si>
  <si>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</si>
  <si>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</si>
  <si>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</si>
  <si>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</si>
  <si>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</si>
  <si>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</si>
  <si>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</si>
  <si>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</si>
  <si>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</si>
  <si>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</si>
  <si>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</si>
  <si>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</si>
  <si>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</si>
  <si>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</si>
  <si>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</si>
  <si>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</si>
  <si>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</si>
  <si>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</si>
  <si>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</si>
  <si>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</si>
  <si>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</si>
  <si>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</si>
  <si>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</si>
  <si>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</si>
  <si>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</si>
  <si>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</si>
  <si>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</si>
  <si>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</si>
  <si>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</si>
  <si>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</si>
  <si>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</si>
  <si>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</si>
  <si>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</si>
  <si>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</si>
  <si>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</si>
  <si>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</si>
  <si>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</si>
  <si>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</si>
  <si>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</si>
  <si>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</si>
  <si>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</si>
  <si>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</si>
  <si>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</si>
  <si>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</si>
  <si>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</si>
  <si>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</si>
  <si>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</si>
  <si>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</si>
  <si>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</si>
  <si>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</si>
  <si>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</si>
  <si>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</si>
  <si>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</si>
  <si>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</si>
  <si>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</si>
  <si>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</si>
  <si>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</si>
  <si>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</si>
  <si>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</si>
  <si>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</si>
  <si>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</si>
  <si>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</si>
  <si>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</si>
  <si>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</si>
  <si>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</si>
  <si>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</si>
  <si>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</si>
  <si>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</si>
  <si>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</si>
  <si>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</si>
  <si>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</si>
  <si>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</si>
  <si>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</si>
  <si>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</si>
  <si>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</si>
  <si>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</si>
  <si>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</si>
  <si>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</si>
  <si>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</si>
  <si>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</si>
  <si>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</si>
  <si>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</si>
  <si>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</si>
  <si>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</si>
  <si>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</si>
  <si>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</si>
  <si>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</si>
  <si>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</si>
  <si>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</si>
  <si>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</si>
  <si>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</si>
  <si>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</si>
  <si>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</si>
  <si>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</si>
  <si>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</si>
  <si>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</si>
  <si>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</si>
  <si>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</si>
  <si>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</si>
  <si>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</si>
  <si>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</si>
  <si>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</si>
  <si>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</si>
  <si>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</si>
  <si>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</si>
  <si>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</si>
  <si>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</si>
  <si>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</si>
  <si>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</si>
  <si>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</si>
  <si>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</si>
  <si>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</si>
  <si>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</si>
  <si>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</si>
  <si>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</si>
  <si>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</si>
  <si>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</si>
  <si>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</si>
  <si>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</si>
  <si>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</si>
  <si>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</si>
  <si>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</si>
  <si>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</si>
  <si>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</si>
  <si>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</si>
  <si>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</si>
  <si>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</si>
  <si>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</si>
  <si>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</si>
  <si>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</si>
  <si>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</si>
  <si>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</si>
  <si>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</si>
  <si>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</si>
  <si>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</si>
  <si>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</si>
  <si>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</si>
  <si>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</si>
  <si>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</si>
  <si>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</si>
  <si>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</si>
  <si>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</si>
  <si>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</si>
  <si>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</si>
  <si>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</si>
  <si>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</si>
  <si>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</si>
  <si>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</si>
  <si>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</si>
  <si>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</si>
  <si>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</si>
  <si>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</si>
  <si>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</si>
  <si>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</si>
  <si>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</si>
  <si>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</si>
  <si>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</si>
  <si>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</si>
  <si>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</si>
  <si>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</si>
  <si>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</si>
  <si>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</si>
  <si>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</si>
  <si>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</si>
  <si>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</si>
  <si>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</si>
  <si>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</si>
  <si>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</si>
  <si>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</si>
  <si>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</si>
  <si>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</si>
  <si>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</si>
  <si>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</si>
  <si>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</si>
  <si>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</si>
  <si>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</si>
  <si>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</si>
  <si>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</si>
  <si>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</si>
  <si>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</si>
  <si>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</si>
  <si>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</si>
  <si>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</si>
  <si>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</si>
  <si>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</si>
  <si>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</si>
  <si>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</si>
  <si>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</si>
  <si>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</si>
  <si>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</si>
  <si>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</si>
  <si>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</si>
  <si>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</si>
  <si>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</si>
  <si>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</si>
  <si>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</si>
  <si>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</si>
  <si>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</si>
  <si>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</si>
  <si>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</si>
  <si>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</si>
  <si>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</si>
  <si>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</si>
  <si>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</si>
  <si>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</si>
  <si>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</si>
  <si>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</si>
  <si>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</si>
  <si>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</si>
  <si>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</si>
  <si>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</si>
  <si>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</si>
  <si>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</si>
  <si>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</si>
  <si>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</si>
  <si>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</si>
  <si>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</si>
  <si>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</si>
  <si>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</si>
  <si>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</si>
  <si>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</si>
  <si>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</si>
  <si>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</si>
  <si>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</si>
  <si>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</si>
  <si>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</si>
  <si>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</si>
  <si>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</si>
  <si>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</si>
  <si>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</si>
  <si>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</si>
  <si>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</si>
  <si>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</si>
  <si>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</si>
  <si>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</si>
  <si>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</si>
  <si>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</si>
  <si>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</si>
  <si>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</si>
  <si>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</si>
  <si>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</si>
  <si>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</si>
  <si>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</si>
  <si>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</si>
  <si>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</si>
  <si>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</si>
  <si>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</si>
  <si>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</si>
  <si>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</si>
  <si>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</si>
  <si>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</si>
  <si>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</si>
  <si>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</si>
  <si>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</si>
  <si>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</si>
  <si>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</si>
  <si>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</si>
  <si>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</si>
  <si>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</si>
  <si>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</si>
  <si>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</si>
  <si>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</si>
  <si>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</si>
  <si>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</si>
  <si>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</si>
  <si>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</si>
  <si>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</si>
  <si>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</si>
  <si>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</si>
  <si>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</si>
  <si>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</si>
  <si>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</si>
  <si>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</si>
  <si>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</si>
  <si>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</si>
  <si>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</si>
  <si>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</si>
  <si>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</si>
  <si>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</si>
  <si>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</si>
  <si>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</si>
  <si>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</si>
  <si>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</si>
  <si>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</si>
  <si>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</si>
  <si>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</si>
  <si>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</si>
  <si>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</si>
  <si>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</si>
  <si>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</si>
  <si>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</si>
  <si>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</si>
  <si>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</si>
  <si>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</si>
  <si>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</si>
  <si>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</si>
  <si>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</si>
  <si>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</si>
  <si>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</si>
  <si>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</si>
  <si>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</si>
  <si>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</si>
  <si>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</si>
  <si>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</si>
  <si>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</si>
  <si>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</si>
  <si>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</si>
  <si>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</si>
  <si>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</si>
  <si>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</si>
  <si>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</si>
  <si>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</si>
  <si>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</si>
  <si>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</si>
  <si>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</si>
  <si>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</si>
  <si>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</si>
  <si>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</si>
  <si>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</si>
  <si>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</si>
  <si>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</si>
  <si>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</si>
  <si>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</si>
  <si>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</si>
  <si>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</si>
  <si>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</si>
  <si>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</si>
  <si>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</si>
  <si>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</si>
  <si>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</si>
  <si>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</si>
  <si>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</si>
  <si>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</si>
  <si>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</si>
  <si>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</si>
  <si>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</si>
  <si>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</si>
  <si>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</si>
  <si>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</si>
  <si>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</si>
  <si>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</si>
  <si>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</si>
  <si>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</si>
  <si>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</si>
  <si>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</si>
  <si>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</si>
  <si>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</si>
  <si>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</si>
  <si>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</si>
  <si>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</si>
  <si>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</si>
  <si>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</si>
  <si>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</si>
  <si>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</si>
  <si>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</si>
  <si>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</si>
  <si>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</si>
  <si>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</si>
  <si>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</si>
  <si>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</si>
  <si>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</si>
  <si>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</si>
  <si>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</si>
  <si>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</si>
  <si>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</si>
  <si>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</si>
  <si>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</si>
  <si>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</si>
  <si>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</si>
  <si>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</si>
  <si>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</si>
  <si>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</si>
  <si>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</si>
  <si>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</si>
  <si>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</si>
  <si>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</si>
  <si>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</si>
  <si>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</si>
  <si>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</si>
  <si>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</si>
  <si>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</si>
  <si>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</si>
  <si>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</si>
  <si>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</si>
  <si>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</si>
  <si>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</si>
  <si>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</si>
  <si>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</si>
  <si>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</si>
  <si>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</si>
  <si>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</si>
  <si>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</si>
  <si>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</si>
  <si>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</si>
  <si>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</si>
  <si>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</si>
  <si>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</si>
  <si>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</si>
  <si>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</si>
  <si>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</si>
  <si>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</si>
  <si>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</si>
  <si>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</si>
  <si>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</si>
  <si>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</si>
  <si>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</si>
  <si>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</si>
  <si>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</si>
  <si>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</si>
  <si>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</si>
  <si>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</si>
  <si>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</si>
  <si>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</si>
  <si>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</si>
  <si>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</si>
  <si>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</si>
  <si>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</si>
  <si>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</si>
  <si>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</si>
  <si>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</si>
  <si>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</si>
  <si>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</si>
  <si>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</si>
  <si>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</si>
  <si>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</si>
  <si>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</si>
  <si>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</si>
  <si>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</si>
  <si>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</si>
  <si>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</si>
  <si>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</si>
  <si>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</si>
  <si>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</si>
  <si>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</si>
  <si>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</si>
  <si>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</si>
  <si>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</si>
  <si>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</si>
  <si>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</si>
  <si>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</si>
  <si>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</si>
  <si>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</si>
  <si>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</si>
  <si>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</si>
  <si>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</si>
  <si>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</si>
  <si>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</si>
  <si>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</si>
  <si>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</si>
  <si>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</si>
  <si>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</si>
  <si>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</si>
  <si>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</si>
  <si>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</si>
  <si>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</si>
  <si>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</si>
  <si>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</si>
  <si>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</si>
  <si>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</si>
  <si>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</si>
  <si>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</si>
  <si>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</si>
  <si>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</si>
  <si>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</si>
  <si>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</si>
  <si>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</si>
  <si>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</si>
  <si>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</si>
  <si>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</si>
  <si>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</si>
  <si>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</si>
  <si>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</si>
  <si>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</si>
  <si>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</si>
  <si>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</si>
  <si>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</si>
  <si>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</si>
  <si>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</si>
  <si>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</si>
  <si>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</si>
  <si>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</si>
  <si>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</si>
  <si>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</si>
  <si>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</si>
  <si>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</si>
  <si>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</si>
  <si>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</si>
  <si>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</si>
  <si>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</si>
  <si>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</si>
  <si>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</si>
  <si>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</si>
  <si>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</si>
  <si>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</si>
  <si>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</si>
  <si>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</si>
  <si>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</si>
  <si>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</si>
  <si>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</si>
  <si>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</si>
  <si>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</si>
  <si>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</si>
  <si>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</si>
  <si>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</si>
  <si>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</si>
  <si>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</si>
  <si>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</si>
  <si>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</si>
  <si>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</si>
  <si>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</si>
  <si>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</si>
  <si>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</si>
  <si>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</si>
  <si>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</si>
  <si>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</si>
  <si>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</si>
  <si>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</si>
  <si>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</si>
  <si>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</si>
  <si>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</si>
  <si>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</si>
  <si>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</si>
  <si>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</si>
  <si>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</si>
  <si>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</si>
  <si>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</si>
  <si>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</si>
  <si>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</si>
  <si>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</si>
  <si>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</si>
  <si>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</si>
  <si>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</si>
  <si>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</si>
  <si>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</si>
  <si>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</si>
  <si>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</si>
  <si>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</si>
  <si>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</si>
  <si>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</si>
  <si>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</si>
  <si>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</si>
  <si>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</si>
  <si>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</si>
  <si>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</si>
  <si>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</si>
  <si>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</si>
  <si>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</si>
  <si>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</si>
  <si>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</si>
  <si>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</si>
  <si>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</si>
  <si>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</si>
  <si>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</si>
  <si>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</si>
  <si>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</si>
  <si>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</si>
  <si>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</si>
  <si>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</si>
  <si>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</si>
  <si>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</si>
  <si>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</si>
  <si>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</si>
  <si>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</si>
  <si>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</si>
  <si>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</si>
  <si>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</si>
  <si>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</si>
  <si>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</si>
  <si>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</si>
  <si>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</si>
  <si>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</si>
  <si>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</si>
  <si>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</si>
  <si>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</si>
  <si>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</si>
  <si>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</si>
  <si>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</si>
  <si>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</si>
  <si>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</si>
  <si>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</si>
  <si>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</si>
  <si>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</si>
  <si>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</si>
  <si>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</si>
  <si>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</si>
  <si>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</si>
  <si>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</si>
  <si>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</si>
  <si>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</si>
  <si>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</si>
  <si>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</si>
  <si>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</si>
  <si>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</si>
  <si>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</si>
  <si>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</si>
  <si>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</si>
  <si>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</si>
  <si>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</si>
  <si>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</si>
  <si>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</si>
  <si>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</si>
  <si>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</si>
  <si>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</si>
  <si>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</si>
  <si>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</si>
  <si>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</si>
  <si>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</si>
  <si>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</si>
  <si>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</si>
  <si>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</si>
  <si>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</si>
  <si>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</si>
  <si>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</si>
  <si>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</si>
  <si>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</si>
  <si>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</si>
  <si>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</si>
  <si>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</si>
  <si>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</si>
  <si>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</si>
  <si>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</si>
  <si>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</si>
  <si>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</si>
  <si>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</si>
  <si>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</si>
  <si>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</si>
  <si>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</si>
  <si>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</si>
  <si>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</si>
  <si>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</si>
  <si>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</si>
  <si>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</si>
  <si>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</si>
  <si>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</si>
  <si>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</si>
  <si>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</si>
  <si>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</si>
  <si>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</si>
  <si>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</si>
  <si>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</si>
  <si>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</si>
  <si>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</si>
  <si>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</si>
  <si>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</si>
  <si>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</si>
  <si>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</si>
  <si>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</si>
  <si>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</si>
  <si>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</si>
  <si>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</si>
  <si>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</si>
  <si>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</si>
  <si>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</si>
  <si>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</si>
  <si>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</si>
  <si>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</si>
  <si>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</si>
  <si>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</si>
  <si>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</si>
  <si>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</si>
  <si>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</si>
  <si>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</si>
  <si>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</si>
  <si>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</si>
  <si>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</si>
  <si>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</si>
  <si>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</si>
  <si>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</si>
  <si>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</si>
  <si>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</si>
  <si>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</si>
  <si>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</si>
  <si>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</si>
  <si>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</si>
  <si>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</si>
  <si>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</si>
  <si>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</si>
  <si>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</si>
  <si>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</si>
  <si>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</si>
  <si>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</si>
  <si>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</si>
  <si>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</si>
  <si>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</si>
  <si>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</si>
  <si>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</si>
  <si>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</si>
  <si>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</si>
  <si>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</si>
  <si>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</si>
  <si>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</si>
  <si>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</si>
  <si>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</si>
  <si>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</si>
  <si>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</si>
  <si>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</si>
  <si>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</si>
  <si>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</si>
  <si>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</si>
  <si>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</si>
  <si>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</si>
  <si>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</si>
  <si>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</si>
  <si>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</si>
  <si>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</si>
  <si>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</si>
  <si>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</si>
  <si>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</si>
  <si>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</si>
  <si>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</si>
  <si>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</si>
  <si>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</si>
  <si>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</si>
  <si>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</si>
  <si>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</si>
  <si>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</si>
  <si>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</si>
  <si>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</si>
  <si>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</si>
  <si>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</si>
  <si>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</si>
  <si>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</si>
  <si>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</si>
  <si>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</si>
  <si>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</si>
  <si>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</si>
  <si>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</si>
  <si>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</si>
  <si>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</si>
  <si>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</si>
  <si>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</si>
  <si>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</si>
  <si>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</si>
  <si>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</si>
  <si>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</si>
  <si>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</si>
  <si>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</si>
  <si>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</si>
  <si>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</si>
  <si>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</si>
  <si>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</si>
  <si>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</si>
  <si>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</si>
  <si>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</si>
  <si>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</si>
  <si>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</si>
  <si>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</si>
  <si>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</si>
  <si>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</si>
  <si>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</si>
  <si>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</si>
  <si>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</si>
  <si>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</si>
  <si>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</si>
  <si>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</si>
  <si>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</si>
  <si>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</si>
  <si>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</si>
  <si>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</si>
  <si>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</si>
  <si>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</si>
  <si>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</si>
  <si>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</si>
  <si>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</si>
  <si>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</si>
  <si>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</si>
  <si>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</si>
  <si>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</si>
  <si>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</si>
  <si>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</si>
  <si>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</si>
  <si>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</si>
  <si>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</si>
  <si>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</si>
  <si>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</si>
  <si>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</si>
  <si>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</si>
  <si>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</si>
  <si>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</si>
  <si>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</si>
  <si>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</si>
  <si>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</si>
  <si>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</si>
  <si>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</si>
  <si>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</si>
  <si>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</si>
  <si>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</si>
  <si>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</si>
  <si>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</si>
  <si>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</si>
  <si>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</si>
  <si>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</si>
  <si>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</si>
  <si>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</si>
  <si>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</si>
  <si>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</si>
  <si>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</si>
  <si>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</si>
  <si>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</si>
  <si>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</si>
  <si>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</si>
  <si>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</si>
  <si>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</si>
  <si>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</si>
  <si>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</si>
  <si>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</si>
  <si>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</si>
  <si>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</si>
  <si>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</si>
  <si>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</si>
  <si>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</si>
  <si>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</si>
  <si>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</si>
  <si>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</si>
  <si>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</si>
  <si>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</si>
  <si>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</si>
  <si>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</si>
  <si>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</si>
  <si>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</si>
  <si>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</si>
  <si>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</si>
  <si>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</si>
  <si>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</si>
  <si>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</si>
  <si>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</si>
  <si>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</si>
  <si>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</si>
  <si>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</si>
  <si>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</si>
  <si>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</si>
  <si>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</si>
  <si>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</si>
  <si>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</si>
  <si>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</si>
  <si>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</si>
  <si>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</si>
  <si>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</si>
  <si>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</si>
  <si>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</si>
  <si>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</si>
  <si>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</si>
  <si>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</si>
  <si>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</si>
  <si>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</si>
  <si>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</si>
  <si>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</si>
  <si>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</si>
  <si>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</si>
  <si>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</si>
  <si>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</si>
  <si>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</si>
  <si>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</si>
  <si>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</si>
  <si>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</si>
  <si>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</si>
  <si>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</si>
  <si>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</si>
  <si>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</si>
  <si>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</si>
  <si>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</si>
  <si>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</si>
  <si>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</si>
  <si>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</si>
  <si>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</si>
  <si>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</si>
  <si>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</si>
  <si>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</si>
  <si>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</si>
  <si>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</si>
  <si>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</si>
  <si>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</si>
  <si>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</si>
  <si>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</si>
  <si>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</si>
  <si>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</si>
  <si>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</si>
  <si>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</si>
  <si>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</si>
  <si>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</si>
  <si>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</si>
  <si>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</si>
  <si>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</si>
  <si>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</si>
  <si>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</si>
  <si>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</si>
  <si>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</si>
  <si>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</si>
  <si>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</si>
  <si>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</si>
  <si>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</si>
  <si>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</si>
  <si>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</si>
  <si>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</si>
  <si>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</si>
  <si>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</si>
  <si>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</si>
  <si>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</si>
  <si>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</si>
  <si>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</si>
  <si>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</si>
  <si>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</si>
  <si>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</si>
  <si>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</si>
  <si>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</si>
  <si>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</si>
  <si>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</si>
  <si>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</si>
  <si>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</si>
  <si>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</si>
  <si>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</si>
  <si>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</si>
  <si>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</si>
  <si>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</si>
  <si>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</si>
  <si>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</si>
  <si>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</si>
  <si>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</si>
  <si>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</si>
  <si>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</si>
  <si>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</si>
  <si>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</si>
  <si>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</si>
  <si>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</si>
  <si>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</si>
  <si>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</si>
  <si>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</si>
  <si>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</si>
  <si>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</si>
  <si>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</si>
  <si>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</si>
  <si>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</si>
  <si>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</si>
  <si>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</si>
  <si>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</si>
  <si>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</si>
  <si>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</si>
  <si>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</si>
  <si>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</si>
  <si>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</si>
  <si>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</si>
  <si>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</si>
  <si>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</si>
  <si>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</si>
  <si>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</si>
  <si>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</si>
  <si>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</si>
  <si>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</si>
  <si>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</si>
  <si>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</si>
  <si>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</si>
  <si>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</si>
  <si>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</si>
  <si>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</si>
  <si>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</si>
  <si>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</si>
  <si>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</si>
  <si>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</si>
  <si>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</si>
  <si>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</si>
  <si>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</si>
  <si>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</si>
  <si>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</si>
  <si>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</si>
  <si>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</si>
  <si>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</si>
  <si>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</si>
  <si>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</si>
  <si>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</si>
  <si>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</si>
  <si>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</si>
  <si>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</si>
  <si>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</si>
  <si>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</si>
  <si>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</si>
  <si>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</si>
  <si>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</si>
  <si>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</si>
  <si>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</si>
  <si>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</si>
  <si>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</si>
  <si>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</si>
  <si>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</si>
  <si>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</si>
  <si>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</si>
  <si>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</si>
  <si>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</si>
  <si>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</si>
  <si>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</si>
  <si>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</si>
  <si>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</si>
  <si>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</si>
  <si>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</si>
  <si>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</si>
  <si>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</si>
  <si>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</si>
  <si>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</si>
  <si>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</si>
  <si>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</si>
  <si>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</si>
  <si>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</si>
  <si>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</si>
  <si>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</si>
  <si>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</si>
  <si>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</si>
  <si>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</si>
  <si>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</si>
  <si>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</si>
  <si>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</si>
  <si>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</si>
  <si>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</si>
  <si>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</si>
  <si>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</si>
  <si>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</si>
  <si>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</si>
  <si>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</si>
  <si>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</si>
  <si>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</si>
  <si>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</si>
  <si>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</si>
  <si>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</si>
  <si>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</si>
  <si>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</si>
  <si>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</si>
  <si>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</si>
  <si>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</si>
  <si>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</si>
  <si>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</si>
  <si>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</si>
  <si>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</si>
  <si>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</si>
  <si>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</si>
  <si>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</si>
  <si>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</si>
  <si>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</si>
  <si>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</si>
  <si>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</si>
  <si>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</si>
  <si>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</si>
  <si>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</si>
  <si>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</si>
  <si>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</si>
  <si>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</si>
  <si>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</si>
  <si>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</si>
  <si>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</si>
  <si>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</si>
  <si>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</si>
  <si>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</si>
  <si>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</si>
  <si>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</si>
  <si>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</si>
  <si>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</si>
  <si>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</si>
  <si>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</si>
  <si>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</si>
  <si>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</si>
  <si>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</si>
  <si>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</si>
  <si>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</si>
  <si>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</si>
  <si>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</si>
  <si>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</si>
  <si>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</si>
  <si>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</si>
  <si>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</si>
  <si>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</si>
  <si>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</si>
  <si>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</si>
  <si>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</si>
  <si>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</si>
  <si>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</si>
  <si>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</si>
  <si>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</si>
  <si>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</si>
  <si>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</si>
  <si>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</si>
  <si>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</si>
  <si>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</si>
  <si>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</si>
  <si>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</si>
  <si>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</si>
  <si>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</si>
  <si>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</si>
  <si>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</si>
  <si>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</si>
  <si>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</si>
  <si>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</si>
  <si>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</si>
  <si>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</si>
  <si>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</si>
  <si>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</si>
  <si>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</si>
  <si>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</si>
  <si>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</si>
  <si>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</si>
  <si>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</si>
  <si>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</si>
  <si>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</si>
  <si>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</si>
  <si>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</si>
  <si>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</si>
  <si>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</si>
  <si>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</si>
  <si>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</si>
  <si>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</si>
  <si>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</si>
  <si>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</si>
  <si>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</si>
  <si>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</si>
  <si>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</si>
  <si>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</si>
  <si>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</si>
  <si>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</si>
  <si>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</si>
  <si>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</si>
  <si>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</si>
  <si>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</si>
  <si>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</si>
  <si>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</si>
  <si>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</si>
  <si>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</si>
  <si>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</si>
  <si>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</si>
  <si>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</si>
  <si>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</si>
  <si>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</si>
  <si>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</si>
  <si>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</si>
  <si>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</si>
  <si>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</si>
  <si>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</si>
  <si>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</si>
  <si>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</si>
  <si>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</si>
  <si>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</si>
  <si>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</si>
  <si>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</si>
  <si>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</si>
  <si>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</si>
  <si>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</si>
  <si>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</si>
  <si>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</si>
  <si>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</si>
  <si>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</si>
  <si>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</si>
  <si>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</si>
  <si>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</si>
  <si>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</si>
  <si>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</si>
  <si>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</si>
  <si>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</si>
  <si>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</si>
  <si>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</si>
  <si>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</si>
  <si>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</si>
  <si>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</si>
  <si>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</si>
  <si>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</si>
  <si>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</si>
  <si>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</si>
  <si>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</si>
  <si>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</si>
  <si>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</si>
  <si>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</si>
  <si>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</si>
  <si>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</si>
  <si>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</si>
  <si>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</si>
  <si>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</si>
  <si>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</si>
  <si>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</si>
  <si>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</si>
  <si>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</si>
  <si>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</si>
  <si>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</si>
  <si>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</si>
  <si>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</si>
  <si>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</si>
  <si>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</si>
  <si>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</si>
  <si>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</si>
  <si>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</si>
  <si>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</si>
  <si>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</si>
  <si>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</si>
  <si>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</si>
  <si>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</si>
  <si>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</si>
  <si>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</si>
  <si>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</si>
  <si>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</si>
  <si>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</si>
  <si>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</si>
  <si>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</si>
  <si>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</si>
  <si>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</si>
  <si>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</si>
  <si>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</si>
  <si>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</si>
  <si>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</si>
  <si>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</si>
  <si>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</si>
  <si>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</si>
  <si>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</si>
  <si>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</si>
  <si>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</si>
  <si>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</si>
  <si>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</si>
  <si>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</si>
  <si>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</si>
  <si>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</si>
  <si>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</si>
  <si>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</si>
  <si>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</si>
  <si>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</si>
  <si>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</si>
  <si>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</si>
  <si>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</si>
  <si>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</si>
  <si>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</si>
  <si>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</si>
  <si>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</si>
  <si>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</si>
  <si>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</si>
  <si>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</si>
  <si>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</si>
  <si>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</si>
  <si>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</si>
  <si>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</si>
  <si>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</si>
  <si>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</si>
  <si>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</si>
  <si>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</si>
  <si>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</si>
  <si>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</si>
  <si>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</si>
  <si>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</si>
  <si>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</si>
  <si>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</si>
  <si>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</si>
  <si>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</si>
  <si>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</si>
  <si>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</si>
  <si>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</si>
  <si>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</si>
  <si>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</si>
  <si>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</si>
  <si>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</si>
  <si>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</si>
  <si>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</si>
  <si>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</si>
  <si>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</si>
  <si>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</si>
  <si>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</si>
  <si>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</si>
  <si>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</si>
  <si>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</si>
  <si>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</si>
  <si>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</si>
  <si>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</si>
  <si>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</si>
  <si>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</si>
  <si>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</si>
  <si>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</si>
  <si>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</si>
  <si>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</si>
  <si>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</si>
  <si>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</si>
  <si>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</si>
  <si>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</si>
  <si>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</si>
  <si>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</si>
  <si>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</si>
  <si>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</si>
  <si>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</si>
  <si>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</si>
  <si>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</si>
  <si>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</si>
  <si>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</si>
  <si>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</si>
  <si>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</si>
  <si>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</si>
  <si>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</si>
  <si>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</si>
  <si>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</si>
  <si>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</si>
  <si>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</si>
  <si>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</si>
  <si>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</si>
  <si>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</si>
  <si>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</si>
  <si>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</si>
  <si>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</si>
  <si>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</si>
  <si>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</si>
  <si>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</si>
  <si>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</si>
  <si>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</si>
  <si>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</si>
  <si>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</si>
  <si>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</si>
  <si>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</si>
  <si>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</si>
  <si>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</si>
  <si>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</si>
  <si>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</si>
  <si>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</si>
  <si>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</si>
  <si>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</si>
  <si>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</si>
  <si>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</si>
  <si>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</si>
  <si>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</si>
  <si>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</si>
  <si>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</si>
  <si>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</si>
  <si>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</si>
  <si>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</si>
  <si>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</si>
  <si>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</si>
  <si>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</si>
  <si>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</si>
  <si>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</si>
  <si>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</si>
  <si>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</si>
  <si>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</si>
  <si>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</si>
  <si>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</si>
  <si>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</si>
  <si>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</si>
  <si>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</si>
  <si>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</si>
  <si>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</si>
  <si>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</si>
  <si>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</si>
  <si>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</si>
  <si>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</si>
  <si>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</si>
  <si>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</si>
  <si>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</si>
  <si>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</si>
  <si>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</si>
  <si>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</si>
  <si>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</si>
  <si>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</si>
  <si>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</si>
  <si>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</si>
  <si>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</si>
  <si>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</si>
  <si>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</si>
  <si>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</si>
  <si>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</si>
  <si>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</si>
  <si>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</si>
  <si>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</si>
  <si>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</si>
  <si>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</si>
  <si>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</si>
  <si>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</si>
  <si>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</si>
  <si>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</si>
  <si>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</si>
  <si>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</si>
  <si>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</si>
  <si>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</si>
  <si>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</si>
  <si>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</si>
  <si>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</si>
  <si>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</si>
  <si>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</si>
  <si>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</si>
  <si>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</si>
  <si>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</si>
  <si>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</si>
  <si>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</si>
  <si>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</si>
  <si>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</si>
  <si>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</si>
  <si>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</si>
  <si>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</si>
  <si>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</si>
  <si>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</si>
  <si>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</si>
  <si>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</si>
  <si>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</si>
  <si>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</si>
  <si>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</si>
  <si>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</si>
  <si>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</si>
  <si>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</si>
  <si>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</si>
  <si>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</si>
  <si>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</si>
  <si>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</si>
  <si>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</si>
  <si>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</si>
  <si>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</si>
  <si>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</si>
  <si>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</si>
  <si>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</si>
  <si>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</si>
  <si>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</si>
  <si>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</si>
  <si>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</si>
  <si>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</si>
  <si>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</si>
  <si>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</si>
  <si>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</si>
  <si>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</si>
  <si>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</si>
  <si>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</si>
  <si>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</si>
  <si>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</si>
  <si>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</si>
  <si>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</si>
  <si>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</si>
  <si>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</si>
  <si>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</si>
  <si>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</si>
  <si>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</si>
  <si>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</si>
  <si>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</si>
  <si>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</si>
  <si>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</si>
  <si>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</si>
  <si>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</si>
  <si>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</si>
  <si>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</si>
  <si>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</si>
  <si>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</si>
  <si>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</si>
  <si>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</si>
  <si>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</si>
  <si>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</si>
  <si>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</si>
  <si>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</si>
  <si>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</si>
  <si>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</si>
  <si>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</si>
  <si>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</si>
  <si>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</si>
  <si>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</si>
  <si>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</si>
  <si>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</si>
  <si>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</si>
  <si>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</si>
  <si>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</si>
  <si>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</si>
  <si>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</si>
  <si>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</si>
  <si>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</si>
  <si>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</si>
  <si>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</si>
  <si>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</si>
  <si>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</si>
  <si>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</si>
  <si>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</si>
  <si>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</si>
  <si>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</si>
  <si>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</si>
  <si>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</si>
  <si>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</si>
  <si>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</si>
  <si>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</si>
  <si>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</si>
  <si>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</si>
  <si>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</si>
  <si>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</si>
  <si>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</si>
  <si>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</si>
  <si>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</si>
  <si>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</si>
  <si>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</si>
  <si>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</si>
  <si>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</si>
  <si>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</si>
  <si>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</si>
  <si>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</si>
  <si>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</si>
  <si>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</si>
  <si>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</si>
  <si>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</si>
  <si>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</si>
  <si>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</si>
  <si>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</si>
  <si>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</si>
  <si>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</si>
  <si>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</si>
  <si>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</si>
  <si>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</si>
  <si>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</si>
  <si>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</si>
  <si>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</si>
  <si>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</si>
  <si>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</si>
  <si>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</si>
  <si>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</si>
  <si>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</si>
  <si>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</si>
  <si>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</si>
  <si>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</si>
  <si>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</si>
  <si>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</si>
  <si>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</si>
  <si>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</si>
  <si>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</si>
  <si>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</si>
  <si>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</si>
  <si>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</si>
  <si>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</si>
  <si>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</si>
  <si>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</si>
  <si>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</si>
  <si>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</si>
  <si>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</si>
  <si>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</si>
  <si>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</si>
  <si>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</si>
  <si>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</si>
  <si>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</si>
  <si>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</si>
  <si>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</si>
  <si>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</si>
  <si>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</si>
  <si>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</si>
  <si>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</si>
  <si>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</si>
  <si>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</si>
  <si>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</si>
  <si>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</si>
  <si>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</si>
  <si>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</si>
  <si>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</si>
  <si>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</si>
  <si>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</si>
  <si>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</si>
  <si>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</si>
  <si>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</si>
  <si>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</si>
  <si>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</si>
  <si>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</si>
  <si>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</si>
  <si>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</si>
  <si>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</si>
  <si>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</si>
  <si>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</si>
  <si>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</si>
  <si>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</si>
  <si>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</si>
  <si>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</si>
  <si>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</si>
  <si>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</si>
  <si>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</si>
  <si>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</si>
  <si>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</si>
  <si>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</si>
  <si>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</si>
  <si>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</si>
  <si>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</si>
  <si>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</si>
  <si>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</si>
  <si>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</si>
  <si>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</si>
  <si>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</si>
  <si>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</si>
  <si>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</si>
  <si>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</si>
  <si>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</si>
  <si>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</si>
  <si>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</si>
  <si>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</si>
  <si>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</si>
  <si>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</si>
  <si>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</si>
  <si>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</si>
  <si>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</si>
  <si>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</si>
  <si>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</si>
  <si>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</si>
  <si>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</si>
  <si>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</si>
  <si>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</si>
  <si>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</si>
  <si>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</si>
  <si>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</si>
  <si>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</si>
  <si>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</si>
  <si>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</si>
  <si>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</si>
  <si>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</si>
  <si>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</si>
  <si>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</si>
  <si>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</si>
  <si>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</si>
  <si>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</si>
  <si>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</si>
  <si>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</si>
  <si>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</si>
  <si>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</si>
  <si>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</si>
  <si>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</si>
  <si>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</si>
  <si>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</si>
  <si>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</si>
  <si>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</si>
  <si>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</si>
  <si>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</si>
  <si>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</si>
  <si>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</si>
  <si>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</si>
  <si>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</si>
  <si>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</si>
  <si>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</si>
  <si>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</si>
  <si>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</si>
  <si>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</si>
  <si>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</si>
  <si>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</si>
  <si>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</si>
  <si>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</si>
  <si>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</si>
  <si>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</si>
  <si>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</si>
  <si>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</si>
  <si>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</si>
  <si>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</si>
  <si>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</si>
  <si>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</si>
  <si>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</si>
  <si>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</si>
  <si>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</si>
  <si>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</si>
  <si>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</si>
  <si>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</si>
  <si>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</si>
  <si>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</si>
  <si>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</si>
  <si>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</si>
  <si>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</si>
  <si>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</si>
  <si>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</si>
  <si>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</si>
  <si>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</si>
  <si>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</si>
  <si>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</si>
  <si>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</si>
  <si>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</si>
  <si>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</si>
  <si>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</si>
  <si>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</si>
  <si>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</si>
  <si>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</si>
  <si>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</si>
  <si>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</si>
  <si>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</si>
  <si>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</si>
  <si>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</si>
  <si>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</si>
  <si>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</si>
  <si>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</si>
  <si>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</si>
  <si>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</si>
  <si>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</si>
  <si>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</si>
  <si>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</si>
  <si>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</si>
  <si>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</si>
  <si>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</si>
  <si>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</si>
  <si>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</si>
  <si>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</si>
  <si>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</si>
  <si>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</si>
  <si>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</si>
  <si>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</si>
  <si>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</si>
  <si>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</si>
  <si>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</si>
  <si>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</si>
  <si>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</si>
  <si>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</si>
  <si>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</si>
  <si>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系数</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</si>
  <si>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</si>
  <si>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</si>
  <si>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</si>
  <si>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</si>
  <si>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</si>
  <si>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</si>
  <si>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</si>
  <si>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</si>
  <si>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</si>
  <si>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</si>
  <si>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</si>
  <si>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</si>
  <si>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</si>
  <si>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</si>
  <si>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</si>
  <si>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</si>
  <si>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</si>
  <si>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</si>
  <si>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</si>
  <si>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</si>
  <si>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</si>
  <si>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</si>
  <si>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</si>
  <si>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</si>
  <si>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石景山区古城西路66号院1号楼1至2层103</t>
    <phoneticPr fontId="6" type="noConversion"/>
  </si>
  <si>
    <t>103-1层</t>
  </si>
  <si>
    <t>103-1层</t>
    <phoneticPr fontId="7" type="noConversion"/>
  </si>
  <si>
    <t>103-2层</t>
  </si>
  <si>
    <t>103-2层</t>
    <phoneticPr fontId="7" type="noConversion"/>
  </si>
  <si>
    <t>收益法 (元)1层</t>
  </si>
  <si>
    <t>收益法 (元)1层</t>
    <phoneticPr fontId="16" type="noConversion"/>
  </si>
  <si>
    <t>收益法2层</t>
  </si>
  <si>
    <t>收益法2层</t>
    <phoneticPr fontId="16" type="noConversion"/>
  </si>
  <si>
    <t>收益法（汇总）</t>
  </si>
  <si>
    <t>需扣减承租人权益</t>
  </si>
  <si>
    <t>绿色为估价对象</t>
    <phoneticPr fontId="134" type="noConversion"/>
  </si>
  <si>
    <r>
      <t>1</t>
    </r>
    <r>
      <rPr>
        <sz val="11"/>
        <color theme="1"/>
        <rFont val="宋体"/>
        <family val="3"/>
        <charset val="134"/>
        <scheme val="minor"/>
      </rPr>
      <t>03租金1层</t>
    </r>
    <phoneticPr fontId="134" type="noConversion"/>
  </si>
  <si>
    <t>103租金2层</t>
    <phoneticPr fontId="134"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</si>
  <si>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</si>
  <si>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</si>
  <si>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</si>
  <si>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35-45%(</t>
    </r>
    <r>
      <rPr>
        <sz val="11"/>
        <color indexed="10"/>
        <rFont val="宋体"/>
        <family val="3"/>
        <charset val="134"/>
      </rPr>
      <t>含）</t>
    </r>
    <phoneticPr fontId="3" type="noConversion"/>
  </si>
  <si>
    <r>
      <t>45-55%(</t>
    </r>
    <r>
      <rPr>
        <sz val="11"/>
        <color indexed="8"/>
        <rFont val="宋体"/>
        <family val="3"/>
        <charset val="134"/>
      </rPr>
      <t>含）</t>
    </r>
    <phoneticPr fontId="3" type="noConversion"/>
  </si>
  <si>
    <r>
      <t>1</t>
    </r>
    <r>
      <rPr>
        <sz val="11"/>
        <color theme="1"/>
        <rFont val="宋体"/>
        <family val="3"/>
        <charset val="134"/>
        <scheme val="minor"/>
      </rPr>
      <t>03-01</t>
    </r>
    <phoneticPr fontId="134" type="noConversion"/>
  </si>
  <si>
    <t>汇聚堂大药房</t>
    <phoneticPr fontId="134" type="noConversion"/>
  </si>
  <si>
    <r>
      <t>1</t>
    </r>
    <r>
      <rPr>
        <sz val="11"/>
        <color theme="1"/>
        <rFont val="宋体"/>
        <family val="3"/>
        <charset val="134"/>
        <scheme val="minor"/>
      </rPr>
      <t>03-02</t>
    </r>
    <phoneticPr fontId="134" type="noConversion"/>
  </si>
  <si>
    <t>稻香村</t>
    <phoneticPr fontId="134" type="noConversion"/>
  </si>
  <si>
    <t>102-02</t>
    <phoneticPr fontId="134" type="noConversion"/>
  </si>
  <si>
    <t>1层楼梯间、103号1层分割出的2层、103号房本2层</t>
    <phoneticPr fontId="134" type="noConversion"/>
  </si>
  <si>
    <t>约3米</t>
    <phoneticPr fontId="134" type="noConversion"/>
  </si>
  <si>
    <t>空置</t>
    <phoneticPr fontId="134" type="noConversion"/>
  </si>
  <si>
    <t>离小区出入口</t>
    <phoneticPr fontId="134" type="noConversion"/>
  </si>
  <si>
    <t>远</t>
    <phoneticPr fontId="134" type="noConversion"/>
  </si>
  <si>
    <t>近</t>
    <phoneticPr fontId="134" type="noConversion"/>
  </si>
  <si>
    <t>离小区出入口</t>
    <phoneticPr fontId="3" type="noConversion"/>
  </si>
  <si>
    <t>远</t>
    <phoneticPr fontId="30" type="noConversion"/>
  </si>
  <si>
    <t>临街</t>
    <phoneticPr fontId="3" type="noConversion"/>
  </si>
  <si>
    <t>临街</t>
  </si>
  <si>
    <t>近</t>
    <phoneticPr fontId="3" type="noConversion"/>
  </si>
  <si>
    <t>一般</t>
    <phoneticPr fontId="3" type="noConversion"/>
  </si>
  <si>
    <t>远</t>
    <phoneticPr fontId="3" type="noConversion"/>
  </si>
  <si>
    <t>押二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</si>
</sst>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2"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77" fillId="7" borderId="5" xfId="0" applyFont="1" applyFill="1" applyBorder="1" applyAlignment="1" applyProtection="1">
      <alignment vertical="center" wrapText="1"/>
      <protection locked="0"/>
    </xf>
    <xf numFmtId="0" fontId="272"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49" fontId="222" fillId="12" borderId="4" xfId="0" applyNumberFormat="1" applyFont="1" applyFill="1" applyBorder="1" applyAlignment="1" applyProtection="1">
      <alignment horizontal="left" vertical="center"/>
      <protection locked="0"/>
    </xf>
    <xf numFmtId="14" fontId="0" fillId="16" borderId="0" xfId="0" applyNumberFormat="1" applyFill="1" applyAlignment="1"/>
    <xf numFmtId="0" fontId="0" fillId="16" borderId="0" xfId="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Fill="1">
      <alignment vertical="center"/>
    </xf>
    <xf numFmtId="0" fontId="95" fillId="16" borderId="0" xfId="0" applyFont="1" applyFill="1" applyAlignment="1"/>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北京市石景山区古城西路66号院1号楼1至2层103房地产抵押价值预评估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受贵公司委托，我公司对北京市石景山区古城西路66号院1号楼1至2层103房地产抵押价值进行了预评估。</v>
      </c>
    </row>
    <row r="7" spans="1:2">
      <c r="A7" s="1117" t="s">
        <v>566</v>
      </c>
      <c r="B7" s="1118" t="str">
        <f>'预评函-1'!A7</f>
        <v>估价对象为北京市石景山区古城西路66号院1号楼1至2层103房地产，为北京汉森瑞博商业管理有限公司所有。根据《国有土地使用证》[]，估价对象（分摊）出让国有建设用地使用权面积为0平方米，建筑面积为242.22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66号院1号楼1至2层103房地产,属北京汉森瑞博商业管理有限公司开发建设的商业项目，该项目尚在开发建设中。根据《国有土地使用证》[]，估价对象（分摊）出让国有建设用地使用权面积为0平方米，规划建筑面积为242.22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2025年5月22日（评估专业人员实地查勘之日）</v>
      </c>
    </row>
    <row r="13" spans="1:2">
      <c r="A13" s="1117" t="s">
        <v>529</v>
      </c>
      <c r="B13" s="1118"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803</v>
      </c>
    </row>
    <row r="21" spans="1:2">
      <c r="A21" s="1117" t="s">
        <v>537</v>
      </c>
      <c r="B21" s="1118">
        <f ca="1">'预评函-2'!D7</f>
        <v>33133</v>
      </c>
    </row>
    <row r="22" spans="1:2">
      <c r="A22" s="1117" t="s">
        <v>538</v>
      </c>
      <c r="B22" s="1118" t="str">
        <f ca="1">'预评函-2'!D6</f>
        <v>捌佰零叁万元整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803</v>
      </c>
    </row>
    <row r="31" spans="1:2">
      <c r="A31" s="1117" t="s">
        <v>576</v>
      </c>
      <c r="B31" s="1118">
        <f ca="1">'预评函-2'!D15</f>
        <v>33133</v>
      </c>
    </row>
    <row r="32" spans="1:2">
      <c r="A32" s="1117" t="s">
        <v>543</v>
      </c>
      <c r="B32" s="1118" t="str">
        <f ca="1">'预评函-2'!D14</f>
        <v>捌佰零叁万元整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北京市石景山区古城西路66号院1号楼1至2层103房地产</v>
      </c>
    </row>
    <row r="42" spans="1:2" ht="31.2">
      <c r="A42" s="1117" t="s">
        <v>590</v>
      </c>
      <c r="B42" s="1118" t="str">
        <f>'预评函-3'!B2</f>
        <v>建筑面积</v>
      </c>
    </row>
    <row r="43" spans="1:2">
      <c r="A43" s="1117" t="s">
        <v>591</v>
      </c>
      <c r="B43" s="1118">
        <f>'预评函-3'!B4</f>
        <v>242.22</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0" sqref="E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3662</v>
      </c>
      <c r="C19" s="1440"/>
    </row>
    <row r="20" spans="1:3">
      <c r="A20" s="1439" t="s">
        <v>1048</v>
      </c>
      <c r="B20" s="1439" t="s">
        <v>3664</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45" t="s">
        <v>385</v>
      </c>
      <c r="C54" s="1443" t="s">
        <v>583</v>
      </c>
    </row>
    <row r="55" spans="1:4">
      <c r="A55" s="3242"/>
      <c r="B55" s="1445" t="s">
        <v>386</v>
      </c>
      <c r="C55" s="1443" t="s">
        <v>584</v>
      </c>
    </row>
    <row r="56" spans="1:4">
      <c r="A56" s="3242"/>
      <c r="B56" s="1445" t="s">
        <v>387</v>
      </c>
      <c r="C56" s="1443" t="s">
        <v>588</v>
      </c>
    </row>
    <row r="57" spans="1:4">
      <c r="A57" s="324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3" t="s">
        <v>2575</v>
      </c>
      <c r="J2" s="3243"/>
      <c r="K2" s="3243"/>
      <c r="L2" s="3243"/>
      <c r="M2" s="3243"/>
      <c r="N2" s="3243"/>
      <c r="O2" s="3243"/>
      <c r="P2" s="3243"/>
      <c r="Q2" s="3243"/>
      <c r="R2" s="3243"/>
    </row>
    <row r="3" spans="1:18">
      <c r="A3" s="2758" t="s">
        <v>2496</v>
      </c>
      <c r="B3" s="2759">
        <f>项目基本情况!D3</f>
        <v>45799</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1.57</v>
      </c>
      <c r="D5" s="2763">
        <f>IF(ISERROR(ROUND(POWER(1+E5,A5-C5)*(POWER(1+E5,C5)-1)/(POWER(1+E5,A5)-1),3)),0,ROUND(POWER(1+E5,A5-C5)*(POWER(1+E5,C5)-1)/(POWER(1+E5,A5)-1),4))</f>
        <v>7.5399999999999995E-2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11.58</v>
      </c>
      <c r="D6" s="2763">
        <f>IF(ISERROR(ROUND(POWER(1+E6,A6-C6)*(POWER(1+E6,C6)-1)/(POWER(1+E6,A6)-1),3)),0,ROUND(POWER(1+E6,A6-C6)*(POWER(1+E6,C6)-1)/(POWER(1+E6,A6)-1),4))</f>
        <v>0.42480000000000001</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v>
      </c>
      <c r="D7" s="2763">
        <f>IF(ISERROR(ROUND(POWER(1+E7,A7-C7)*(POWER(1+E7,C7)-1)/(POWER(1+E7,A7)-1),3)),0,ROUND(POWER(1+E7,A7-C7)*(POWER(1+E7,C7)-1)/(POWER(1+E7,A7)-1),4))</f>
        <v>0.75919999999999999</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44" t="str">
        <f>IF(B10="北京市","北京市",C10)&amp;F10&amp;IF(结果表!G1="在建","出让国有建设用地使用权及在建建筑物",IF(结果表!G1="土地","出让国有建设用地使用权",))&amp;B9&amp;"预评估"</f>
        <v>北京市石景山区古城西路66号院1号楼1至2层103房地产抵押价值预评估</v>
      </c>
      <c r="C1" s="3245"/>
      <c r="D1" s="3245"/>
      <c r="E1" s="3245"/>
      <c r="F1" s="3245"/>
      <c r="G1" s="3245"/>
      <c r="H1" s="3245"/>
      <c r="I1" s="3246"/>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北京市石景山区古城西路66号院1号楼1至2层103房地产抵押价值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北京市石景山区古城西路66号院1号楼1至2层103房地产</v>
      </c>
      <c r="T2" s="1616"/>
      <c r="U2" s="1616"/>
      <c r="V2" s="1616"/>
      <c r="W2" s="1616"/>
      <c r="X2" s="1616"/>
      <c r="Y2" s="1616"/>
      <c r="Z2" s="1616"/>
      <c r="AA2" s="1616"/>
      <c r="AB2" s="1616"/>
    </row>
    <row r="3" spans="1:30">
      <c r="A3" s="294" t="s">
        <v>2165</v>
      </c>
      <c r="B3" s="2182">
        <v>45799</v>
      </c>
      <c r="C3" s="2183" t="s">
        <v>2166</v>
      </c>
      <c r="D3" s="2182">
        <f>B3</f>
        <v>45799</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2" t="s">
        <v>3614</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47"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48"/>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99" t="s">
        <v>3656</v>
      </c>
      <c r="G10" s="2440"/>
      <c r="H10" s="2441"/>
      <c r="I10" s="2442"/>
      <c r="J10" s="2241"/>
      <c r="K10" s="2398"/>
      <c r="L10" s="2395"/>
      <c r="M10" s="2395"/>
      <c r="N10" s="2241"/>
      <c r="O10" s="1668"/>
      <c r="P10" s="2241"/>
      <c r="Q10" s="2241"/>
      <c r="R10" s="2241"/>
    </row>
    <row r="11" spans="1:30" ht="25.95" customHeight="1">
      <c r="A11" s="2208" t="s">
        <v>2176</v>
      </c>
      <c r="B11" s="2209" t="s">
        <v>3411</v>
      </c>
      <c r="C11" s="2210" t="str">
        <f>信息!B4</f>
        <v>北京汉森瑞博商业管理有限公司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信息!J4</f>
        <v>55459</v>
      </c>
      <c r="E13" s="3164" t="s">
        <v>3441</v>
      </c>
      <c r="F13" s="803">
        <f>租约!H6</f>
        <v>47589</v>
      </c>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26.46</v>
      </c>
      <c r="E15" s="2217" t="e">
        <f>IF(A13="出让",IF(E13="","",ROUNDDOWN(MIN((E13-$D$3)/365,E14),2)),E14)</f>
        <v>#VALUE!</v>
      </c>
      <c r="F15" s="2217">
        <f>IF(A13="出让",IF(F13="","",ROUNDDOWN(MIN((F13-$D$3)/365,F14),2)),F14)</f>
        <v>4.9000000000000004</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54"/>
      <c r="C16" s="3255"/>
      <c r="D16" s="3256"/>
      <c r="E16" s="2218" t="s">
        <v>2189</v>
      </c>
      <c r="F16" s="3257"/>
      <c r="G16" s="3258"/>
      <c r="H16" s="3258"/>
      <c r="I16" s="3259"/>
      <c r="J16" s="2241"/>
      <c r="K16" s="2399"/>
      <c r="L16" s="1668"/>
      <c r="M16" s="1668"/>
      <c r="N16" s="2241"/>
      <c r="O16" s="1668"/>
      <c r="P16" s="2241"/>
      <c r="Q16" s="2241"/>
      <c r="R16" s="2241"/>
    </row>
    <row r="17" spans="1:28">
      <c r="A17" s="305" t="s">
        <v>2190</v>
      </c>
      <c r="B17" s="294" t="s">
        <v>2191</v>
      </c>
      <c r="C17" s="8">
        <f>'数据-汇总表'!E3</f>
        <v>242.22</v>
      </c>
      <c r="D17" s="1254" t="s">
        <v>2192</v>
      </c>
      <c r="E17" s="3260" t="s">
        <v>2193</v>
      </c>
      <c r="F17" s="3261"/>
      <c r="G17" s="3261"/>
      <c r="H17" s="3261"/>
      <c r="I17" s="3262"/>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63" t="s">
        <v>2197</v>
      </c>
      <c r="F18" s="3264"/>
      <c r="G18" s="3264"/>
      <c r="H18" s="3264"/>
      <c r="I18" s="3265"/>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0" t="s">
        <v>2201</v>
      </c>
      <c r="C20" s="3251"/>
      <c r="D20" s="3252" t="s">
        <v>2202</v>
      </c>
      <c r="E20" s="3253"/>
      <c r="F20" s="2426" t="s">
        <v>1056</v>
      </c>
      <c r="G20" s="2438"/>
      <c r="H20" s="2438"/>
      <c r="I20" s="2438"/>
      <c r="J20" s="2241"/>
      <c r="K20" s="3249"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67"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67"/>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67"/>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68"/>
      <c r="B30" s="294" t="s">
        <v>2213</v>
      </c>
      <c r="C30" s="3269"/>
      <c r="D30" s="3270"/>
      <c r="E30" s="2438"/>
      <c r="F30" s="2438"/>
      <c r="G30" s="2438"/>
      <c r="H30" s="2438"/>
      <c r="I30" s="2438"/>
      <c r="J30" s="2241"/>
      <c r="K30" s="2398"/>
      <c r="L30" s="2395"/>
      <c r="M30" s="2395"/>
      <c r="N30" s="2241"/>
      <c r="O30" s="1668"/>
      <c r="P30" s="2241"/>
      <c r="Q30" s="2241"/>
      <c r="R30" s="2241"/>
      <c r="S30" s="2241"/>
      <c r="T30" s="2241"/>
      <c r="U30" s="2241"/>
      <c r="V30" s="2241"/>
    </row>
    <row r="31" spans="1:28">
      <c r="A31" s="3271"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72"/>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72"/>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66" t="s">
        <v>2223</v>
      </c>
      <c r="T34" s="315" t="str">
        <f>NUMBERSTRING(7-K34,1)&amp;"通"</f>
        <v>七通</v>
      </c>
      <c r="U34" s="2241"/>
      <c r="V34" s="2241"/>
    </row>
    <row r="35" spans="1:30">
      <c r="A35" s="2232"/>
      <c r="B35" s="3266" t="s">
        <v>2224</v>
      </c>
      <c r="C35" s="3266"/>
      <c r="D35" s="3266"/>
      <c r="E35" s="3266"/>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6"/>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242.22</v>
      </c>
      <c r="BA5" s="15">
        <f t="shared" si="1"/>
        <v>242.22</v>
      </c>
      <c r="BB5" s="15">
        <f t="shared" si="1"/>
        <v>242.22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3600</v>
      </c>
      <c r="C13" s="628">
        <f>信息!$E$2</f>
        <v>102</v>
      </c>
      <c r="D13" s="1511"/>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3601</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3602</v>
      </c>
      <c r="C15" s="1460">
        <v>103</v>
      </c>
      <c r="D15" s="1511" t="s">
        <v>3432</v>
      </c>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242.22</v>
      </c>
      <c r="BA15" s="13">
        <f>SUM(BB15:BK15)</f>
        <v>242.22</v>
      </c>
      <c r="BB15" s="13">
        <f>IF($D15="是",I15-J15,0)</f>
        <v>242.22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2" t="s">
        <v>1131</v>
      </c>
      <c r="B2" s="3282"/>
      <c r="C2" s="3282"/>
      <c r="D2" s="748" t="s">
        <v>1107</v>
      </c>
      <c r="E2" s="1521" t="s">
        <v>1108</v>
      </c>
      <c r="F2" s="2435"/>
      <c r="G2" s="2428"/>
      <c r="H2" s="2429"/>
      <c r="I2" s="2143" t="s">
        <v>1132</v>
      </c>
      <c r="J2" s="2435"/>
      <c r="K2" s="2435"/>
      <c r="L2" s="2435"/>
      <c r="M2" s="2435"/>
      <c r="N2" s="2436"/>
      <c r="O2" s="2435"/>
      <c r="P2" s="2435"/>
    </row>
    <row r="3" spans="1:16" ht="15" thickBot="1">
      <c r="A3" s="3283" t="s">
        <v>1105</v>
      </c>
      <c r="B3" s="3283"/>
      <c r="C3" s="3283"/>
      <c r="D3" s="41">
        <f>'数据-基础表'!AY6</f>
        <v>0</v>
      </c>
      <c r="E3" s="41">
        <f>'数据-基础表'!AZ5</f>
        <v>242.22</v>
      </c>
      <c r="F3" s="2435"/>
      <c r="G3" s="42"/>
      <c r="H3" s="43" t="s">
        <v>1106</v>
      </c>
      <c r="I3" s="802" t="e">
        <f>ROUND('数据-基础表'!B3/'数据-基础表'!A3,2)</f>
        <v>#DIV/0!</v>
      </c>
      <c r="J3" s="2435"/>
      <c r="K3" s="2435"/>
      <c r="L3" s="2435"/>
      <c r="M3" s="2435"/>
      <c r="N3" s="2436"/>
      <c r="O3" s="2435"/>
      <c r="P3" s="2435"/>
    </row>
    <row r="4" spans="1:16" ht="14.4">
      <c r="A4" s="3284"/>
      <c r="B4" s="3285"/>
      <c r="C4" s="3286"/>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87" t="s">
        <v>1110</v>
      </c>
      <c r="C5" s="3287"/>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87" t="s">
        <v>1111</v>
      </c>
      <c r="C6" s="3287"/>
      <c r="D6" s="43">
        <f>ROUND($D$3*E6/$E$3,2)</f>
        <v>0</v>
      </c>
      <c r="E6" s="44">
        <f>E3-E5</f>
        <v>242.22</v>
      </c>
      <c r="F6" s="2435"/>
      <c r="G6" s="1527" t="s">
        <v>1112</v>
      </c>
      <c r="H6" s="45" t="s">
        <v>1113</v>
      </c>
      <c r="I6" s="2431" t="e">
        <f>ROUND(F31/D31,2)</f>
        <v>#DIV/0!</v>
      </c>
      <c r="J6" s="2435"/>
      <c r="K6" s="2435"/>
      <c r="L6" s="2435"/>
      <c r="M6" s="2435"/>
      <c r="N6" s="2435"/>
      <c r="O6" s="2435"/>
      <c r="P6" s="2435"/>
    </row>
    <row r="7" spans="1:16" ht="15" thickBot="1">
      <c r="A7" s="3279"/>
      <c r="B7" s="3280"/>
      <c r="C7" s="3281"/>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242.22</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242.22</v>
      </c>
      <c r="F16" s="2435"/>
      <c r="G16" s="2435"/>
      <c r="H16" s="1529" t="s">
        <v>1135</v>
      </c>
      <c r="I16" s="1530"/>
      <c r="J16" s="1069"/>
      <c r="K16" s="3276" t="s">
        <v>1135</v>
      </c>
      <c r="L16" s="3277"/>
      <c r="M16" s="3277"/>
      <c r="N16" s="3277"/>
      <c r="O16" s="3277"/>
      <c r="P16" s="3278"/>
    </row>
    <row r="17" spans="1:19" ht="14.4">
      <c r="A17" s="1531" t="s">
        <v>1136</v>
      </c>
      <c r="B17" s="1532" t="s">
        <v>1137</v>
      </c>
      <c r="C17" s="1533" t="s">
        <v>1138</v>
      </c>
      <c r="D17" s="1534" t="s">
        <v>1126</v>
      </c>
      <c r="E17" s="1535" t="s">
        <v>1127</v>
      </c>
      <c r="F17" s="1536"/>
      <c r="G17" s="1537"/>
      <c r="H17" s="1538" t="s">
        <v>1139</v>
      </c>
      <c r="I17" s="1539" t="s">
        <v>1124</v>
      </c>
      <c r="J17" s="1069"/>
      <c r="K17" s="3273" t="s">
        <v>1140</v>
      </c>
      <c r="L17" s="3274"/>
      <c r="M17" s="3275"/>
      <c r="N17" s="3273" t="s">
        <v>1141</v>
      </c>
      <c r="O17" s="3274"/>
      <c r="P17" s="3275"/>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t="s">
        <v>3658</v>
      </c>
      <c r="D19" s="43">
        <f>ROUND($D$3*E19/$E$3,2)</f>
        <v>0</v>
      </c>
      <c r="E19" s="51">
        <f t="shared" ref="E19:E26" si="1">SUM(F19:G19)</f>
        <v>162</v>
      </c>
      <c r="F19" s="2553">
        <f>信息!G9</f>
        <v>162</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162</v>
      </c>
    </row>
    <row r="20" spans="1:19" ht="14.4">
      <c r="A20" s="1547"/>
      <c r="B20" s="45" t="s">
        <v>1153</v>
      </c>
      <c r="C20" s="3111" t="s">
        <v>3660</v>
      </c>
      <c r="D20" s="43">
        <f t="shared" ref="D20:D26" si="6">ROUND($D$3*E20/$E$3,2)</f>
        <v>0</v>
      </c>
      <c r="E20" s="51">
        <f t="shared" si="1"/>
        <v>80.22</v>
      </c>
      <c r="F20" s="2553">
        <f>信息!G10</f>
        <v>80.22</v>
      </c>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80.22</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242.22</v>
      </c>
      <c r="F27" s="1070">
        <f>IF(SUM(F19:F26)=E8,SUM(F19:F26),"地上面积有误")</f>
        <v>242.22</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242.22</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242.22</v>
      </c>
      <c r="F31" s="644">
        <f>F27+F30</f>
        <v>242.22</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103-1层</v>
      </c>
      <c r="B6" s="1585" t="str">
        <f>IF(A6=0,"","经营性")</f>
        <v>经营性</v>
      </c>
      <c r="C6" s="1586" t="s">
        <v>673</v>
      </c>
      <c r="D6" s="805">
        <f>SUMIF(项目基本情况!C$12:I$12,C6,项目基本情况!C$14:I$14)</f>
        <v>0</v>
      </c>
      <c r="E6" s="804">
        <f>IF(B6="","",SUMIF(项目基本情况!C$12:I$12,C6,项目基本情况!C$13:I$13))</f>
        <v>55459</v>
      </c>
      <c r="F6" s="61">
        <f>SUMIF(项目基本情况!C$12:I$12,C6,项目基本情况!C$15:I$15)</f>
        <v>26.46</v>
      </c>
      <c r="G6" s="62">
        <f>IF(ISERROR(ROUND(POWER(1+H6,D6-F6)*(POWER(1+H6,F6)-1)/(POWER(1+H6,D6)-1),3)),0,ROUND(POWER(1+H6,D6-F6)*(POWER(1+H6,F6)-1)/(POWER(1+H6,D6)-1),3))</f>
        <v>0</v>
      </c>
      <c r="H6" s="691">
        <v>0.05</v>
      </c>
      <c r="I6" s="691">
        <v>5.5E-2</v>
      </c>
      <c r="J6" s="63">
        <v>7.0000000000000007E-2</v>
      </c>
      <c r="K6" s="968">
        <f>SUMIF('数据-汇总表'!C$19:C$33,A6,'数据-汇总表'!E$19:E$33)</f>
        <v>162</v>
      </c>
      <c r="L6" s="692">
        <v>4000</v>
      </c>
      <c r="M6" s="64">
        <f t="shared" ref="M6:M14" si="0">ROUND(K6*L6/10000,0)</f>
        <v>65</v>
      </c>
      <c r="N6" s="690">
        <f>N21</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信息!O13</f>
        <v>5.99</v>
      </c>
      <c r="V6" s="67">
        <v>0</v>
      </c>
      <c r="W6" s="67">
        <v>0</v>
      </c>
      <c r="X6" s="977"/>
      <c r="Y6" s="68">
        <f>N6</f>
        <v>0.82</v>
      </c>
      <c r="Z6" s="69">
        <f>ROUND(信息!J17*(1+AA6)^AF6,2)</f>
        <v>8.26</v>
      </c>
      <c r="AA6" s="63">
        <v>0.02</v>
      </c>
      <c r="AB6" s="63">
        <v>0.2</v>
      </c>
      <c r="AC6" s="977"/>
      <c r="AD6" s="70">
        <f>ROUND(1-(1-0)*(2030-N18)/60,2)</f>
        <v>0.7</v>
      </c>
      <c r="AE6" s="978">
        <f ca="1">IF(AN6="",0,SUMIF(INDIRECT("'"&amp;AN6&amp;"'"&amp;"!E:E"),$AE$5,INDIRECT("'"&amp;AN6&amp;"'"&amp;"!F:F")))</f>
        <v>26.46</v>
      </c>
      <c r="AF6" s="74">
        <f>项目基本情况!F15</f>
        <v>4.9000000000000004</v>
      </c>
      <c r="AG6" s="130">
        <f ca="1">IF(AF6="",0,AE6-AF6)</f>
        <v>21.560000000000002</v>
      </c>
      <c r="AH6" s="71"/>
      <c r="AI6" s="73">
        <v>365</v>
      </c>
      <c r="AJ6" s="74"/>
      <c r="AK6" s="75">
        <v>5.0000000000000001E-3</v>
      </c>
      <c r="AL6" s="76">
        <v>1E-3</v>
      </c>
      <c r="AM6" s="77">
        <v>5.0000000000000001E-3</v>
      </c>
      <c r="AN6" s="1587" t="s">
        <v>3661</v>
      </c>
      <c r="AO6" s="50">
        <f ca="1">SUMIF(INDIRECT("'"&amp;AN6&amp;"'"&amp;"!A:A"),"总价",INDIRECT("'"&amp;AN6&amp;"'"&amp;"!B:B"))</f>
        <v>488.24059999999997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103-2层</v>
      </c>
      <c r="B7" s="1585" t="str">
        <f t="shared" ref="B7:B13" si="1">IF(A7=0,"","经营性")</f>
        <v>经营性</v>
      </c>
      <c r="C7" s="1586" t="s">
        <v>673</v>
      </c>
      <c r="D7" s="805">
        <f>SUMIF(项目基本情况!C$12:I$12,C7,项目基本情况!C$14:I$14)</f>
        <v>0</v>
      </c>
      <c r="E7" s="804">
        <f>IF(B7="","",SUMIF(项目基本情况!C$12:I$12,C7,项目基本情况!C$13:I$13))</f>
        <v>55459</v>
      </c>
      <c r="F7" s="61">
        <f>SUMIF(项目基本情况!C$12:I$12,C7,项目基本情况!C$15:I$15)</f>
        <v>26.46</v>
      </c>
      <c r="G7" s="62">
        <f t="shared" ref="G7:G11" si="2">IF(ISERROR(ROUND(POWER(1+H7,D7-F7)*(POWER(1+H7,F7)-1)/(POWER(1+H7,D7)-1),3)),0,ROUND(POWER(1+H7,D7-F7)*(POWER(1+H7,F7)-1)/(POWER(1+H7,D7)-1),3))</f>
        <v>0</v>
      </c>
      <c r="H7" s="691">
        <f>H6</f>
        <v>0.05</v>
      </c>
      <c r="I7" s="691">
        <f>I6</f>
        <v>5.5E-2</v>
      </c>
      <c r="J7" s="63">
        <f>J6</f>
        <v>7.0000000000000007E-2</v>
      </c>
      <c r="K7" s="968">
        <f>SUMIF('数据-汇总表'!C$19:C$33,A7,'数据-汇总表'!E$19:E$33)</f>
        <v>80.22</v>
      </c>
      <c r="L7" s="692">
        <f>L6</f>
        <v>4000</v>
      </c>
      <c r="M7" s="64">
        <f t="shared" si="0"/>
        <v>32</v>
      </c>
      <c r="N7" s="690">
        <f>N6</f>
        <v>0.82</v>
      </c>
      <c r="O7" s="64" t="str">
        <f t="shared" ref="O7:O14" si="3">IF($N$5="成新度","——",ROUND(M7*N7,0))</f>
        <v>——</v>
      </c>
      <c r="P7" s="65" t="str">
        <f t="shared" ref="P7:P14" si="4">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f>信息!J19</f>
        <v>6.03</v>
      </c>
      <c r="V7" s="67">
        <f>AA6</f>
        <v>0.02</v>
      </c>
      <c r="W7" s="67">
        <f>AB6</f>
        <v>0.2</v>
      </c>
      <c r="X7" s="977"/>
      <c r="Y7" s="68">
        <f>Y6</f>
        <v>0.82</v>
      </c>
      <c r="Z7" s="69"/>
      <c r="AA7" s="63"/>
      <c r="AB7" s="63"/>
      <c r="AC7" s="977"/>
      <c r="AD7" s="70"/>
      <c r="AE7" s="978">
        <f t="shared" ref="AE7:AE13" ca="1" si="6">IF(AN7="",0,SUMIF(INDIRECT("'"&amp;AN7&amp;"'"&amp;"!E:E"),$AE$5,INDIRECT("'"&amp;AN7&amp;"'"&amp;"!F:F")))</f>
        <v>26.46</v>
      </c>
      <c r="AF7" s="74"/>
      <c r="AG7" s="130">
        <f t="shared" ref="AG7:AG13" si="7">IF(AF7="",0,AE7-AF7)</f>
        <v>0</v>
      </c>
      <c r="AH7" s="71"/>
      <c r="AI7" s="73">
        <v>365</v>
      </c>
      <c r="AJ7" s="74"/>
      <c r="AK7" s="75">
        <f>AK6</f>
        <v>5.0000000000000001E-3</v>
      </c>
      <c r="AL7" s="76">
        <f>AL6</f>
        <v>1E-3</v>
      </c>
      <c r="AM7" s="77">
        <f>AM6</f>
        <v>5.0000000000000001E-3</v>
      </c>
      <c r="AN7" s="1587" t="s">
        <v>3663</v>
      </c>
      <c r="AO7" s="50">
        <f t="shared" ref="AO7:AO13" ca="1" si="8">SUMIF(INDIRECT("'"&amp;AN7&amp;"'"&amp;"!A:A"),"总价",INDIRECT("'"&amp;AN7&amp;"'"&amp;"!B:B"))</f>
        <v>195.61420000000001</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242.22</v>
      </c>
      <c r="L16" s="87">
        <f>ROUND(M16*10000/SUM(K6:K14),0)</f>
        <v>4005</v>
      </c>
      <c r="M16" s="87">
        <f>SUM(M6:M14)</f>
        <v>97</v>
      </c>
      <c r="N16" s="88">
        <f>ROUND(SUMPRODUCT(M6:M14,N6:N14)/M16,3)</f>
        <v>0.82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3" t="s">
        <v>3439</v>
      </c>
      <c r="N18" s="2444">
        <v>2012</v>
      </c>
      <c r="O18" s="3163"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3" t="s">
        <v>3442</v>
      </c>
      <c r="N19" s="2444">
        <f>ROUND(1-(1-0)*(2025-N18)/60,2)</f>
        <v>0.78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3" t="s">
        <v>3562</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3" t="s">
        <v>3563</v>
      </c>
      <c r="N21" s="2444">
        <f>ROUND((N19+N20)/2,2)</f>
        <v>0.82</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2"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88" t="s">
        <v>2281</v>
      </c>
      <c r="B1" s="3289"/>
      <c r="C1" s="3289"/>
      <c r="D1" s="3289"/>
      <c r="E1" s="3289"/>
      <c r="F1" s="3289"/>
      <c r="G1" s="328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3" zoomScale="80" zoomScaleNormal="80" zoomScaleSheetLayoutView="80" workbookViewId="0">
      <selection activeCell="I22" sqref="I22"/>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242.22</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45799</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803</v>
      </c>
      <c r="C5" s="2296">
        <f ca="1">IF(B5=D14,结果表!H102,ROUND(B5*10000/$B$1,0))</f>
        <v>33133</v>
      </c>
      <c r="D5" s="2296" t="e">
        <f ca="1">ROUND(B5*10000/$B$2,0)</f>
        <v>#DIV/0!</v>
      </c>
      <c r="E5" s="2457"/>
      <c r="F5" s="2458"/>
      <c r="G5" s="2458"/>
      <c r="H5" s="2458"/>
      <c r="I5" s="2458"/>
      <c r="J5" s="2458"/>
      <c r="K5" s="2458"/>
    </row>
    <row r="6" spans="1:11" ht="15.6">
      <c r="A6" s="2296" t="s">
        <v>656</v>
      </c>
      <c r="B6" s="2296">
        <f ca="1">SUM(G14:G23)</f>
        <v>803</v>
      </c>
      <c r="C6" s="2296">
        <f ca="1">IF(B6=G14,结果表!H108,ROUND(B6*10000/$B$1,0))</f>
        <v>33133</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'数据-汇总表'!E3</f>
        <v>242.22</v>
      </c>
      <c r="C14" s="2302"/>
      <c r="D14" s="2302">
        <f ca="1">结果表!H101</f>
        <v>803</v>
      </c>
      <c r="E14" s="2302">
        <f ca="1">结果表!H102</f>
        <v>33133</v>
      </c>
      <c r="F14" s="2302" t="e">
        <f ca="1">ROUND(D14*10000/C14,0)</f>
        <v>#DIV/0!</v>
      </c>
      <c r="G14" s="2302">
        <f ca="1">结果表!H107</f>
        <v>803</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c r="D1" s="646"/>
      <c r="E1" s="646"/>
      <c r="F1" s="1619" t="s">
        <v>1263</v>
      </c>
      <c r="G1" s="1451" t="s">
        <v>3435</v>
      </c>
      <c r="H1" s="1619" t="str">
        <f>IF(G1="现房","——","估价对象范围")</f>
        <v>——</v>
      </c>
      <c r="I1" s="1620"/>
    </row>
    <row r="2" spans="1:12" ht="21.75" customHeight="1" thickBot="1">
      <c r="A2" s="3357" t="str">
        <f>项目基本情况!S2</f>
        <v>北京市石景山区古城西路66号院1号楼1至2层103房地产</v>
      </c>
      <c r="B2" s="3358"/>
      <c r="C2" s="3358"/>
      <c r="D2" s="3358"/>
      <c r="E2" s="3358"/>
      <c r="F2" s="3358"/>
      <c r="G2" s="3358"/>
      <c r="H2" s="3358"/>
      <c r="I2" s="3359"/>
    </row>
    <row r="3" spans="1:12" ht="13.2">
      <c r="A3" s="3361" t="s">
        <v>1264</v>
      </c>
      <c r="B3" s="3362"/>
      <c r="C3" s="3362"/>
      <c r="D3" s="3362"/>
      <c r="E3" s="3362"/>
      <c r="F3" s="3362"/>
      <c r="G3" s="3362"/>
      <c r="H3" s="3362"/>
      <c r="I3" s="3362"/>
    </row>
    <row r="4" spans="1:12" ht="14.4">
      <c r="A4" s="1622" t="s">
        <v>1265</v>
      </c>
      <c r="B4" s="1623" t="s">
        <v>1266</v>
      </c>
      <c r="C4" s="1624" t="s">
        <v>3564</v>
      </c>
      <c r="D4" s="1624" t="s">
        <v>3665</v>
      </c>
      <c r="E4" s="3366" t="s">
        <v>1267</v>
      </c>
      <c r="F4" s="3367"/>
      <c r="G4" s="3367"/>
      <c r="H4" s="3367"/>
      <c r="I4" s="336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5" t="s">
        <v>1268</v>
      </c>
      <c r="B5" s="3360">
        <v>25</v>
      </c>
      <c r="C5" s="3363"/>
      <c r="D5" s="3351"/>
      <c r="E5" s="123" t="s">
        <v>1269</v>
      </c>
      <c r="F5" s="1625"/>
      <c r="G5" s="1625"/>
      <c r="H5" s="1625"/>
      <c r="I5" s="1279"/>
    </row>
    <row r="6" spans="1:12" ht="13.2">
      <c r="A6" s="3305"/>
      <c r="B6" s="3360"/>
      <c r="C6" s="3365"/>
      <c r="D6" s="3351"/>
      <c r="E6" s="123" t="s">
        <v>1270</v>
      </c>
      <c r="F6" s="1625"/>
      <c r="G6" s="1625"/>
      <c r="H6" s="1625"/>
      <c r="I6" s="1279"/>
    </row>
    <row r="7" spans="1:12" ht="13.2">
      <c r="A7" s="3305"/>
      <c r="B7" s="3360"/>
      <c r="C7" s="3364"/>
      <c r="D7" s="3351"/>
      <c r="E7" s="123" t="s">
        <v>1271</v>
      </c>
      <c r="F7" s="1625"/>
      <c r="G7" s="1625"/>
      <c r="H7" s="1625"/>
      <c r="I7" s="1279"/>
    </row>
    <row r="8" spans="1:12" ht="13.2">
      <c r="A8" s="3305" t="s">
        <v>1272</v>
      </c>
      <c r="B8" s="3360">
        <v>15</v>
      </c>
      <c r="C8" s="3363"/>
      <c r="D8" s="3351"/>
      <c r="E8" s="123" t="s">
        <v>1273</v>
      </c>
      <c r="F8" s="1625"/>
      <c r="G8" s="1625"/>
      <c r="H8" s="1625"/>
      <c r="I8" s="1279"/>
    </row>
    <row r="9" spans="1:12" ht="13.2">
      <c r="A9" s="3305"/>
      <c r="B9" s="3360"/>
      <c r="C9" s="3364"/>
      <c r="D9" s="3351"/>
      <c r="E9" s="123" t="s">
        <v>1274</v>
      </c>
      <c r="F9" s="1625"/>
      <c r="G9" s="1625"/>
      <c r="H9" s="1625"/>
      <c r="I9" s="1279"/>
    </row>
    <row r="10" spans="1:12" ht="13.2">
      <c r="A10" s="3305" t="s">
        <v>1275</v>
      </c>
      <c r="B10" s="3360">
        <v>15</v>
      </c>
      <c r="C10" s="3363"/>
      <c r="D10" s="3351"/>
      <c r="E10" s="123" t="s">
        <v>1276</v>
      </c>
      <c r="F10" s="1625"/>
      <c r="G10" s="1625"/>
      <c r="H10" s="1625"/>
      <c r="I10" s="1279"/>
    </row>
    <row r="11" spans="1:12" ht="13.2">
      <c r="A11" s="3305"/>
      <c r="B11" s="3360"/>
      <c r="C11" s="3364"/>
      <c r="D11" s="3351"/>
      <c r="E11" s="123" t="s">
        <v>1277</v>
      </c>
      <c r="F11" s="1625"/>
      <c r="G11" s="1625"/>
      <c r="H11" s="1625"/>
      <c r="I11" s="1279"/>
    </row>
    <row r="12" spans="1:12" ht="13.2">
      <c r="A12" s="3305" t="s">
        <v>1278</v>
      </c>
      <c r="B12" s="3360">
        <v>15</v>
      </c>
      <c r="C12" s="3363"/>
      <c r="D12" s="3351"/>
      <c r="E12" s="123" t="s">
        <v>1279</v>
      </c>
      <c r="F12" s="1625"/>
      <c r="G12" s="1625"/>
      <c r="H12" s="1625"/>
      <c r="I12" s="1279"/>
    </row>
    <row r="13" spans="1:12" ht="13.2">
      <c r="A13" s="3305"/>
      <c r="B13" s="3360"/>
      <c r="C13" s="3364"/>
      <c r="D13" s="3351"/>
      <c r="E13" s="123" t="s">
        <v>1280</v>
      </c>
      <c r="F13" s="1625"/>
      <c r="G13" s="1625"/>
      <c r="H13" s="1625"/>
      <c r="I13" s="1279"/>
    </row>
    <row r="14" spans="1:12" ht="13.2">
      <c r="A14" s="3305" t="s">
        <v>1281</v>
      </c>
      <c r="B14" s="3360">
        <v>30</v>
      </c>
      <c r="C14" s="3363">
        <v>6</v>
      </c>
      <c r="D14" s="3351">
        <v>4</v>
      </c>
      <c r="E14" s="123" t="s">
        <v>1282</v>
      </c>
      <c r="F14" s="1625"/>
      <c r="G14" s="1625"/>
      <c r="H14" s="1625"/>
      <c r="I14" s="1279"/>
    </row>
    <row r="15" spans="1:12" ht="13.2">
      <c r="A15" s="3305"/>
      <c r="B15" s="3360"/>
      <c r="C15" s="3365"/>
      <c r="D15" s="3351"/>
      <c r="E15" s="123" t="s">
        <v>1283</v>
      </c>
      <c r="F15" s="1625"/>
      <c r="G15" s="1625"/>
      <c r="H15" s="1625"/>
      <c r="I15" s="1279"/>
    </row>
    <row r="16" spans="1:12" ht="13.2">
      <c r="A16" s="3305"/>
      <c r="B16" s="3360"/>
      <c r="C16" s="3364"/>
      <c r="D16" s="3351"/>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82" t="s">
        <v>2126</v>
      </c>
      <c r="F18" s="3383"/>
      <c r="G18" s="3383"/>
      <c r="H18" s="3383"/>
      <c r="I18" s="3383"/>
      <c r="K18" s="294" t="s">
        <v>1289</v>
      </c>
      <c r="L18" s="294">
        <f>IF(C1="",'数据-汇总表'!E3,SUMIF(项目类型,C1,'数据-汇总表'!E17:E26)+SUMIF(项目类型,C1,'数据-汇总表'!I17:I26))</f>
        <v>242.22</v>
      </c>
      <c r="M18" s="294">
        <f>IF(C1="",'数据-汇总表'!E3,SUMIF(项目类型,C1,'数据-汇总表'!E17:E26))</f>
        <v>242.22</v>
      </c>
    </row>
    <row r="19" spans="1:36" ht="14.4">
      <c r="A19" s="1628" t="s">
        <v>1290</v>
      </c>
      <c r="B19" s="1629" t="s">
        <v>1291</v>
      </c>
      <c r="C19" s="126">
        <f ca="1">SUMIF(INDIRECT("'"&amp;C4&amp;"'"&amp;"!A:A"),结果表!B19,INDIRECT("'"&amp;C4&amp;"'"&amp;"!B:B"))</f>
        <v>881.6789</v>
      </c>
      <c r="D19" s="127">
        <f ca="1">SUMIF(INDIRECT("'"&amp;D4&amp;"'"&amp;"!A:A"),结果表!B19,INDIRECT("'"&amp;D4&amp;"'"&amp;"!B:B"))</f>
        <v>683.85479999999995</v>
      </c>
      <c r="E19" s="1628" t="s">
        <v>1292</v>
      </c>
      <c r="F19" s="1629" t="s">
        <v>1291</v>
      </c>
      <c r="G19" s="128">
        <f ca="1">ROUND(C19*$C$18+D19*$D$18,0)</f>
        <v>803</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36400</v>
      </c>
      <c r="D20" s="130">
        <f ca="1">SUMIF(INDIRECT("'"&amp;D4&amp;"'"&amp;"!A:A"),结果表!B20,INDIRECT("'"&amp;D4&amp;"'"&amp;"!B:B"))</f>
        <v>28233</v>
      </c>
      <c r="E20" s="1631"/>
      <c r="F20" s="43" t="s">
        <v>1295</v>
      </c>
      <c r="G20" s="131">
        <f ca="1">ROUND(C20*$C$18+D20*$D$18,0)</f>
        <v>33133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0.28927792858951928</v>
      </c>
      <c r="E22" s="121"/>
      <c r="F22" s="121"/>
      <c r="G22" s="121"/>
      <c r="H22" s="121"/>
      <c r="I22" s="121"/>
    </row>
    <row r="23" spans="1:36" ht="13.8" thickBot="1">
      <c r="A23" s="646"/>
      <c r="B23" s="646"/>
      <c r="C23" s="646"/>
      <c r="D23" s="646"/>
      <c r="E23" s="121"/>
      <c r="F23" s="121"/>
      <c r="G23" s="121"/>
      <c r="H23" s="121"/>
      <c r="I23" s="121"/>
    </row>
    <row r="24" spans="1:36" ht="14.4">
      <c r="A24" s="3375" t="s">
        <v>1299</v>
      </c>
      <c r="B24" s="1629" t="s">
        <v>1291</v>
      </c>
      <c r="C24" s="128">
        <f>IF(B30=0,0,D30)</f>
        <v>0</v>
      </c>
      <c r="D24" s="1635"/>
      <c r="E24" s="121"/>
      <c r="F24" s="121"/>
      <c r="G24" s="121"/>
      <c r="H24" s="121"/>
      <c r="I24" s="121"/>
    </row>
    <row r="25" spans="1:36" ht="14.4">
      <c r="A25" s="3376"/>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33133</v>
      </c>
      <c r="D32" s="1639" t="s">
        <v>3573</v>
      </c>
      <c r="E32" s="121"/>
      <c r="F32" s="121"/>
      <c r="G32" s="121"/>
      <c r="H32" s="121"/>
      <c r="I32" s="121"/>
    </row>
    <row r="33" spans="1:15" ht="14.4">
      <c r="A33" s="740" t="s">
        <v>1306</v>
      </c>
      <c r="B33" s="123"/>
      <c r="C33" s="1640" t="s">
        <v>3574</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52" t="s">
        <v>1312</v>
      </c>
      <c r="B36" s="1650" t="s">
        <v>1313</v>
      </c>
      <c r="C36" s="137"/>
      <c r="D36" s="1651"/>
      <c r="E36" s="1565"/>
      <c r="F36" s="1652"/>
      <c r="G36" s="121"/>
      <c r="H36" s="121"/>
      <c r="I36" s="121"/>
    </row>
    <row r="37" spans="1:15" ht="15" thickBot="1">
      <c r="A37" s="3353"/>
      <c r="B37" s="1553" t="s">
        <v>1314</v>
      </c>
      <c r="C37" s="139"/>
      <c r="D37" s="1069"/>
      <c r="E37" s="1069"/>
      <c r="F37" s="1652"/>
      <c r="G37" s="121"/>
      <c r="H37" s="121"/>
      <c r="I37" s="121"/>
    </row>
    <row r="38" spans="1:15" ht="15" thickBot="1">
      <c r="A38" s="3354"/>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72" t="s">
        <v>1326</v>
      </c>
      <c r="B45" s="3373"/>
      <c r="C45" s="3374"/>
      <c r="D45" s="147">
        <f ca="1">ROUND(H101*F45,0)</f>
        <v>803</v>
      </c>
      <c r="E45" s="148" t="s">
        <v>1327</v>
      </c>
      <c r="F45" s="149">
        <v>1</v>
      </c>
      <c r="G45" s="150" t="s">
        <v>1328</v>
      </c>
      <c r="H45" s="121"/>
      <c r="I45" s="121"/>
      <c r="J45" s="3292" t="s">
        <v>1329</v>
      </c>
      <c r="K45" s="3292"/>
      <c r="L45" s="3292"/>
      <c r="M45" s="3292"/>
      <c r="N45" s="3292"/>
      <c r="O45" s="3292"/>
    </row>
    <row r="46" spans="1:15" ht="14.25" customHeight="1">
      <c r="A46" s="3369" t="s">
        <v>1330</v>
      </c>
      <c r="B46" s="3370"/>
      <c r="C46" s="3370"/>
      <c r="D46" s="3370"/>
      <c r="E46" s="3370"/>
      <c r="F46" s="3370"/>
      <c r="G46" s="3371"/>
      <c r="H46" s="1666"/>
      <c r="I46" s="151"/>
      <c r="J46" s="2306">
        <v>1</v>
      </c>
      <c r="K46" s="3293" t="s">
        <v>1331</v>
      </c>
      <c r="L46" s="3293"/>
      <c r="M46" s="3294"/>
      <c r="N46" s="3294"/>
      <c r="O46" s="3294"/>
    </row>
    <row r="47" spans="1:15" ht="12" customHeight="1">
      <c r="A47" s="152" t="s">
        <v>1332</v>
      </c>
      <c r="B47" s="153"/>
      <c r="C47" s="154"/>
      <c r="D47" s="1022" t="s">
        <v>1333</v>
      </c>
      <c r="E47" s="294" t="s">
        <v>1334</v>
      </c>
      <c r="F47" s="155" t="s">
        <v>1335</v>
      </c>
      <c r="G47" s="2329" t="s">
        <v>1336</v>
      </c>
      <c r="H47" s="2330"/>
      <c r="I47" s="151"/>
      <c r="J47" s="2306">
        <v>2</v>
      </c>
      <c r="K47" s="3293" t="s">
        <v>1337</v>
      </c>
      <c r="L47" s="3293"/>
      <c r="M47" s="3295">
        <f>'数据-取费表'!B2</f>
        <v>45799</v>
      </c>
      <c r="N47" s="3295"/>
      <c r="O47" s="3295"/>
    </row>
    <row r="48" spans="1:15" ht="26.4">
      <c r="A48" s="3355" t="s">
        <v>1338</v>
      </c>
      <c r="B48" s="3356"/>
      <c r="C48" s="3356"/>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93" t="s">
        <v>1340</v>
      </c>
      <c r="L48" s="3293"/>
      <c r="M48" s="3296">
        <f ca="1">H101</f>
        <v>803</v>
      </c>
      <c r="N48" s="3296"/>
      <c r="O48" s="3296"/>
    </row>
    <row r="49" spans="1:35" ht="25.5" customHeight="1">
      <c r="A49" s="2149" t="s">
        <v>1341</v>
      </c>
      <c r="B49" s="3341" t="s">
        <v>1342</v>
      </c>
      <c r="C49" s="3341"/>
      <c r="D49" s="1476">
        <v>0</v>
      </c>
      <c r="E49" s="316" t="s">
        <v>1343</v>
      </c>
      <c r="F49" s="2229" t="s">
        <v>28</v>
      </c>
      <c r="G49" s="3324"/>
      <c r="H49" s="2131" t="s">
        <v>2129</v>
      </c>
      <c r="I49" s="2132"/>
      <c r="J49" s="2306">
        <v>4</v>
      </c>
      <c r="K49" s="3293" t="str">
        <f>IF(项目基本情况!E8="房地产抵押价值","房地产抵押价值","抵押担保权已注销时的房地产抵押价值")</f>
        <v>房地产抵押价值</v>
      </c>
      <c r="L49" s="3293"/>
      <c r="M49" s="3296">
        <f ca="1">IF(项目基本情况!E8="房地产抵押价值",H107,H109)</f>
        <v>803</v>
      </c>
      <c r="N49" s="3296"/>
      <c r="O49" s="3296"/>
    </row>
    <row r="50" spans="1:35" ht="25.5" customHeight="1">
      <c r="A50" s="2334"/>
      <c r="B50" s="3341" t="s">
        <v>1344</v>
      </c>
      <c r="C50" s="3341"/>
      <c r="D50" s="2186"/>
      <c r="E50" s="323"/>
      <c r="F50" s="2229"/>
      <c r="G50" s="3325"/>
      <c r="H50" s="2133" t="s">
        <v>2130</v>
      </c>
      <c r="I50" s="2132"/>
      <c r="J50" s="3292" t="s">
        <v>1345</v>
      </c>
      <c r="K50" s="3292"/>
      <c r="L50" s="3292"/>
      <c r="M50" s="3292"/>
      <c r="N50" s="3292"/>
      <c r="O50" s="3292"/>
    </row>
    <row r="51" spans="1:35" ht="20.399999999999999" customHeight="1">
      <c r="A51" s="2335"/>
      <c r="B51" s="3341" t="s">
        <v>1346</v>
      </c>
      <c r="C51" s="3341"/>
      <c r="D51" s="1022"/>
      <c r="E51" s="319"/>
      <c r="F51" s="2229"/>
      <c r="G51" s="3326"/>
      <c r="H51" s="2133" t="s">
        <v>2131</v>
      </c>
      <c r="I51" s="2132"/>
      <c r="J51" s="2307" t="s">
        <v>1347</v>
      </c>
      <c r="K51" s="3293" t="s">
        <v>1348</v>
      </c>
      <c r="L51" s="3293"/>
      <c r="M51" s="2307" t="s">
        <v>1349</v>
      </c>
      <c r="N51" s="2307" t="s">
        <v>1350</v>
      </c>
      <c r="O51" s="2307" t="s">
        <v>1351</v>
      </c>
    </row>
    <row r="52" spans="1:35" ht="24" customHeight="1">
      <c r="A52" s="2150" t="s">
        <v>1352</v>
      </c>
      <c r="B52" s="3341" t="s">
        <v>1353</v>
      </c>
      <c r="C52" s="3341"/>
      <c r="D52" s="1022">
        <f ca="1">ROUND(D45*'数据-取费表'!B41/(1+'数据-取费表'!C42),0)</f>
        <v>43</v>
      </c>
      <c r="E52" s="1254" t="s">
        <v>1354</v>
      </c>
      <c r="F52" s="2336">
        <f>'数据-取费表'!B41</f>
        <v>5.6000000000000001E-2</v>
      </c>
      <c r="G52" s="2337"/>
      <c r="H52" s="2327"/>
      <c r="I52" s="1667"/>
      <c r="J52" s="2306">
        <v>1</v>
      </c>
      <c r="K52" s="3318" t="s">
        <v>1355</v>
      </c>
      <c r="L52" s="3318"/>
      <c r="M52" s="2308" t="b">
        <f>D48</f>
        <v>0</v>
      </c>
      <c r="N52" s="2306" t="str">
        <f>E48</f>
        <v>销售额×税（费）率</v>
      </c>
      <c r="O52" s="2309">
        <f>F48</f>
        <v>5.6000000000000001E-2</v>
      </c>
    </row>
    <row r="53" spans="1:35" ht="12" customHeight="1">
      <c r="A53" s="2150" t="s">
        <v>1356</v>
      </c>
      <c r="B53" s="3342" t="s">
        <v>2286</v>
      </c>
      <c r="C53" s="3343"/>
      <c r="D53" s="1022">
        <f ca="1">ROUND(D45*'数据-取费表'!B41/(1+'数据-取费表'!C42),0)</f>
        <v>43</v>
      </c>
      <c r="E53" s="1254" t="s">
        <v>1354</v>
      </c>
      <c r="F53" s="2336">
        <f>'数据-取费表'!B41</f>
        <v>5.6000000000000001E-2</v>
      </c>
      <c r="G53" s="2337"/>
      <c r="H53" s="2327"/>
      <c r="I53" s="1667"/>
      <c r="J53" s="2306">
        <v>2</v>
      </c>
      <c r="K53" s="3318" t="s">
        <v>1357</v>
      </c>
      <c r="L53" s="3318"/>
      <c r="M53" s="2308">
        <f t="shared" ref="M53:O54" ca="1" si="0">D55</f>
        <v>0</v>
      </c>
      <c r="N53" s="2306" t="str">
        <f t="shared" si="0"/>
        <v>销售额×税（费）率</v>
      </c>
      <c r="O53" s="2309" t="str">
        <f t="shared" si="0"/>
        <v>免征</v>
      </c>
    </row>
    <row r="54" spans="1:35" ht="12" customHeight="1">
      <c r="A54" s="2150" t="s">
        <v>1358</v>
      </c>
      <c r="B54" s="3342" t="s">
        <v>2287</v>
      </c>
      <c r="C54" s="3343"/>
      <c r="D54" s="1022">
        <f ca="1">C68</f>
        <v>43</v>
      </c>
      <c r="E54" s="319" t="s">
        <v>1359</v>
      </c>
      <c r="F54" s="2336">
        <f>'数据-取费表'!B41</f>
        <v>5.6000000000000001E-2</v>
      </c>
      <c r="G54" s="2337"/>
      <c r="H54" s="2338"/>
      <c r="I54" s="1667"/>
      <c r="J54" s="2306">
        <v>3</v>
      </c>
      <c r="K54" s="3318" t="s">
        <v>1360</v>
      </c>
      <c r="L54" s="3318"/>
      <c r="M54" s="2308">
        <f t="shared" ca="1" si="0"/>
        <v>454</v>
      </c>
      <c r="N54" s="2306" t="str">
        <f t="shared" si="0"/>
        <v>增值额×税（费）率</v>
      </c>
      <c r="O54" s="2310" t="str">
        <f t="shared" si="0"/>
        <v>免征</v>
      </c>
    </row>
    <row r="55" spans="1:35" ht="24" customHeight="1">
      <c r="A55" s="3378" t="s">
        <v>1361</v>
      </c>
      <c r="B55" s="3356"/>
      <c r="C55" s="3356"/>
      <c r="D55" s="12">
        <f ca="1">IF(H55="个人住宅",0,ROUND(D45*I55,0))</f>
        <v>0</v>
      </c>
      <c r="E55" s="1254" t="s">
        <v>1362</v>
      </c>
      <c r="F55" s="2336" t="str">
        <f>IF(H55="正常",I55,"免征")</f>
        <v>免征</v>
      </c>
      <c r="G55" s="2337"/>
      <c r="H55" s="2333"/>
      <c r="I55" s="157">
        <f>'数据-取费表'!B49</f>
        <v>5.0000000000000001E-4</v>
      </c>
      <c r="J55" s="2306">
        <f>IF(H59="非个人房产","",4)</f>
        <v>4</v>
      </c>
      <c r="K55" s="3318" t="str">
        <f>IF(H59="非个人房产","——","个人所得税")</f>
        <v>个人所得税</v>
      </c>
      <c r="L55" s="3318"/>
      <c r="M55" s="2311">
        <f ca="1">D59</f>
        <v>8</v>
      </c>
      <c r="N55" s="1881" t="str">
        <f>E59</f>
        <v>差额计税</v>
      </c>
      <c r="O55" s="2312">
        <f>F59</f>
        <v>0.01</v>
      </c>
    </row>
    <row r="56" spans="1:35" ht="25.2">
      <c r="A56" s="3378" t="s">
        <v>1363</v>
      </c>
      <c r="B56" s="3356"/>
      <c r="C56" s="3356"/>
      <c r="D56" s="12">
        <f ca="1">IF(H56="个人住宅",D57,D58)</f>
        <v>454</v>
      </c>
      <c r="E56" s="1254" t="s">
        <v>1364</v>
      </c>
      <c r="F56" s="2336" t="str">
        <f>IF(H56="正常",F58,"免征")</f>
        <v>免征</v>
      </c>
      <c r="G56" s="2339" t="s">
        <v>1365</v>
      </c>
      <c r="H56" s="2340"/>
      <c r="I56" s="1668"/>
      <c r="J56" s="2306" t="str">
        <f>IF(项目基本情况!K6="上海银行",IF(J55="",4,J55+1),"")</f>
        <v/>
      </c>
      <c r="K56" s="3299" t="str">
        <f>IF(项目基本情况!K6="上海银行","其他处置费用","")</f>
        <v/>
      </c>
      <c r="L56" s="3300"/>
      <c r="M56" s="2308" t="str">
        <f>IF(项目基本情况!K6="上海银行",M69,"")</f>
        <v/>
      </c>
      <c r="N56" s="3299" t="str">
        <f>IF(项目基本情况!K6="上海银行","包含处置中涉及的律师、诉讼、拍卖、评估等费用","")</f>
        <v/>
      </c>
      <c r="O56" s="3302"/>
    </row>
    <row r="57" spans="1:35" ht="13.2">
      <c r="A57" s="2150" t="s">
        <v>1341</v>
      </c>
      <c r="B57" s="3342" t="s">
        <v>1366</v>
      </c>
      <c r="C57" s="3343"/>
      <c r="D57" s="1476">
        <v>0</v>
      </c>
      <c r="E57" s="316" t="s">
        <v>1343</v>
      </c>
      <c r="F57" s="294"/>
      <c r="G57" s="2337"/>
      <c r="H57" s="2341"/>
      <c r="I57" s="1668"/>
      <c r="J57" s="3318">
        <f>IF(AND(J55="",J56=""),4,IF(项目基本情况!K6="上海银行",结果表!J56+1,结果表!J55+1))</f>
        <v>5</v>
      </c>
      <c r="K57" s="3318" t="s">
        <v>1367</v>
      </c>
      <c r="L57" s="2313" t="s">
        <v>1368</v>
      </c>
      <c r="M57" s="2314"/>
      <c r="N57" s="2315">
        <f ca="1">SUMIF(M52:M56,"&lt;9e307")</f>
        <v>462</v>
      </c>
      <c r="O57" s="2316"/>
      <c r="P57" s="2460">
        <f ca="1">N57/M49</f>
        <v>0.57534246575342463</v>
      </c>
    </row>
    <row r="58" spans="1:35" ht="25.2">
      <c r="A58" s="2150" t="s">
        <v>1352</v>
      </c>
      <c r="B58" s="3342" t="s">
        <v>1369</v>
      </c>
      <c r="C58" s="3341"/>
      <c r="D58" s="12">
        <f ca="1">IF(H58="转让取得",C81,C97)</f>
        <v>454</v>
      </c>
      <c r="E58" s="1254" t="s">
        <v>1364</v>
      </c>
      <c r="F58" s="294" t="s">
        <v>28</v>
      </c>
      <c r="G58" s="2337"/>
      <c r="H58" s="2340"/>
      <c r="I58" s="1668"/>
      <c r="J58" s="3318"/>
      <c r="K58" s="3318"/>
      <c r="L58" s="2313" t="s">
        <v>1370</v>
      </c>
      <c r="M58" s="2317"/>
      <c r="N58" s="2318" t="str">
        <f ca="1">NUMBERSTRING(INT(N57*10000),2)&amp;"元整"</f>
        <v>肆佰陆拾贰万元整</v>
      </c>
      <c r="O58" s="2319"/>
    </row>
    <row r="59" spans="1:35" ht="24.6" thickBot="1">
      <c r="A59" s="3322" t="s">
        <v>1371</v>
      </c>
      <c r="B59" s="3323"/>
      <c r="C59" s="3323"/>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20">
        <f>J57+1</f>
        <v>6</v>
      </c>
      <c r="K59" s="3318" t="s">
        <v>1372</v>
      </c>
      <c r="L59" s="2306" t="s">
        <v>1368</v>
      </c>
      <c r="M59" s="2320"/>
      <c r="N59" s="2321">
        <f ca="1">M49-N57</f>
        <v>341</v>
      </c>
      <c r="O59" s="2322"/>
    </row>
    <row r="60" spans="1:35" ht="12" customHeight="1">
      <c r="A60" s="1669"/>
      <c r="B60" s="646"/>
      <c r="C60" s="646"/>
      <c r="D60" s="646"/>
      <c r="E60" s="1464"/>
      <c r="F60" s="1668"/>
      <c r="G60" s="1668"/>
      <c r="H60" s="151"/>
      <c r="I60" s="121"/>
      <c r="J60" s="3321"/>
      <c r="K60" s="3318"/>
      <c r="L60" s="2313" t="s">
        <v>1370</v>
      </c>
      <c r="M60" s="2317"/>
      <c r="N60" s="2318" t="str">
        <f ca="1">NUMBERSTRING(INT(N59*10000),2)&amp;"元整"</f>
        <v>叁佰肆拾壹万元整</v>
      </c>
      <c r="O60" s="2319"/>
    </row>
    <row r="61" spans="1:35" ht="13.8" thickBot="1">
      <c r="A61" s="3377" t="s">
        <v>1373</v>
      </c>
      <c r="B61" s="3377"/>
      <c r="C61" s="3377"/>
      <c r="D61" s="3377"/>
      <c r="E61" s="3377"/>
      <c r="F61" s="1668"/>
      <c r="G61" s="1668"/>
      <c r="H61" s="151"/>
      <c r="I61" s="121"/>
      <c r="J61" s="2306">
        <f>J59+1</f>
        <v>7</v>
      </c>
      <c r="K61" s="3318" t="s">
        <v>1374</v>
      </c>
      <c r="L61" s="3318"/>
      <c r="M61" s="2323"/>
      <c r="N61" s="2324">
        <f ca="1">ROUND(N59*10000/'数据-汇总表'!E3,0)</f>
        <v>14078</v>
      </c>
      <c r="O61" s="2325"/>
    </row>
    <row r="62" spans="1:35" ht="13.2">
      <c r="A62" s="3337" t="s">
        <v>1375</v>
      </c>
      <c r="B62" s="3338"/>
      <c r="C62" s="1863"/>
      <c r="D62" s="1863" t="s">
        <v>1376</v>
      </c>
      <c r="E62" s="158" t="s">
        <v>1377</v>
      </c>
      <c r="F62" s="1668"/>
      <c r="G62" s="1668"/>
      <c r="H62" s="151"/>
      <c r="I62" s="121"/>
    </row>
    <row r="63" spans="1:35" ht="13.2">
      <c r="A63" s="165" t="s">
        <v>330</v>
      </c>
      <c r="B63" s="159" t="s">
        <v>1378</v>
      </c>
      <c r="C63" s="2346">
        <f ca="1">ROUND((C64+C65)/(1+'数据-取费表'!C42),0)</f>
        <v>765</v>
      </c>
      <c r="D63" s="159"/>
      <c r="E63" s="160"/>
      <c r="F63" s="1668"/>
      <c r="G63" s="1668"/>
      <c r="H63" s="151"/>
      <c r="I63" s="121"/>
      <c r="J63" s="3301" t="s">
        <v>1379</v>
      </c>
      <c r="K63" s="1243" t="s">
        <v>1380</v>
      </c>
      <c r="L63" s="1243">
        <f ca="1">IF(M49&gt;10000,M49*0.5%,IF(AND(M49&gt;1000,M49&lt;=10000),M49*1%,IF(AND(M49&gt;100,M49&lt;=1000),M49*3%,IF(AND(M49&gt;10,M49&lt;=100),M49*5%,M49*8%))))</f>
        <v>24.09</v>
      </c>
      <c r="M63" s="294">
        <f ca="1">ROUND(L63,1)</f>
        <v>24.1</v>
      </c>
      <c r="N63" s="2326"/>
      <c r="Z63" s="1621"/>
      <c r="AI63" s="1559"/>
    </row>
    <row r="64" spans="1:35" ht="14.25" customHeight="1">
      <c r="A64" s="161" t="s">
        <v>325</v>
      </c>
      <c r="B64" s="162" t="s">
        <v>1381</v>
      </c>
      <c r="C64" s="2347">
        <f ca="1">D45</f>
        <v>803</v>
      </c>
      <c r="D64" s="162" t="s">
        <v>26</v>
      </c>
      <c r="E64" s="164"/>
      <c r="F64" s="1668"/>
      <c r="G64" s="1668"/>
      <c r="H64" s="151"/>
      <c r="I64" s="121"/>
      <c r="J64" s="3301"/>
      <c r="K64" s="1243" t="s">
        <v>1382</v>
      </c>
      <c r="L64" s="1243">
        <f ca="1">IF(M49&gt;2000,M49*0.5%,IF(AND(M49&gt;1000,M49&lt;=2000),M49*0.6%,IF(AND(M49&gt;500,M49&lt;=1000),M49*0.7%,IF(AND(M49&gt;200,M49&lt;=500),M49*0.8%,IF(AND(M49&gt;100,M49&lt;=200),M49*0.9%,IF(AND(M49&gt;50,M49&lt;=100),M49*1%,IF(AND(M49&gt;20,M49&lt;=50),M49*1.5%,IF(AND(M49&gt;10,M49&lt;=20),M49*2%,IF(AND(M49&gt;1,M49&lt;=10),M49*2.5%)))))))))</f>
        <v>5.6209999999999996</v>
      </c>
      <c r="M64" s="294">
        <f t="shared" ref="M64:M65" ca="1" si="1">ROUND(L64,1)</f>
        <v>5.6</v>
      </c>
      <c r="N64" s="2327" t="s">
        <v>1383</v>
      </c>
      <c r="Z64" s="1621"/>
      <c r="AI64" s="1559"/>
    </row>
    <row r="65" spans="1:35" ht="14.25" customHeight="1">
      <c r="A65" s="161" t="s">
        <v>326</v>
      </c>
      <c r="B65" s="162" t="s">
        <v>1384</v>
      </c>
      <c r="C65" s="2348"/>
      <c r="D65" s="162"/>
      <c r="E65" s="164"/>
      <c r="F65" s="1668"/>
      <c r="G65" s="1668"/>
      <c r="H65" s="151"/>
      <c r="I65" s="121"/>
      <c r="J65" s="3301"/>
      <c r="K65" s="1243" t="s">
        <v>1385</v>
      </c>
      <c r="L65" s="1243">
        <f ca="1">IF(M49&gt;1000,M49*0.1%,IF(AND(M49&gt;500,M49&lt;=1000),M49*0.5%,IF(AND(M49&gt;50,M49&lt;=500),M49*1%,IF(AND(M49&gt;1,M49&lt;=50),M49*1.5%))))</f>
        <v>4.0149999999999997</v>
      </c>
      <c r="M65" s="294">
        <f t="shared" ca="1" si="1"/>
        <v>4</v>
      </c>
      <c r="N65" s="2327" t="s">
        <v>1383</v>
      </c>
      <c r="Z65" s="1621"/>
      <c r="AI65" s="1559"/>
    </row>
    <row r="66" spans="1:35" ht="14.25" customHeight="1">
      <c r="A66" s="165" t="s">
        <v>327</v>
      </c>
      <c r="B66" s="166" t="s">
        <v>1386</v>
      </c>
      <c r="C66" s="2349"/>
      <c r="D66" s="166" t="s">
        <v>26</v>
      </c>
      <c r="E66" s="1249" t="s">
        <v>671</v>
      </c>
      <c r="F66" s="1668"/>
      <c r="G66" s="1668"/>
      <c r="H66" s="151"/>
      <c r="I66" s="121"/>
      <c r="J66" s="3301"/>
      <c r="K66" s="1243" t="s">
        <v>1387</v>
      </c>
      <c r="L66" s="1243">
        <f ca="1">M49*0.5%</f>
        <v>4.0149999999999997</v>
      </c>
      <c r="M66" s="294">
        <f ca="1">IF(L66&gt;0.5,0.5,ROUND(L66,0))</f>
        <v>0.5</v>
      </c>
      <c r="N66" s="2327" t="s">
        <v>1388</v>
      </c>
      <c r="Z66" s="1621"/>
      <c r="AI66" s="1559"/>
    </row>
    <row r="67" spans="1:35" ht="14.25" customHeight="1">
      <c r="A67" s="165" t="s">
        <v>328</v>
      </c>
      <c r="B67" s="166" t="s">
        <v>1389</v>
      </c>
      <c r="C67" s="2350">
        <f ca="1">C63-C66</f>
        <v>765</v>
      </c>
      <c r="D67" s="162" t="s">
        <v>26</v>
      </c>
      <c r="E67" s="164"/>
      <c r="F67" s="1668"/>
      <c r="G67" s="1668"/>
      <c r="H67" s="151"/>
      <c r="I67" s="121"/>
      <c r="J67" s="3301"/>
      <c r="K67" s="1243" t="s">
        <v>1390</v>
      </c>
      <c r="L67" s="1243">
        <f ca="1">IF(M49&gt;=10000,(8.25+(M49-10000)*0.01%),IF(AND(M49&gt;=8000,M49&lt;10000),(7.85+(M49-8000)*0.02%),IF(AND(M49&gt;=5000,M49&lt;8000),(6.65+(M49-5000)*0.04%),IF(AND(M49&gt;=2000,M49&lt;5000),(4.25+(PM49-2000)*0.08%),IF(AND(M49&gt;=1000,M49&lt;2000),(2.75+(M49-1000)*0.15%),IF(AND(M49&gt;=100,M49&lt;1000),(0.5+(M49-100)*0.25%),IF(AND(M49&gt;0,M49&lt;100),M49*0.5%)))))))</f>
        <v>2.2575000000000003</v>
      </c>
      <c r="M67" s="294">
        <f ca="1">ROUND(L67*0.9,1)</f>
        <v>2</v>
      </c>
      <c r="N67" s="2326"/>
      <c r="Z67" s="1621"/>
      <c r="AI67" s="1559"/>
    </row>
    <row r="68" spans="1:35" ht="14.25" customHeight="1" thickBot="1">
      <c r="A68" s="168" t="s">
        <v>329</v>
      </c>
      <c r="B68" s="169" t="s">
        <v>1391</v>
      </c>
      <c r="C68" s="2351">
        <f ca="1">IF(C67&lt;=0,0,ROUND(C67*D68,0))</f>
        <v>43</v>
      </c>
      <c r="D68" s="2352">
        <f>'数据-取费表'!B41</f>
        <v>5.6000000000000001E-2</v>
      </c>
      <c r="E68" s="170"/>
      <c r="F68" s="1668"/>
      <c r="G68" s="1668"/>
      <c r="H68" s="151"/>
      <c r="I68" s="121"/>
      <c r="J68" s="3301"/>
      <c r="K68" s="1243" t="s">
        <v>1392</v>
      </c>
      <c r="L68" s="1243">
        <f ca="1">IF(M49&gt;10000,M49*0.5%,IF(AND(M49&gt;5000,M49&lt;=10000),M49*1%,IF(AND(M49&gt;1000,M49&lt;=5000),M49*2%,IF(AND(M49&gt;200,M49&lt;=1000),M49*3%,M49*5%))))</f>
        <v>24.09</v>
      </c>
      <c r="M68" s="294">
        <f ca="1">ROUND(L68,1)</f>
        <v>24.1</v>
      </c>
      <c r="N68" s="2326"/>
      <c r="Z68" s="1621"/>
      <c r="AI68" s="1559"/>
    </row>
    <row r="69" spans="1:35" ht="16.5" customHeight="1">
      <c r="A69" s="1670"/>
      <c r="B69" s="1671"/>
      <c r="C69" s="1672"/>
      <c r="D69" s="1673"/>
      <c r="E69" s="1674"/>
      <c r="F69" s="1464"/>
      <c r="G69" s="1464"/>
      <c r="H69" s="1465"/>
      <c r="I69" s="646"/>
      <c r="J69" s="3301"/>
      <c r="K69" s="1243" t="s">
        <v>1393</v>
      </c>
      <c r="L69" s="1243"/>
      <c r="M69" s="294">
        <f ca="1">ROUND(SUM(M63:M68),0)</f>
        <v>60</v>
      </c>
      <c r="N69" s="2328">
        <f ca="1">M69/M49</f>
        <v>7.4719800747198001E-2</v>
      </c>
      <c r="Z69" s="1621"/>
      <c r="AI69" s="1559"/>
    </row>
    <row r="70" spans="1:35" s="642" customFormat="1" ht="14.4" thickBot="1">
      <c r="A70" s="3345" t="s">
        <v>1394</v>
      </c>
      <c r="B70" s="3346"/>
      <c r="C70" s="3346"/>
      <c r="D70" s="3346"/>
      <c r="E70" s="3346"/>
      <c r="F70" s="3346"/>
      <c r="G70" s="3346"/>
      <c r="H70" s="3346"/>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37" t="s">
        <v>1375</v>
      </c>
      <c r="B71" s="3338"/>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765</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42" t="s">
        <v>1402</v>
      </c>
      <c r="F76" s="3341"/>
      <c r="G76" s="3341"/>
      <c r="H76" s="334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34" t="s">
        <v>1406</v>
      </c>
      <c r="F78" s="3335"/>
      <c r="G78" s="3335"/>
      <c r="H78" s="333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760</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152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454</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5" t="s">
        <v>1410</v>
      </c>
      <c r="B83" s="3346"/>
      <c r="C83" s="3346"/>
      <c r="D83" s="3346"/>
      <c r="E83" s="3346"/>
      <c r="F83" s="3346"/>
      <c r="G83" s="3346"/>
      <c r="H83" s="334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37" t="s">
        <v>1375</v>
      </c>
      <c r="B84" s="3338"/>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765</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03" t="s">
        <v>2124</v>
      </c>
      <c r="H90" s="3304"/>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34" t="s">
        <v>1419</v>
      </c>
      <c r="F91" s="3335"/>
      <c r="G91" s="333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34" t="s">
        <v>1422</v>
      </c>
      <c r="F92" s="3335"/>
      <c r="G92" s="3335"/>
      <c r="H92" s="3336"/>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34" t="s">
        <v>1406</v>
      </c>
      <c r="F93" s="3335"/>
      <c r="G93" s="3335"/>
      <c r="H93" s="333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79" t="s">
        <v>1426</v>
      </c>
      <c r="F94" s="3380"/>
      <c r="G94" s="3380"/>
      <c r="H94" s="338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760</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152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4" t="s">
        <v>1428</v>
      </c>
      <c r="B100" s="3285"/>
      <c r="C100" s="3285"/>
      <c r="D100" s="3319"/>
      <c r="E100" s="3285" t="s">
        <v>1429</v>
      </c>
      <c r="F100" s="3285"/>
      <c r="G100" s="3285"/>
      <c r="H100" s="3319"/>
      <c r="I100" s="121"/>
    </row>
    <row r="101" spans="1:35" ht="18.75" customHeight="1">
      <c r="A101" s="3327" t="s">
        <v>1430</v>
      </c>
      <c r="B101" s="3328"/>
      <c r="C101" s="2367" t="str">
        <f>C4</f>
        <v>比较法-商业</v>
      </c>
      <c r="D101" s="2368" t="str">
        <f>D4</f>
        <v>收益法（汇总）</v>
      </c>
      <c r="E101" s="3297" t="s">
        <v>1431</v>
      </c>
      <c r="F101" s="3298"/>
      <c r="G101" s="1685" t="s">
        <v>1432</v>
      </c>
      <c r="H101" s="2377">
        <f ca="1">H118</f>
        <v>803</v>
      </c>
      <c r="I101" s="121"/>
    </row>
    <row r="102" spans="1:35" ht="18.75" customHeight="1">
      <c r="A102" s="3329" t="s">
        <v>1433</v>
      </c>
      <c r="B102" s="2366" t="s">
        <v>1432</v>
      </c>
      <c r="C102" s="2367">
        <f ca="1">IF(D32="楼面单价",ROUND(C19,0),C19)</f>
        <v>882</v>
      </c>
      <c r="D102" s="2368">
        <f ca="1">IF(D32="楼面单价",ROUND(D19,0),D19)</f>
        <v>684</v>
      </c>
      <c r="E102" s="3297"/>
      <c r="F102" s="3298"/>
      <c r="G102" s="1685" t="s">
        <v>1434</v>
      </c>
      <c r="H102" s="2337">
        <f ca="1">I118</f>
        <v>33133</v>
      </c>
      <c r="I102" s="121"/>
    </row>
    <row r="103" spans="1:35" ht="42.75" customHeight="1">
      <c r="A103" s="3329"/>
      <c r="B103" s="2366" t="s">
        <v>1434</v>
      </c>
      <c r="C103" s="2369">
        <f ca="1">C20</f>
        <v>36400</v>
      </c>
      <c r="D103" s="2370">
        <f ca="1">D20</f>
        <v>28233</v>
      </c>
      <c r="E103" s="3290" t="s">
        <v>1435</v>
      </c>
      <c r="F103" s="3291"/>
      <c r="G103" s="1686" t="s">
        <v>1436</v>
      </c>
      <c r="H103" s="2377">
        <f>IF(D36="正常操作",H104+H105+H106,H105+H106)</f>
        <v>0</v>
      </c>
      <c r="I103" s="121"/>
    </row>
    <row r="104" spans="1:35" ht="18.75" customHeight="1">
      <c r="A104" s="3329" t="s">
        <v>1437</v>
      </c>
      <c r="B104" s="2371" t="s">
        <v>1432</v>
      </c>
      <c r="C104" s="2372">
        <f ca="1">H118</f>
        <v>803</v>
      </c>
      <c r="D104" s="2373"/>
      <c r="E104" s="1553" t="s">
        <v>1438</v>
      </c>
      <c r="F104" s="1546"/>
      <c r="G104" s="1686" t="s">
        <v>1436</v>
      </c>
      <c r="H104" s="2378">
        <f>IF(D36="同一抵押权人同一抵押物续贷",C36&amp;"（续贷，未扣减，详见特别提示）",C36)</f>
        <v>0</v>
      </c>
      <c r="I104" s="121"/>
    </row>
    <row r="105" spans="1:35" ht="18.75" customHeight="1" thickBot="1">
      <c r="A105" s="3339"/>
      <c r="B105" s="2374" t="s">
        <v>1434</v>
      </c>
      <c r="C105" s="2375">
        <f ca="1">I118</f>
        <v>33133</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0" t="str">
        <f>IF(项目基本情况!E8="已注销","——","3.房地产抵押价值")</f>
        <v>3.房地产抵押价值</v>
      </c>
      <c r="F107" s="3298"/>
      <c r="G107" s="1685" t="s">
        <v>1432</v>
      </c>
      <c r="H107" s="2377">
        <f ca="1">IF(E107="——","——",H101-H103)</f>
        <v>803</v>
      </c>
      <c r="I107" s="121"/>
    </row>
    <row r="108" spans="1:35" ht="18.75" customHeight="1">
      <c r="A108" s="121"/>
      <c r="B108" s="121"/>
      <c r="C108" s="121"/>
      <c r="D108" s="121"/>
      <c r="E108" s="3330"/>
      <c r="F108" s="3298"/>
      <c r="G108" s="1685" t="s">
        <v>1434</v>
      </c>
      <c r="H108" s="2337">
        <f ca="1">IF(H107=H101,H102,ROUND(H107*10000/'数据-汇总表'!E3,0))</f>
        <v>33133</v>
      </c>
      <c r="I108" s="121"/>
    </row>
    <row r="109" spans="1:35" ht="18.75" customHeight="1">
      <c r="A109" s="121"/>
      <c r="B109" s="121"/>
      <c r="C109" s="121"/>
      <c r="D109" s="121"/>
      <c r="E109" s="3330" t="str">
        <f>IF(项目基本情况!E8="已注销及未注销","4.抵押担保权已注销时的房地产抵押价值",IF(项目基本情况!E8="已注销","3.抵押担保权已注销时的房地产抵押价值","——"))</f>
        <v>——</v>
      </c>
      <c r="F109" s="3298"/>
      <c r="G109" s="1685" t="s">
        <v>1432</v>
      </c>
      <c r="H109" s="2380" t="str">
        <f>IF(E109="——","——",H101-H105-H106)</f>
        <v>——</v>
      </c>
      <c r="I109" s="121"/>
    </row>
    <row r="110" spans="1:35" ht="18.75" customHeight="1">
      <c r="A110" s="121"/>
      <c r="B110" s="121"/>
      <c r="C110" s="121"/>
      <c r="D110" s="121"/>
      <c r="E110" s="3330"/>
      <c r="F110" s="3298"/>
      <c r="G110" s="1685" t="s">
        <v>1434</v>
      </c>
      <c r="H110" s="2337"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17"/>
      <c r="G111" s="1685" t="s">
        <v>1432</v>
      </c>
      <c r="H111" s="2377" t="str">
        <f>IF(E111="——","——",N59)</f>
        <v>——</v>
      </c>
      <c r="I111" s="121"/>
    </row>
    <row r="112" spans="1:35" ht="18.75" customHeight="1" thickBot="1">
      <c r="A112" s="121"/>
      <c r="B112" s="121"/>
      <c r="C112" s="121"/>
      <c r="D112" s="121"/>
      <c r="E112" s="3332"/>
      <c r="F112" s="3333"/>
      <c r="G112" s="1688" t="s">
        <v>1434</v>
      </c>
      <c r="H112" s="2381" t="str">
        <f>IF(E111="——","——",N61)</f>
        <v>——</v>
      </c>
      <c r="I112" s="121"/>
    </row>
    <row r="113" spans="1:27" ht="18.75" customHeight="1">
      <c r="A113" s="121"/>
      <c r="B113" s="121"/>
      <c r="C113" s="121"/>
      <c r="D113" s="121"/>
      <c r="E113" s="3340" t="s">
        <v>1440</v>
      </c>
      <c r="F113" s="3340"/>
      <c r="G113" s="3340"/>
      <c r="H113" s="3340"/>
      <c r="I113" s="121"/>
    </row>
    <row r="114" spans="1:27" ht="3.75" customHeight="1">
      <c r="A114" s="646"/>
      <c r="B114" s="646"/>
      <c r="C114" s="646"/>
      <c r="D114" s="646"/>
      <c r="E114" s="1669"/>
      <c r="F114" s="1669"/>
      <c r="G114" s="1669"/>
      <c r="H114" s="1669"/>
      <c r="I114" s="646"/>
    </row>
    <row r="115" spans="1:27" ht="18.75" customHeight="1">
      <c r="A115" s="3348" t="s">
        <v>1442</v>
      </c>
      <c r="B115" s="3349"/>
      <c r="C115" s="3349"/>
      <c r="D115" s="3349"/>
      <c r="E115" s="3349"/>
      <c r="F115" s="3349"/>
      <c r="G115" s="3349"/>
      <c r="H115" s="3349"/>
      <c r="I115" s="3350"/>
    </row>
    <row r="116" spans="1:27" ht="27" customHeight="1">
      <c r="A116" s="3305" t="s">
        <v>1443</v>
      </c>
      <c r="B116" s="3309" t="s">
        <v>1444</v>
      </c>
      <c r="C116" s="3309" t="s">
        <v>1445</v>
      </c>
      <c r="D116" s="3315" t="s">
        <v>1446</v>
      </c>
      <c r="E116" s="3316"/>
      <c r="F116" s="3347" t="s">
        <v>1447</v>
      </c>
      <c r="G116" s="3347"/>
      <c r="H116" s="3305" t="s">
        <v>1448</v>
      </c>
      <c r="I116" s="3305"/>
    </row>
    <row r="117" spans="1:27" ht="18.75" customHeight="1">
      <c r="A117" s="3305"/>
      <c r="B117" s="3310"/>
      <c r="C117" s="3310"/>
      <c r="D117" s="2147" t="s">
        <v>1449</v>
      </c>
      <c r="E117" s="2147" t="s">
        <v>1450</v>
      </c>
      <c r="F117" s="2147" t="s">
        <v>1449</v>
      </c>
      <c r="G117" s="2147" t="s">
        <v>1451</v>
      </c>
      <c r="H117" s="2147" t="s">
        <v>1449</v>
      </c>
      <c r="I117" s="2147" t="s">
        <v>1451</v>
      </c>
    </row>
    <row r="118" spans="1:27" ht="24.75" customHeight="1">
      <c r="A118" s="2382" t="str">
        <f>项目基本情况!S2</f>
        <v>北京市石景山区古城西路66号院1号楼1至2层103房地产</v>
      </c>
      <c r="B118" s="2147">
        <f>M18</f>
        <v>242.22</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803</v>
      </c>
      <c r="I118" s="2147">
        <f ca="1">ROUND(IF(D32="楼面单价",C32,H118*10000/B118),0)</f>
        <v>33133</v>
      </c>
    </row>
    <row r="119" spans="1:27" ht="18.75" customHeight="1">
      <c r="A119" s="3305" t="s">
        <v>1452</v>
      </c>
      <c r="B119" s="3305"/>
      <c r="C119" s="3305"/>
      <c r="D119" s="3311" t="str">
        <f>NUMBERSTRING(INT(D118*10000),2)&amp;"元整"</f>
        <v>零元整</v>
      </c>
      <c r="E119" s="3312"/>
      <c r="F119" s="3311" t="str">
        <f>NUMBERSTRING(INT(F118*10000),2)&amp;"元整"</f>
        <v>零元整</v>
      </c>
      <c r="G119" s="3312"/>
      <c r="H119" s="3311" t="str">
        <f ca="1">NUMBERSTRING(INT(H118*10000),2)&amp;"元整"</f>
        <v>捌佰零叁万元整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1" t="s">
        <v>1452</v>
      </c>
      <c r="B121" s="3313"/>
      <c r="C121" s="3312"/>
      <c r="D121" s="3311" t="str">
        <f>IF(D120=0,"零元整",NUMBERSTRING(INT(D120*10000),2)&amp;"元整")</f>
        <v>零元整</v>
      </c>
      <c r="E121" s="3313"/>
      <c r="F121" s="3313"/>
      <c r="G121" s="3313"/>
      <c r="H121" s="3313"/>
      <c r="I121" s="3312"/>
      <c r="AA121" s="684"/>
    </row>
    <row r="122" spans="1:27" ht="18.75" customHeight="1">
      <c r="A122" s="3317" t="str">
        <f>IF(项目基本情况!B9="房地产市场价值","",MID(E107,3,LEN(E107)-2))</f>
        <v>房地产抵押价值</v>
      </c>
      <c r="B122" s="3317"/>
      <c r="C122" s="3317"/>
      <c r="D122" s="3306">
        <f ca="1">H107</f>
        <v>803</v>
      </c>
      <c r="E122" s="3307"/>
      <c r="F122" s="3307"/>
      <c r="G122" s="3307"/>
      <c r="H122" s="3307"/>
      <c r="I122" s="3308"/>
      <c r="AA122" s="684"/>
    </row>
    <row r="123" spans="1:27" ht="18.75" customHeight="1">
      <c r="A123" s="3305" t="s">
        <v>1452</v>
      </c>
      <c r="B123" s="3305"/>
      <c r="C123" s="3305"/>
      <c r="D123" s="3311" t="str">
        <f ca="1">NUMBERSTRING(INT(D122*10000),2)&amp;"元整"</f>
        <v>捌佰零叁万元整</v>
      </c>
      <c r="E123" s="3313"/>
      <c r="F123" s="3313"/>
      <c r="G123" s="3313"/>
      <c r="H123" s="3313"/>
      <c r="I123" s="3312"/>
      <c r="AA123" s="684"/>
    </row>
    <row r="124" spans="1:27" ht="18.75" customHeight="1">
      <c r="A124" s="3317" t="str">
        <f>IF(项目基本情况!B9="房地产市场价值","",MID(E109,3,LEN(E109)-2))</f>
        <v/>
      </c>
      <c r="B124" s="3317"/>
      <c r="C124" s="3317"/>
      <c r="D124" s="3306" t="str">
        <f>H109</f>
        <v>——</v>
      </c>
      <c r="E124" s="3307"/>
      <c r="F124" s="3307"/>
      <c r="G124" s="3307"/>
      <c r="H124" s="3307"/>
      <c r="I124" s="3308"/>
      <c r="AA124" s="684"/>
    </row>
    <row r="125" spans="1:27" ht="18.75" customHeight="1">
      <c r="A125" s="3305" t="s">
        <v>1452</v>
      </c>
      <c r="B125" s="3305"/>
      <c r="C125" s="3305"/>
      <c r="D125" s="3311" t="e">
        <f>NUMBERSTRING(INT(D124*10000),2)&amp;"元整"</f>
        <v>#VALUE!</v>
      </c>
      <c r="E125" s="3313"/>
      <c r="F125" s="3313"/>
      <c r="G125" s="3313"/>
      <c r="H125" s="3313"/>
      <c r="I125" s="3312"/>
      <c r="AA125" s="684"/>
    </row>
    <row r="126" spans="1:27" ht="18.75" customHeight="1">
      <c r="A126" s="3317" t="str">
        <f>IF(项目基本情况!B9="房地产市场价值","",MID(E111,3,LEN(E111)-2))</f>
        <v/>
      </c>
      <c r="B126" s="3317"/>
      <c r="C126" s="3317"/>
      <c r="D126" s="3306" t="str">
        <f>H111</f>
        <v>——</v>
      </c>
      <c r="E126" s="3307"/>
      <c r="F126" s="3307"/>
      <c r="G126" s="3307"/>
      <c r="H126" s="3307"/>
      <c r="I126" s="3308"/>
      <c r="AA126" s="684"/>
    </row>
    <row r="127" spans="1:27" ht="18.75" customHeight="1">
      <c r="A127" s="3305" t="s">
        <v>1452</v>
      </c>
      <c r="B127" s="3305"/>
      <c r="C127" s="3305"/>
      <c r="D127" s="3311" t="e">
        <f>NUMBERSTRING(INT(D126*10000),2)&amp;"元整"</f>
        <v>#VALUE!</v>
      </c>
      <c r="E127" s="3313"/>
      <c r="F127" s="3313"/>
      <c r="G127" s="3313"/>
      <c r="H127" s="3313"/>
      <c r="I127" s="3312"/>
      <c r="AA127" s="684"/>
    </row>
    <row r="128" spans="1:27" ht="21.75" customHeight="1">
      <c r="A128" s="3314" t="s">
        <v>1453</v>
      </c>
      <c r="B128" s="3314"/>
      <c r="C128" s="3314"/>
      <c r="D128" s="3314"/>
      <c r="E128" s="3314"/>
      <c r="F128" s="3314"/>
      <c r="G128" s="3314"/>
      <c r="H128" s="3314"/>
      <c r="I128" s="3314"/>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8</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5037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242.22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242.22</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242.22</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4" t="s">
        <v>1544</v>
      </c>
    </row>
    <row r="43" spans="1:7" ht="13.5" customHeight="1">
      <c r="A43" s="734" t="s">
        <v>347</v>
      </c>
      <c r="B43" s="207" t="s">
        <v>1545</v>
      </c>
      <c r="C43" s="230">
        <f ca="1">ROUND(IF('数据-取费表'!B22&lt;=1,C39*F22*'数据-取费表'!B21/2,C39*(POWER((1+F22),'数据-取费表'!B21/2)-1)),0)</f>
        <v>0</v>
      </c>
      <c r="D43" s="230"/>
      <c r="E43" s="230"/>
      <c r="F43" s="231"/>
      <c r="G43" s="3385"/>
    </row>
    <row r="44" spans="1:7" ht="13.5" customHeight="1">
      <c r="A44" s="734" t="s">
        <v>348</v>
      </c>
      <c r="B44" s="207" t="s">
        <v>1546</v>
      </c>
      <c r="C44" s="230">
        <f ca="1">ROUND(IF('数据-取费表'!B22&lt;=1,C40*F22*'数据-取费表'!B21/2,C40*(POWER((1+F22),'数据-取费表'!B21/2)-1)),4)</f>
        <v>5.9999999999999995E-4</v>
      </c>
      <c r="D44" s="230"/>
      <c r="E44" s="230"/>
      <c r="F44" s="231"/>
      <c r="G44" s="3386"/>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2" t="str">
        <f>项目基本情况!B1</f>
        <v>北京市石景山区古城西路66号院1号楼1至2层103房地产抵押价值预评估</v>
      </c>
      <c r="C37" s="3202"/>
      <c r="D37" s="3202"/>
      <c r="E37" s="3202"/>
      <c r="F37" s="3202"/>
      <c r="G37" s="3202"/>
      <c r="H37" s="3202"/>
      <c r="I37" s="3202"/>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zoomScale="60" zoomScaleNormal="70" workbookViewId="0">
      <selection activeCell="C103" sqref="C103:I104"/>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c r="E1" s="3120" t="s">
        <v>3518</v>
      </c>
      <c r="F1" s="1733" t="s">
        <v>3519</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 ca="1">IF(E1="项目模式",IF(C2="——",ROUND(C49*D3/10000,0),ROUND(C49*D3/10000,0)-D2),IF(E1="单套模式",IF(C2="——",ROUND(C49*D3/10000,4),ROUND(C49*D3/10000,4)-D2)))</f>
        <v>881.6789</v>
      </c>
      <c r="C2" s="1735" t="s">
        <v>3666</v>
      </c>
      <c r="D2" s="1050">
        <f ca="1">IF(E1="项目模式",SUMIF(INDIRECT("'"&amp;F2&amp;"'"&amp;"!A:A"),"承租人权益价值",INDIRECT("'"&amp;F2&amp;"'"&amp;"!c:c")),SUMIF(INDIRECT("'"&amp;F2&amp;"'"&amp;"!A:A"),"承租人权益价值（单套）",INDIRECT("'"&amp;F2&amp;"'"&amp;"!c:c")))</f>
        <v>4.7493999999999996</v>
      </c>
      <c r="E2" s="1736" t="s">
        <v>1463</v>
      </c>
      <c r="F2" s="1737" t="s">
        <v>3661</v>
      </c>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 ca="1">IF(C2="——",C49,ROUND(B2*10000/D3,0))</f>
        <v>36400</v>
      </c>
      <c r="C3" s="344" t="s">
        <v>1768</v>
      </c>
      <c r="D3" s="343">
        <f>IF(D1="",'数据-汇总表'!E3,SUMIF('数据-汇总表'!$C19:$C33,D1,'数据-汇总表'!$E19:$E33))</f>
        <v>242.22</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393" t="s">
        <v>1771</v>
      </c>
      <c r="S4" s="3394"/>
      <c r="T4" s="3393" t="s">
        <v>1772</v>
      </c>
      <c r="U4" s="3394"/>
      <c r="V4" s="3390" t="s">
        <v>1773</v>
      </c>
      <c r="W4" s="3390"/>
      <c r="X4" s="1263"/>
      <c r="Y4" s="3393" t="s">
        <v>1775</v>
      </c>
      <c r="Z4" s="3394"/>
      <c r="AA4" s="3387" t="s">
        <v>1771</v>
      </c>
      <c r="AB4" s="3390" t="s">
        <v>1772</v>
      </c>
      <c r="AC4" s="3387" t="s">
        <v>1773</v>
      </c>
    </row>
    <row r="5" spans="1:29">
      <c r="A5" s="348"/>
      <c r="B5" s="349"/>
      <c r="C5" s="3399" t="s">
        <v>3565</v>
      </c>
      <c r="D5" s="3400"/>
      <c r="E5" s="3397" t="str">
        <f>C5</f>
        <v>古城现代嘉园</v>
      </c>
      <c r="F5" s="3398"/>
      <c r="G5" s="3403" t="str">
        <f>C5</f>
        <v>古城现代嘉园</v>
      </c>
      <c r="H5" s="3400"/>
      <c r="I5" s="3403" t="str">
        <f>C5</f>
        <v>古城现代嘉园</v>
      </c>
      <c r="J5" s="3400"/>
      <c r="K5" s="537"/>
      <c r="L5" s="2482"/>
      <c r="M5" s="2483"/>
      <c r="N5" s="2483"/>
      <c r="O5" s="2483"/>
      <c r="P5" s="3413"/>
      <c r="Q5" s="3414"/>
      <c r="R5" s="3395"/>
      <c r="S5" s="3396"/>
      <c r="T5" s="3395"/>
      <c r="U5" s="3396"/>
      <c r="V5" s="3390"/>
      <c r="W5" s="3390"/>
      <c r="X5" s="1263"/>
      <c r="Y5" s="3395"/>
      <c r="Z5" s="3396"/>
      <c r="AA5" s="3388"/>
      <c r="AB5" s="3390"/>
      <c r="AC5" s="3388"/>
    </row>
    <row r="6" spans="1:29" ht="15" thickBot="1">
      <c r="A6" s="350"/>
      <c r="B6" s="351"/>
      <c r="C6" s="3401" t="s">
        <v>1677</v>
      </c>
      <c r="D6" s="3402"/>
      <c r="E6" s="3404"/>
      <c r="F6" s="3405"/>
      <c r="G6" s="3401" t="s">
        <v>1677</v>
      </c>
      <c r="H6" s="3402"/>
      <c r="I6" s="3401" t="s">
        <v>1677</v>
      </c>
      <c r="J6" s="3402"/>
      <c r="K6" s="537" t="s">
        <v>1678</v>
      </c>
      <c r="L6" s="2482"/>
      <c r="M6" s="2483"/>
      <c r="N6" s="2483"/>
      <c r="O6" s="2483"/>
      <c r="P6" s="3415"/>
      <c r="Q6" s="3416"/>
      <c r="R6" s="3395"/>
      <c r="S6" s="3396"/>
      <c r="T6" s="3417"/>
      <c r="U6" s="3418"/>
      <c r="V6" s="3390"/>
      <c r="W6" s="3390"/>
      <c r="X6" s="1263"/>
      <c r="Y6" s="3417"/>
      <c r="Z6" s="3418"/>
      <c r="AA6" s="3389"/>
      <c r="AB6" s="3390"/>
      <c r="AC6" s="3389"/>
    </row>
    <row r="7" spans="1:29" s="102" customFormat="1" ht="15" thickBot="1">
      <c r="A7" s="352" t="s">
        <v>1679</v>
      </c>
      <c r="B7" s="353"/>
      <c r="C7" s="354">
        <f>'数据-取费表'!B2</f>
        <v>45799</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391" t="s">
        <v>1680</v>
      </c>
      <c r="Q7" s="3419"/>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50">
        <f>D7/J7</f>
        <v>1</v>
      </c>
    </row>
    <row r="8" spans="1:29" s="102" customFormat="1" ht="15" thickBot="1">
      <c r="A8" s="352" t="s">
        <v>1681</v>
      </c>
      <c r="B8" s="353"/>
      <c r="C8" s="358" t="s">
        <v>3520</v>
      </c>
      <c r="D8" s="355">
        <v>100</v>
      </c>
      <c r="E8" s="358" t="s">
        <v>3520</v>
      </c>
      <c r="F8" s="357">
        <f>SUMIF(61:61,E8,62:62)-SUMIF(61:61,C8,62:62)+100</f>
        <v>100</v>
      </c>
      <c r="G8" s="358" t="s">
        <v>3520</v>
      </c>
      <c r="H8" s="355">
        <f>SUMIF(61:61,G8,62:62)-SUMIF(61:61,C8,62:62)+100</f>
        <v>100</v>
      </c>
      <c r="I8" s="358" t="s">
        <v>3520</v>
      </c>
      <c r="J8" s="355">
        <f>SUMIF(61:61,I8,62:62)-SUMIF(61:61,C8,62:62)+100</f>
        <v>100</v>
      </c>
      <c r="K8" s="38"/>
      <c r="L8" s="2484"/>
      <c r="M8" s="2436"/>
      <c r="N8" s="2436"/>
      <c r="O8" s="2436"/>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173" t="s">
        <v>3521</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28" t="s">
        <v>3523</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6"/>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6"/>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20" t="s">
        <v>1691</v>
      </c>
      <c r="Q15" s="1261" t="str">
        <f t="shared" si="6"/>
        <v>商业繁华度</v>
      </c>
      <c r="R15" s="667" t="s">
        <v>14</v>
      </c>
      <c r="S15" s="668">
        <f t="shared" si="0"/>
        <v>100</v>
      </c>
      <c r="T15" s="667" t="s">
        <v>14</v>
      </c>
      <c r="U15" s="668">
        <f t="shared" si="1"/>
        <v>100</v>
      </c>
      <c r="V15" s="667" t="s">
        <v>14</v>
      </c>
      <c r="W15" s="668">
        <f t="shared" si="2"/>
        <v>100</v>
      </c>
      <c r="X15" s="1263"/>
      <c r="Y15" s="3422" t="s">
        <v>1691</v>
      </c>
      <c r="Z15" s="1262" t="str">
        <f t="shared" si="7"/>
        <v>商业繁华度</v>
      </c>
      <c r="AA15" s="1262">
        <f t="shared" si="3"/>
        <v>1</v>
      </c>
      <c r="AB15" s="1262">
        <f t="shared" si="4"/>
        <v>1</v>
      </c>
      <c r="AC15" s="1262">
        <f t="shared" si="5"/>
        <v>1</v>
      </c>
    </row>
    <row r="16" spans="1:29" ht="15">
      <c r="A16" s="367"/>
      <c r="B16" s="385"/>
      <c r="C16" s="386" t="s">
        <v>3446</v>
      </c>
      <c r="D16" s="387"/>
      <c r="E16" s="386" t="s">
        <v>3446</v>
      </c>
      <c r="F16" s="388"/>
      <c r="G16" s="386" t="s">
        <v>3446</v>
      </c>
      <c r="H16" s="389"/>
      <c r="I16" s="386" t="s">
        <v>3446</v>
      </c>
      <c r="J16" s="387"/>
      <c r="K16" s="541"/>
      <c r="L16" s="2488"/>
      <c r="M16" s="2483"/>
      <c r="N16" s="2483"/>
      <c r="O16" s="2483"/>
      <c r="P16" s="3421"/>
      <c r="Q16" s="1261"/>
      <c r="R16" s="667"/>
      <c r="S16" s="668"/>
      <c r="T16" s="667"/>
      <c r="U16" s="668"/>
      <c r="V16" s="667"/>
      <c r="W16" s="668"/>
      <c r="X16" s="1263"/>
      <c r="Y16" s="3423"/>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21"/>
      <c r="Q17" s="1261" t="str">
        <f>B17</f>
        <v>交通便捷度</v>
      </c>
      <c r="R17" s="667" t="s">
        <v>14</v>
      </c>
      <c r="S17" s="668">
        <f>F17</f>
        <v>100</v>
      </c>
      <c r="T17" s="667" t="s">
        <v>14</v>
      </c>
      <c r="U17" s="668">
        <f>H17</f>
        <v>100</v>
      </c>
      <c r="V17" s="667" t="s">
        <v>14</v>
      </c>
      <c r="W17" s="668">
        <f>J17</f>
        <v>100</v>
      </c>
      <c r="X17" s="1263"/>
      <c r="Y17" s="3423"/>
      <c r="Z17" s="1262" t="str">
        <f>Q17</f>
        <v>交通便捷度</v>
      </c>
      <c r="AA17" s="1262">
        <f t="shared" si="3"/>
        <v>1</v>
      </c>
      <c r="AB17" s="1262">
        <f t="shared" si="4"/>
        <v>1</v>
      </c>
      <c r="AC17" s="1262">
        <f t="shared" si="5"/>
        <v>1</v>
      </c>
    </row>
    <row r="18" spans="1:29" ht="15">
      <c r="A18" s="367"/>
      <c r="B18" s="395"/>
      <c r="C18" s="1753" t="s">
        <v>3447</v>
      </c>
      <c r="D18" s="389"/>
      <c r="E18" s="1753" t="s">
        <v>3447</v>
      </c>
      <c r="F18" s="392"/>
      <c r="G18" s="1753" t="s">
        <v>3447</v>
      </c>
      <c r="H18" s="387"/>
      <c r="I18" s="1753" t="s">
        <v>3447</v>
      </c>
      <c r="J18" s="387"/>
      <c r="K18" s="541"/>
      <c r="L18" s="2488"/>
      <c r="M18" s="2483"/>
      <c r="N18" s="2483"/>
      <c r="O18" s="2483"/>
      <c r="P18" s="3421"/>
      <c r="Q18" s="1261"/>
      <c r="R18" s="667"/>
      <c r="S18" s="668"/>
      <c r="T18" s="667"/>
      <c r="U18" s="668"/>
      <c r="V18" s="667"/>
      <c r="W18" s="668"/>
      <c r="X18" s="1263"/>
      <c r="Y18" s="3423"/>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421"/>
      <c r="Q19" s="1261" t="str">
        <f>B19</f>
        <v>公共配套设施</v>
      </c>
      <c r="R19" s="667" t="s">
        <v>14</v>
      </c>
      <c r="S19" s="668">
        <f>F19</f>
        <v>100</v>
      </c>
      <c r="T19" s="667" t="s">
        <v>14</v>
      </c>
      <c r="U19" s="668">
        <f>H19</f>
        <v>100</v>
      </c>
      <c r="V19" s="667" t="s">
        <v>14</v>
      </c>
      <c r="W19" s="668">
        <f>J19</f>
        <v>100</v>
      </c>
      <c r="X19" s="1263"/>
      <c r="Y19" s="3423"/>
      <c r="Z19" s="1262" t="str">
        <f>Q19</f>
        <v>公共配套设施</v>
      </c>
      <c r="AA19" s="1262">
        <f t="shared" si="3"/>
        <v>1</v>
      </c>
      <c r="AB19" s="1262">
        <f t="shared" si="4"/>
        <v>1</v>
      </c>
      <c r="AC19" s="1262">
        <f t="shared" si="5"/>
        <v>1</v>
      </c>
    </row>
    <row r="20" spans="1:29" ht="15">
      <c r="A20" s="367"/>
      <c r="B20" s="395"/>
      <c r="C20" s="386" t="s">
        <v>3447</v>
      </c>
      <c r="D20" s="387"/>
      <c r="E20" s="386" t="s">
        <v>3447</v>
      </c>
      <c r="F20" s="388"/>
      <c r="G20" s="386" t="s">
        <v>3447</v>
      </c>
      <c r="H20" s="387"/>
      <c r="I20" s="386" t="s">
        <v>3447</v>
      </c>
      <c r="J20" s="387"/>
      <c r="K20" s="541"/>
      <c r="L20" s="2488"/>
      <c r="M20" s="2483"/>
      <c r="N20" s="2483"/>
      <c r="O20" s="2483"/>
      <c r="P20" s="3421"/>
      <c r="Q20" s="1261"/>
      <c r="R20" s="667"/>
      <c r="S20" s="668"/>
      <c r="T20" s="667"/>
      <c r="U20" s="668"/>
      <c r="V20" s="667"/>
      <c r="W20" s="668"/>
      <c r="X20" s="1263"/>
      <c r="Y20" s="3423"/>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21"/>
      <c r="Q21" s="1261" t="str">
        <f>B21</f>
        <v>基础设施水平</v>
      </c>
      <c r="R21" s="667" t="s">
        <v>14</v>
      </c>
      <c r="S21" s="668">
        <f>F21</f>
        <v>100</v>
      </c>
      <c r="T21" s="667" t="s">
        <v>14</v>
      </c>
      <c r="U21" s="668">
        <f>H21</f>
        <v>100</v>
      </c>
      <c r="V21" s="667" t="s">
        <v>14</v>
      </c>
      <c r="W21" s="668">
        <f>J21</f>
        <v>100</v>
      </c>
      <c r="X21" s="1263"/>
      <c r="Y21" s="3423"/>
      <c r="Z21" s="1262" t="str">
        <f>Q21</f>
        <v>基础设施水平</v>
      </c>
      <c r="AA21" s="1262">
        <f t="shared" ref="AA21" si="8">D21/F21</f>
        <v>1</v>
      </c>
      <c r="AB21" s="1262">
        <f t="shared" ref="AB21" si="9">D21/H21</f>
        <v>1</v>
      </c>
      <c r="AC21" s="1262">
        <f t="shared" ref="AC21" si="10">D21/J21</f>
        <v>1</v>
      </c>
    </row>
    <row r="22" spans="1:29" ht="15">
      <c r="A22" s="367"/>
      <c r="B22" s="586"/>
      <c r="C22" s="1753" t="s">
        <v>3542</v>
      </c>
      <c r="D22" s="387"/>
      <c r="E22" s="1753" t="s">
        <v>3542</v>
      </c>
      <c r="F22" s="388"/>
      <c r="G22" s="1753" t="s">
        <v>3542</v>
      </c>
      <c r="H22" s="387"/>
      <c r="I22" s="1753" t="s">
        <v>3542</v>
      </c>
      <c r="J22" s="387"/>
      <c r="K22" s="1062"/>
      <c r="L22" s="2488"/>
      <c r="M22" s="2483"/>
      <c r="N22" s="2483"/>
      <c r="O22" s="2483"/>
      <c r="P22" s="3421"/>
      <c r="Q22" s="1261"/>
      <c r="R22" s="667"/>
      <c r="S22" s="668"/>
      <c r="T22" s="667"/>
      <c r="U22" s="668"/>
      <c r="V22" s="667"/>
      <c r="W22" s="668"/>
      <c r="X22" s="1263"/>
      <c r="Y22" s="3423"/>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21"/>
      <c r="Q23" s="1261" t="str">
        <f>B23</f>
        <v>自然及人文环境</v>
      </c>
      <c r="R23" s="667" t="s">
        <v>14</v>
      </c>
      <c r="S23" s="668">
        <f>F23</f>
        <v>100</v>
      </c>
      <c r="T23" s="667" t="s">
        <v>14</v>
      </c>
      <c r="U23" s="668">
        <f>H23</f>
        <v>100</v>
      </c>
      <c r="V23" s="667" t="s">
        <v>14</v>
      </c>
      <c r="W23" s="668">
        <f>J23</f>
        <v>100</v>
      </c>
      <c r="X23" s="1263"/>
      <c r="Y23" s="3423"/>
      <c r="Z23" s="1262" t="str">
        <f>Q23</f>
        <v>自然及人文环境</v>
      </c>
      <c r="AA23" s="1262">
        <f t="shared" si="3"/>
        <v>1</v>
      </c>
      <c r="AB23" s="1262">
        <f t="shared" si="4"/>
        <v>1</v>
      </c>
      <c r="AC23" s="1262">
        <f t="shared" si="5"/>
        <v>1</v>
      </c>
    </row>
    <row r="24" spans="1:29" ht="15">
      <c r="A24" s="367"/>
      <c r="B24" s="395"/>
      <c r="C24" s="386" t="s">
        <v>3447</v>
      </c>
      <c r="D24" s="387"/>
      <c r="E24" s="386" t="s">
        <v>3447</v>
      </c>
      <c r="F24" s="388"/>
      <c r="G24" s="386" t="s">
        <v>3447</v>
      </c>
      <c r="H24" s="387"/>
      <c r="I24" s="386" t="s">
        <v>3447</v>
      </c>
      <c r="J24" s="387"/>
      <c r="K24" s="541"/>
      <c r="L24" s="2488"/>
      <c r="M24" s="2483"/>
      <c r="N24" s="2483"/>
      <c r="O24" s="2483"/>
      <c r="P24" s="3421"/>
      <c r="Q24" s="1261"/>
      <c r="R24" s="667"/>
      <c r="S24" s="668"/>
      <c r="T24" s="667"/>
      <c r="U24" s="668"/>
      <c r="V24" s="667"/>
      <c r="W24" s="668"/>
      <c r="X24" s="1263"/>
      <c r="Y24" s="3423"/>
      <c r="Z24" s="1262"/>
      <c r="AA24" s="1262">
        <v>1</v>
      </c>
      <c r="AB24" s="1262">
        <v>1</v>
      </c>
      <c r="AC24" s="1262">
        <v>1</v>
      </c>
    </row>
    <row r="25" spans="1:29" ht="15">
      <c r="A25" s="367"/>
      <c r="B25" s="364" t="s">
        <v>1780</v>
      </c>
      <c r="C25" s="542" t="s">
        <v>3689</v>
      </c>
      <c r="D25" s="374">
        <v>100</v>
      </c>
      <c r="E25" s="542" t="s">
        <v>3689</v>
      </c>
      <c r="F25" s="400">
        <f>SUMIF(86:86,E25,87:87)-SUMIF(86:86,C25,87:87)+100</f>
        <v>100</v>
      </c>
      <c r="G25" s="542" t="s">
        <v>3689</v>
      </c>
      <c r="H25" s="374">
        <f>SUMIF(86:86,G25,87:87)-SUMIF(86:86,C25,87:87)+100</f>
        <v>100</v>
      </c>
      <c r="I25" s="542" t="s">
        <v>3689</v>
      </c>
      <c r="J25" s="374">
        <f>SUMIF(86:86,I25,87:87)-SUMIF(86:86,C25,87:87)+100</f>
        <v>100</v>
      </c>
      <c r="K25" s="538">
        <v>4</v>
      </c>
      <c r="L25" s="2488"/>
      <c r="M25" s="2483"/>
      <c r="N25" s="2483"/>
      <c r="O25" s="2483"/>
      <c r="P25" s="3421"/>
      <c r="Q25" s="1261" t="str">
        <f t="shared" ref="Q25:Q46" si="11">B25</f>
        <v>临街状况</v>
      </c>
      <c r="R25" s="667" t="s">
        <v>14</v>
      </c>
      <c r="S25" s="668">
        <f>F25</f>
        <v>100</v>
      </c>
      <c r="T25" s="667" t="s">
        <v>14</v>
      </c>
      <c r="U25" s="668">
        <f>H25</f>
        <v>100</v>
      </c>
      <c r="V25" s="667" t="s">
        <v>14</v>
      </c>
      <c r="W25" s="668">
        <f>J25</f>
        <v>100</v>
      </c>
      <c r="X25" s="1263"/>
      <c r="Y25" s="3423"/>
      <c r="Z25" s="1262" t="str">
        <f>Q25</f>
        <v>临街状况</v>
      </c>
      <c r="AA25" s="1262">
        <f t="shared" si="3"/>
        <v>1</v>
      </c>
      <c r="AB25" s="1262">
        <f t="shared" si="4"/>
        <v>1</v>
      </c>
      <c r="AC25" s="1262">
        <f t="shared" si="5"/>
        <v>1</v>
      </c>
    </row>
    <row r="26" spans="1:29" ht="15">
      <c r="A26" s="367"/>
      <c r="B26" s="1064" t="s">
        <v>1781</v>
      </c>
      <c r="C26" s="3179" t="s">
        <v>3531</v>
      </c>
      <c r="D26" s="374">
        <v>100</v>
      </c>
      <c r="E26" s="3179" t="s">
        <v>3531</v>
      </c>
      <c r="F26" s="400">
        <f>SUMIF(88:88,E26,89:89)-SUMIF(88:88,C26,89:89)+100</f>
        <v>100</v>
      </c>
      <c r="G26" s="3179" t="s">
        <v>3531</v>
      </c>
      <c r="H26" s="374">
        <f>SUMIF(88:88,G26,89:89)-SUMIF(88:88,C26,89:89)+100</f>
        <v>100</v>
      </c>
      <c r="I26" s="3179" t="s">
        <v>3531</v>
      </c>
      <c r="J26" s="374">
        <f>SUMIF(88:88,I26,89:89)-SUMIF(88:88,C26,89:89)+100</f>
        <v>100</v>
      </c>
      <c r="K26" s="539"/>
      <c r="L26" s="2488"/>
      <c r="M26" s="2483"/>
      <c r="N26" s="2483"/>
      <c r="O26" s="2483"/>
      <c r="P26" s="3421"/>
      <c r="Q26" s="1261" t="str">
        <f t="shared" si="11"/>
        <v>平面位置/可视性</v>
      </c>
      <c r="R26" s="667" t="s">
        <v>14</v>
      </c>
      <c r="S26" s="668">
        <f>F26</f>
        <v>100</v>
      </c>
      <c r="T26" s="667" t="s">
        <v>14</v>
      </c>
      <c r="U26" s="668">
        <f>H26</f>
        <v>100</v>
      </c>
      <c r="V26" s="667" t="s">
        <v>14</v>
      </c>
      <c r="W26" s="668">
        <f>J26</f>
        <v>100</v>
      </c>
      <c r="X26" s="1263"/>
      <c r="Y26" s="3423"/>
      <c r="Z26" s="1262" t="str">
        <f>Q26</f>
        <v>平面位置/可视性</v>
      </c>
      <c r="AA26" s="1262">
        <f t="shared" si="3"/>
        <v>1</v>
      </c>
      <c r="AB26" s="1262">
        <f t="shared" si="4"/>
        <v>1</v>
      </c>
      <c r="AC26" s="1262">
        <f t="shared" si="5"/>
        <v>1</v>
      </c>
    </row>
    <row r="27" spans="1:29" s="102" customFormat="1" ht="15">
      <c r="A27" s="370"/>
      <c r="B27" s="390" t="s">
        <v>1782</v>
      </c>
      <c r="C27" s="1805" t="s">
        <v>3446</v>
      </c>
      <c r="D27" s="401">
        <v>100</v>
      </c>
      <c r="E27" s="1805" t="s">
        <v>3446</v>
      </c>
      <c r="F27" s="395">
        <f>SUMIF(90:90,E27,91:91)-SUMIF(90:90,C27,91:91)+100</f>
        <v>100</v>
      </c>
      <c r="G27" s="1805" t="s">
        <v>3446</v>
      </c>
      <c r="H27" s="401">
        <f>SUMIF(90:90,G27,91:91)-SUMIF(90:90,C27,91:91)+100</f>
        <v>100</v>
      </c>
      <c r="I27" s="1805" t="s">
        <v>3446</v>
      </c>
      <c r="J27" s="401">
        <f>SUMIF(90:90,I27,91:91)-SUMIF(90:90,C27,91:91)+100</f>
        <v>100</v>
      </c>
      <c r="K27" s="538">
        <v>5</v>
      </c>
      <c r="L27" s="2484"/>
      <c r="M27" s="2436"/>
      <c r="N27" s="2436"/>
      <c r="O27" s="2436"/>
      <c r="P27" s="3421"/>
      <c r="Q27" s="530" t="str">
        <f t="shared" si="11"/>
        <v>人流量</v>
      </c>
      <c r="R27" s="664" t="s">
        <v>14</v>
      </c>
      <c r="S27" s="665">
        <f>F27</f>
        <v>100</v>
      </c>
      <c r="T27" s="664" t="s">
        <v>14</v>
      </c>
      <c r="U27" s="665">
        <f>H27</f>
        <v>100</v>
      </c>
      <c r="V27" s="664" t="s">
        <v>14</v>
      </c>
      <c r="W27" s="665">
        <f>J27</f>
        <v>100</v>
      </c>
      <c r="X27" s="666"/>
      <c r="Y27" s="3423"/>
      <c r="Z27" s="50" t="str">
        <f>Q27</f>
        <v>人流量</v>
      </c>
      <c r="AA27" s="1262">
        <f>D27/F27</f>
        <v>1</v>
      </c>
      <c r="AB27" s="1262">
        <f>D27/H27</f>
        <v>1</v>
      </c>
      <c r="AC27" s="1262">
        <f>D27/J27</f>
        <v>1</v>
      </c>
    </row>
    <row r="28" spans="1:29" ht="15">
      <c r="A28" s="367"/>
      <c r="B28" s="364" t="s">
        <v>1783</v>
      </c>
      <c r="C28" s="542" t="s">
        <v>3566</v>
      </c>
      <c r="D28" s="374">
        <v>100</v>
      </c>
      <c r="E28" s="542" t="s">
        <v>3566</v>
      </c>
      <c r="F28" s="400">
        <f>SUMIF(92:92,E28,93:93)-SUMIF(92:92,C28,93:93)+100</f>
        <v>100</v>
      </c>
      <c r="G28" s="542" t="s">
        <v>3566</v>
      </c>
      <c r="H28" s="374">
        <f>SUMIF(92:92,G28,93:93)-SUMIF(92:92,C28,93:93)+100</f>
        <v>100</v>
      </c>
      <c r="I28" s="542" t="s">
        <v>3566</v>
      </c>
      <c r="J28" s="374">
        <f>SUMIF(92:92,I28,93:93)-SUMIF(92:92,C28,93:93)+100</f>
        <v>100</v>
      </c>
      <c r="K28" s="539"/>
      <c r="L28" s="2488"/>
      <c r="M28" s="2483"/>
      <c r="N28" s="2483"/>
      <c r="O28" s="2483"/>
      <c r="P28" s="3421"/>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3"/>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1"/>
      <c r="Q29" s="1261">
        <f t="shared" si="11"/>
        <v>111</v>
      </c>
      <c r="R29" s="667" t="s">
        <v>14</v>
      </c>
      <c r="S29" s="668">
        <f t="shared" si="12"/>
        <v>100</v>
      </c>
      <c r="T29" s="667" t="s">
        <v>14</v>
      </c>
      <c r="U29" s="668">
        <f t="shared" si="13"/>
        <v>100</v>
      </c>
      <c r="V29" s="667" t="s">
        <v>14</v>
      </c>
      <c r="W29" s="668">
        <f t="shared" si="14"/>
        <v>100</v>
      </c>
      <c r="X29" s="1263"/>
      <c r="Y29" s="3423"/>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1"/>
      <c r="Q30" s="1261">
        <f t="shared" si="11"/>
        <v>111</v>
      </c>
      <c r="R30" s="667" t="s">
        <v>14</v>
      </c>
      <c r="S30" s="668">
        <f t="shared" si="12"/>
        <v>100</v>
      </c>
      <c r="T30" s="667" t="s">
        <v>14</v>
      </c>
      <c r="U30" s="668">
        <f t="shared" si="13"/>
        <v>100</v>
      </c>
      <c r="V30" s="667" t="s">
        <v>14</v>
      </c>
      <c r="W30" s="668">
        <f t="shared" si="14"/>
        <v>100</v>
      </c>
      <c r="X30" s="1263"/>
      <c r="Y30" s="3423"/>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1"/>
      <c r="Q31" s="1261">
        <f t="shared" si="11"/>
        <v>111</v>
      </c>
      <c r="R31" s="667" t="s">
        <v>14</v>
      </c>
      <c r="S31" s="668">
        <f t="shared" si="12"/>
        <v>100</v>
      </c>
      <c r="T31" s="667" t="s">
        <v>14</v>
      </c>
      <c r="U31" s="668">
        <f t="shared" si="13"/>
        <v>100</v>
      </c>
      <c r="V31" s="667" t="s">
        <v>14</v>
      </c>
      <c r="W31" s="668">
        <f t="shared" si="14"/>
        <v>100</v>
      </c>
      <c r="X31" s="1263"/>
      <c r="Y31" s="3423"/>
      <c r="Z31" s="1262">
        <f t="shared" si="15"/>
        <v>111</v>
      </c>
      <c r="AA31" s="1262">
        <f t="shared" si="3"/>
        <v>1</v>
      </c>
      <c r="AB31" s="1262">
        <f t="shared" si="4"/>
        <v>1</v>
      </c>
      <c r="AC31" s="1262">
        <f t="shared" si="5"/>
        <v>1</v>
      </c>
    </row>
    <row r="32" spans="1:29" ht="15">
      <c r="A32" s="379" t="s">
        <v>1694</v>
      </c>
      <c r="B32" s="60" t="s">
        <v>1784</v>
      </c>
      <c r="C32" s="1762" t="s">
        <v>3539</v>
      </c>
      <c r="D32" s="405">
        <v>100</v>
      </c>
      <c r="E32" s="1762" t="s">
        <v>3539</v>
      </c>
      <c r="F32" s="400">
        <f>SUMIF(100:100,E32,101:101)-SUMIF(100:100,C32,101:101)+100</f>
        <v>100</v>
      </c>
      <c r="G32" s="1762" t="s">
        <v>3539</v>
      </c>
      <c r="H32" s="374">
        <f>SUMIF(100:100,G32,101:101)-SUMIF(100:100,C32,101:101)+100</f>
        <v>100</v>
      </c>
      <c r="I32" s="1762" t="s">
        <v>3539</v>
      </c>
      <c r="J32" s="405">
        <f>SUMIF(100:100,I32,101:101)-SUMIF(100:100,C32,101:101)+100</f>
        <v>100</v>
      </c>
      <c r="K32" s="538">
        <v>2</v>
      </c>
      <c r="L32" s="2488"/>
      <c r="M32" s="2483"/>
      <c r="N32" s="2483"/>
      <c r="O32" s="2483"/>
      <c r="P32" s="3424" t="s">
        <v>1696</v>
      </c>
      <c r="Q32" s="1261" t="str">
        <f t="shared" si="11"/>
        <v>商业类型</v>
      </c>
      <c r="R32" s="667" t="s">
        <v>14</v>
      </c>
      <c r="S32" s="668">
        <f t="shared" si="12"/>
        <v>100</v>
      </c>
      <c r="T32" s="667" t="s">
        <v>14</v>
      </c>
      <c r="U32" s="668">
        <f t="shared" si="13"/>
        <v>100</v>
      </c>
      <c r="V32" s="667" t="s">
        <v>14</v>
      </c>
      <c r="W32" s="668">
        <f t="shared" si="14"/>
        <v>100</v>
      </c>
      <c r="X32" s="1263"/>
      <c r="Y32" s="3427" t="s">
        <v>1696</v>
      </c>
      <c r="Z32" s="1262" t="str">
        <f t="shared" si="15"/>
        <v>商业类型</v>
      </c>
      <c r="AA32" s="1262">
        <f t="shared" si="3"/>
        <v>1</v>
      </c>
      <c r="AB32" s="1262">
        <f t="shared" si="4"/>
        <v>1</v>
      </c>
      <c r="AC32" s="1262">
        <f t="shared" si="5"/>
        <v>1</v>
      </c>
    </row>
    <row r="33" spans="1:29" s="408" customFormat="1" ht="15">
      <c r="A33" s="406"/>
      <c r="B33" s="364" t="s">
        <v>1697</v>
      </c>
      <c r="C33" s="407">
        <f>'数据-汇总表'!E3</f>
        <v>242.22</v>
      </c>
      <c r="D33" s="119">
        <v>100</v>
      </c>
      <c r="E33" s="369">
        <f>中指成交案例!L9</f>
        <v>145.44999999999999</v>
      </c>
      <c r="F33" s="364">
        <f>LOOKUP(E33,103:103,104:104)-LOOKUP(C33,103:103,104:104)+100</f>
        <v>102</v>
      </c>
      <c r="G33" s="368">
        <f>中指成交案例!L11</f>
        <v>151.93</v>
      </c>
      <c r="H33" s="119">
        <f>LOOKUP(G33,103:103,104:104)-LOOKUP(C33,103:103,104:104)+100</f>
        <v>101</v>
      </c>
      <c r="I33" s="368">
        <f>中指成交案例!L14</f>
        <v>111.77</v>
      </c>
      <c r="J33" s="119">
        <f>LOOKUP(I33,103:103,104:104)-LOOKUP(C33,103:103,104:104)+100</f>
        <v>102</v>
      </c>
      <c r="K33" s="539"/>
      <c r="L33" s="2487"/>
      <c r="M33" s="2489"/>
      <c r="N33" s="2489"/>
      <c r="O33" s="2489"/>
      <c r="P33" s="3425"/>
      <c r="Q33" s="531" t="str">
        <f t="shared" si="11"/>
        <v>项目建筑规模</v>
      </c>
      <c r="R33" s="669" t="s">
        <v>14</v>
      </c>
      <c r="S33" s="670">
        <f t="shared" si="12"/>
        <v>102</v>
      </c>
      <c r="T33" s="669" t="s">
        <v>14</v>
      </c>
      <c r="U33" s="670">
        <f t="shared" si="13"/>
        <v>101</v>
      </c>
      <c r="V33" s="669" t="s">
        <v>14</v>
      </c>
      <c r="W33" s="670">
        <f t="shared" si="14"/>
        <v>102</v>
      </c>
      <c r="X33" s="671"/>
      <c r="Y33" s="3427"/>
      <c r="Z33" s="672" t="str">
        <f t="shared" si="15"/>
        <v>项目建筑规模</v>
      </c>
      <c r="AA33" s="1262">
        <f t="shared" si="3"/>
        <v>0.98039215686274506</v>
      </c>
      <c r="AB33" s="1262">
        <f t="shared" si="4"/>
        <v>0.99009900990099009</v>
      </c>
      <c r="AC33" s="1262">
        <f t="shared" si="5"/>
        <v>0.98039215686274506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25"/>
      <c r="Q34" s="1261" t="str">
        <f t="shared" si="11"/>
        <v>建筑结构</v>
      </c>
      <c r="R34" s="667" t="s">
        <v>14</v>
      </c>
      <c r="S34" s="668">
        <f t="shared" si="12"/>
        <v>100</v>
      </c>
      <c r="T34" s="667" t="s">
        <v>14</v>
      </c>
      <c r="U34" s="668">
        <f t="shared" si="13"/>
        <v>100</v>
      </c>
      <c r="V34" s="667" t="s">
        <v>14</v>
      </c>
      <c r="W34" s="668">
        <f t="shared" si="14"/>
        <v>100</v>
      </c>
      <c r="X34" s="1263"/>
      <c r="Y34" s="3427"/>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25"/>
      <c r="Q35" s="1261" t="str">
        <f t="shared" si="11"/>
        <v>公共部分装修</v>
      </c>
      <c r="R35" s="667" t="s">
        <v>14</v>
      </c>
      <c r="S35" s="668">
        <f t="shared" si="12"/>
        <v>100</v>
      </c>
      <c r="T35" s="667" t="s">
        <v>14</v>
      </c>
      <c r="U35" s="668">
        <f t="shared" si="13"/>
        <v>100</v>
      </c>
      <c r="V35" s="667" t="s">
        <v>14</v>
      </c>
      <c r="W35" s="668">
        <f t="shared" si="14"/>
        <v>100</v>
      </c>
      <c r="X35" s="1263"/>
      <c r="Y35" s="3427"/>
      <c r="Z35" s="1262" t="str">
        <f t="shared" si="15"/>
        <v>公共部分装修</v>
      </c>
      <c r="AA35" s="1262">
        <f t="shared" si="3"/>
        <v>1</v>
      </c>
      <c r="AB35" s="1262">
        <f t="shared" si="4"/>
        <v>1</v>
      </c>
      <c r="AC35" s="1262">
        <f t="shared" si="5"/>
        <v>1</v>
      </c>
    </row>
    <row r="36" spans="1:29" ht="15">
      <c r="A36" s="409"/>
      <c r="B36" s="364" t="s">
        <v>1786</v>
      </c>
      <c r="C36" s="411">
        <f>'数据-取费表'!N6</f>
        <v>0.82</v>
      </c>
      <c r="D36" s="374">
        <v>100</v>
      </c>
      <c r="E36" s="411">
        <f>C36</f>
        <v>0.82</v>
      </c>
      <c r="F36" s="400">
        <f>LOOKUP(E36,110:110,111:111)-LOOKUP(C36,110:110,111:111)+100</f>
        <v>100</v>
      </c>
      <c r="G36" s="411">
        <f>C36</f>
        <v>0.82</v>
      </c>
      <c r="H36" s="400">
        <f>LOOKUP(G36,110:110,111:111)-LOOKUP(C36,110:110,111:111)+100</f>
        <v>100</v>
      </c>
      <c r="I36" s="411">
        <f>C36</f>
        <v>0.82</v>
      </c>
      <c r="J36" s="374">
        <f>LOOKUP(I36,110:110,111:111)-LOOKUP(C36,110:110,111:111)+100</f>
        <v>100</v>
      </c>
      <c r="K36" s="538">
        <v>1</v>
      </c>
      <c r="L36" s="2488"/>
      <c r="M36" s="2483"/>
      <c r="N36" s="2483"/>
      <c r="O36" s="2483"/>
      <c r="P36" s="3425"/>
      <c r="Q36" s="1261" t="str">
        <f t="shared" si="11"/>
        <v>成新度</v>
      </c>
      <c r="R36" s="667" t="s">
        <v>14</v>
      </c>
      <c r="S36" s="668">
        <f t="shared" si="12"/>
        <v>100</v>
      </c>
      <c r="T36" s="667" t="s">
        <v>14</v>
      </c>
      <c r="U36" s="668">
        <f t="shared" si="13"/>
        <v>100</v>
      </c>
      <c r="V36" s="667" t="s">
        <v>14</v>
      </c>
      <c r="W36" s="668">
        <f t="shared" si="14"/>
        <v>100</v>
      </c>
      <c r="X36" s="1263"/>
      <c r="Y36" s="3427"/>
      <c r="Z36" s="1262" t="str">
        <f t="shared" si="15"/>
        <v>成新度</v>
      </c>
      <c r="AA36" s="1262">
        <f t="shared" si="3"/>
        <v>1</v>
      </c>
      <c r="AB36" s="1262">
        <f t="shared" si="4"/>
        <v>1</v>
      </c>
      <c r="AC36" s="1262">
        <f t="shared" si="5"/>
        <v>1</v>
      </c>
    </row>
    <row r="37" spans="1:29" s="102" customFormat="1" ht="15">
      <c r="A37" s="410"/>
      <c r="B37" s="364" t="s">
        <v>1787</v>
      </c>
      <c r="C37" s="1758" t="s">
        <v>3544</v>
      </c>
      <c r="D37" s="119">
        <v>100</v>
      </c>
      <c r="E37" s="1758" t="s">
        <v>3544</v>
      </c>
      <c r="F37" s="400">
        <f>SUMIF(112:112,E37,113:113)-SUMIF(112:112,C37,113:113)+100</f>
        <v>100</v>
      </c>
      <c r="G37" s="1758" t="s">
        <v>3544</v>
      </c>
      <c r="H37" s="374">
        <f>SUMIF(112:112,G37,113:113)-SUMIF(112:112,C37,113:113)+100</f>
        <v>100</v>
      </c>
      <c r="I37" s="1758" t="s">
        <v>3544</v>
      </c>
      <c r="J37" s="374">
        <f>SUMIF(112:112,I37,113:113)-SUMIF(112:112,C37,113:113)+100</f>
        <v>100</v>
      </c>
      <c r="K37" s="538">
        <v>1</v>
      </c>
      <c r="L37" s="2484"/>
      <c r="M37" s="2436"/>
      <c r="N37" s="2436"/>
      <c r="O37" s="2436"/>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1788</v>
      </c>
      <c r="C38" s="1758" t="s">
        <v>3548</v>
      </c>
      <c r="D38" s="374">
        <v>100</v>
      </c>
      <c r="E38" s="1758" t="s">
        <v>3548</v>
      </c>
      <c r="F38" s="400">
        <f>SUMIF(114:114,E38,115:115)-SUMIF(114:114,C38,115:115)+100</f>
        <v>100</v>
      </c>
      <c r="G38" s="1758" t="s">
        <v>3548</v>
      </c>
      <c r="H38" s="374">
        <f>SUMIF(114:114,G38,115:115)-SUMIF(114:114,C38,115:115)+100</f>
        <v>100</v>
      </c>
      <c r="I38" s="1758" t="s">
        <v>3548</v>
      </c>
      <c r="J38" s="374">
        <f>SUMIF(114:114,I38,115:115)-SUMIF(114:114,C38,115:115)+100</f>
        <v>100</v>
      </c>
      <c r="K38" s="538">
        <v>5</v>
      </c>
      <c r="L38" s="2488"/>
      <c r="M38" s="2483"/>
      <c r="N38" s="2483"/>
      <c r="O38" s="2483"/>
      <c r="P38" s="3425" t="s">
        <v>1696</v>
      </c>
      <c r="Q38" s="1261" t="str">
        <f t="shared" si="11"/>
        <v>业态</v>
      </c>
      <c r="R38" s="667" t="s">
        <v>14</v>
      </c>
      <c r="S38" s="668">
        <f t="shared" si="12"/>
        <v>100</v>
      </c>
      <c r="T38" s="667" t="s">
        <v>14</v>
      </c>
      <c r="U38" s="668">
        <f t="shared" si="13"/>
        <v>100</v>
      </c>
      <c r="V38" s="667" t="s">
        <v>14</v>
      </c>
      <c r="W38" s="668">
        <f t="shared" si="14"/>
        <v>100</v>
      </c>
      <c r="X38" s="1263"/>
      <c r="Y38" s="3427" t="s">
        <v>1696</v>
      </c>
      <c r="Z38" s="1262" t="str">
        <f t="shared" si="15"/>
        <v>业态</v>
      </c>
      <c r="AA38" s="1262">
        <f t="shared" si="3"/>
        <v>1</v>
      </c>
      <c r="AB38" s="1262">
        <f t="shared" si="4"/>
        <v>1</v>
      </c>
      <c r="AC38" s="1262">
        <f t="shared" si="5"/>
        <v>1</v>
      </c>
    </row>
    <row r="39" spans="1:29" ht="15">
      <c r="A39" s="409"/>
      <c r="B39" s="364" t="s">
        <v>1789</v>
      </c>
      <c r="C39" s="1758" t="s">
        <v>3567</v>
      </c>
      <c r="D39" s="374">
        <v>100</v>
      </c>
      <c r="E39" s="1758" t="s">
        <v>3567</v>
      </c>
      <c r="F39" s="400">
        <f>SUMIF(116:116,E39,117:117)-SUMIF(116:116,C39,117:117)+100</f>
        <v>100</v>
      </c>
      <c r="G39" s="1758" t="s">
        <v>3567</v>
      </c>
      <c r="H39" s="374">
        <f>SUMIF(116:116,G39,117:117)-SUMIF(116:116,C39,117:117)+100</f>
        <v>100</v>
      </c>
      <c r="I39" s="1758" t="s">
        <v>3567</v>
      </c>
      <c r="J39" s="374">
        <f>SUMIF(116:116,I39,117:117)-SUMIF(116:116,C39,117:117)+100</f>
        <v>100</v>
      </c>
      <c r="K39" s="538">
        <v>5</v>
      </c>
      <c r="L39" s="2488"/>
      <c r="M39" s="2483"/>
      <c r="N39" s="2483"/>
      <c r="O39" s="2483"/>
      <c r="P39" s="3425"/>
      <c r="Q39" s="1261" t="str">
        <f t="shared" si="11"/>
        <v>层高</v>
      </c>
      <c r="R39" s="667" t="s">
        <v>14</v>
      </c>
      <c r="S39" s="668">
        <f t="shared" si="12"/>
        <v>100</v>
      </c>
      <c r="T39" s="667" t="s">
        <v>14</v>
      </c>
      <c r="U39" s="668">
        <f t="shared" si="13"/>
        <v>100</v>
      </c>
      <c r="V39" s="667" t="s">
        <v>14</v>
      </c>
      <c r="W39" s="668">
        <f t="shared" si="14"/>
        <v>100</v>
      </c>
      <c r="X39" s="1263"/>
      <c r="Y39" s="3427"/>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5"/>
      <c r="Q40" s="1261" t="str">
        <f t="shared" si="11"/>
        <v>单套建筑面积</v>
      </c>
      <c r="R40" s="667" t="s">
        <v>14</v>
      </c>
      <c r="S40" s="668">
        <f t="shared" si="12"/>
        <v>100</v>
      </c>
      <c r="T40" s="667" t="s">
        <v>14</v>
      </c>
      <c r="U40" s="668">
        <f t="shared" si="13"/>
        <v>100</v>
      </c>
      <c r="V40" s="667" t="s">
        <v>14</v>
      </c>
      <c r="W40" s="668">
        <f t="shared" si="14"/>
        <v>100</v>
      </c>
      <c r="X40" s="1263"/>
      <c r="Y40" s="3427"/>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2">
        <f t="shared" si="3"/>
        <v>1</v>
      </c>
      <c r="AB41" s="1262">
        <f t="shared" si="4"/>
        <v>1</v>
      </c>
      <c r="AC41" s="1262">
        <f t="shared" si="5"/>
        <v>1</v>
      </c>
    </row>
    <row r="42" spans="1:29" ht="27.6">
      <c r="A42" s="409"/>
      <c r="B42" s="364" t="s">
        <v>1792</v>
      </c>
      <c r="C42" s="1758" t="s">
        <v>3575</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425"/>
      <c r="Q42" s="1261" t="str">
        <f t="shared" si="11"/>
        <v>内部装修</v>
      </c>
      <c r="R42" s="667" t="s">
        <v>14</v>
      </c>
      <c r="S42" s="668">
        <f t="shared" si="12"/>
        <v>99</v>
      </c>
      <c r="T42" s="667" t="s">
        <v>14</v>
      </c>
      <c r="U42" s="668">
        <f t="shared" si="13"/>
        <v>99</v>
      </c>
      <c r="V42" s="667" t="s">
        <v>14</v>
      </c>
      <c r="W42" s="668">
        <f t="shared" si="14"/>
        <v>99</v>
      </c>
      <c r="X42" s="1263"/>
      <c r="Y42" s="3427"/>
      <c r="Z42" s="1262" t="str">
        <f t="shared" si="15"/>
        <v>内部装修</v>
      </c>
      <c r="AA42" s="1262">
        <f t="shared" si="3"/>
        <v>1.0101010101010102</v>
      </c>
      <c r="AB42" s="1262">
        <f t="shared" si="4"/>
        <v>1.0101010101010102</v>
      </c>
      <c r="AC42" s="1262">
        <f t="shared" si="5"/>
        <v>1.0101010101010102</v>
      </c>
    </row>
    <row r="43" spans="1:29" ht="29.4" thickBot="1">
      <c r="A43" s="409"/>
      <c r="B43" s="364" t="s">
        <v>1707</v>
      </c>
      <c r="C43" s="1758" t="s">
        <v>3447</v>
      </c>
      <c r="D43" s="374">
        <v>100</v>
      </c>
      <c r="E43" s="1758" t="s">
        <v>3447</v>
      </c>
      <c r="F43" s="400">
        <f>SUMIF(124:124,E43,125:125)-SUMIF(124:124,C43,125:125)+100</f>
        <v>100</v>
      </c>
      <c r="G43" s="1758" t="s">
        <v>3447</v>
      </c>
      <c r="H43" s="374">
        <f>SUMIF(124:124,G43,125:125)-SUMIF(124:124,C43,125:125)+100</f>
        <v>100</v>
      </c>
      <c r="I43" s="1758" t="s">
        <v>3447</v>
      </c>
      <c r="J43" s="374">
        <f>SUMIF(124:124,I43,125:125)-SUMIF(124:124,C43,125:125)+100</f>
        <v>100</v>
      </c>
      <c r="K43" s="538">
        <v>2</v>
      </c>
      <c r="L43" s="2488"/>
      <c r="M43" s="2483"/>
      <c r="N43" s="2483"/>
      <c r="O43" s="2483"/>
      <c r="P43" s="3425"/>
      <c r="Q43" s="1261" t="str">
        <f t="shared" si="11"/>
        <v>内部装修维护情况</v>
      </c>
      <c r="R43" s="667" t="s">
        <v>14</v>
      </c>
      <c r="S43" s="668">
        <f t="shared" si="12"/>
        <v>100</v>
      </c>
      <c r="T43" s="667" t="s">
        <v>14</v>
      </c>
      <c r="U43" s="668">
        <f t="shared" si="13"/>
        <v>100</v>
      </c>
      <c r="V43" s="667" t="s">
        <v>14</v>
      </c>
      <c r="W43" s="668">
        <f t="shared" si="14"/>
        <v>100</v>
      </c>
      <c r="X43" s="1263"/>
      <c r="Y43" s="3427"/>
      <c r="Z43" s="1262" t="str">
        <f t="shared" si="15"/>
        <v>内部装修维护情况</v>
      </c>
      <c r="AA43" s="1262">
        <f t="shared" si="3"/>
        <v>1</v>
      </c>
      <c r="AB43" s="1262">
        <f t="shared" si="4"/>
        <v>1</v>
      </c>
      <c r="AC43" s="1262">
        <f t="shared" si="5"/>
        <v>1</v>
      </c>
    </row>
    <row r="44" spans="1:29" s="102" customFormat="1" ht="15.6" thickTop="1">
      <c r="A44" s="410"/>
      <c r="B44" s="1064" t="s">
        <v>3597</v>
      </c>
      <c r="C44" s="485" t="s">
        <v>3672</v>
      </c>
      <c r="D44" s="119">
        <v>100</v>
      </c>
      <c r="E44" s="485" t="s">
        <v>3674</v>
      </c>
      <c r="F44" s="364">
        <f>SUMIF(126:126,E44,127:127)-SUMIF(126:126,C44,127:127)+100</f>
        <v>90</v>
      </c>
      <c r="G44" s="485" t="s">
        <v>3674</v>
      </c>
      <c r="H44" s="119">
        <f>SUMIF(126:126,G44,127:127)-SUMIF(126:126,C44,127:127)+100</f>
        <v>90</v>
      </c>
      <c r="I44" s="485" t="s">
        <v>3674</v>
      </c>
      <c r="J44" s="119">
        <f>SUMIF(126:126,I44,127:127)-SUMIF(126:126,C44,127:127)+100</f>
        <v>90</v>
      </c>
      <c r="K44" s="539"/>
      <c r="L44" s="2484"/>
      <c r="M44" s="2436"/>
      <c r="N44" s="2436"/>
      <c r="O44" s="2436"/>
      <c r="P44" s="3425"/>
      <c r="Q44" s="530" t="str">
        <f t="shared" si="11"/>
        <v>1层面积占比</v>
      </c>
      <c r="R44" s="664" t="s">
        <v>14</v>
      </c>
      <c r="S44" s="665">
        <f t="shared" si="12"/>
        <v>90</v>
      </c>
      <c r="T44" s="664" t="s">
        <v>14</v>
      </c>
      <c r="U44" s="665">
        <f t="shared" si="13"/>
        <v>90</v>
      </c>
      <c r="V44" s="664" t="s">
        <v>14</v>
      </c>
      <c r="W44" s="665">
        <f t="shared" si="14"/>
        <v>90</v>
      </c>
      <c r="X44" s="666"/>
      <c r="Y44" s="3427"/>
      <c r="Z44" s="50" t="str">
        <f t="shared" si="15"/>
        <v>1层面积占比</v>
      </c>
      <c r="AA44" s="50">
        <f t="shared" si="3"/>
        <v>1.1111111111111112</v>
      </c>
      <c r="AB44" s="50">
        <f t="shared" si="4"/>
        <v>1.1111111111111112</v>
      </c>
      <c r="AC44" s="50">
        <f t="shared" si="5"/>
        <v>1.1111111111111112</v>
      </c>
    </row>
    <row r="45" spans="1:29" ht="15">
      <c r="A45" s="409"/>
      <c r="B45" s="1064">
        <v>111</v>
      </c>
      <c r="C45" s="373">
        <f>信息!H9</f>
        <v>0.67</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25"/>
      <c r="Q45" s="1261">
        <f t="shared" si="11"/>
        <v>111</v>
      </c>
      <c r="R45" s="667" t="s">
        <v>14</v>
      </c>
      <c r="S45" s="668">
        <f t="shared" si="12"/>
        <v>100</v>
      </c>
      <c r="T45" s="667" t="s">
        <v>14</v>
      </c>
      <c r="U45" s="668">
        <f t="shared" si="13"/>
        <v>100</v>
      </c>
      <c r="V45" s="667" t="s">
        <v>14</v>
      </c>
      <c r="W45" s="668">
        <f t="shared" si="14"/>
        <v>100</v>
      </c>
      <c r="X45" s="1263"/>
      <c r="Y45" s="3427"/>
      <c r="Z45" s="1262">
        <f t="shared" si="15"/>
        <v>111</v>
      </c>
      <c r="AA45" s="1262">
        <f t="shared" si="3"/>
        <v>1</v>
      </c>
      <c r="AB45" s="1262">
        <f t="shared" si="4"/>
        <v>1</v>
      </c>
      <c r="AC45" s="1262">
        <f t="shared" si="5"/>
        <v>1</v>
      </c>
    </row>
    <row r="46" spans="1:29" ht="15.6" thickBot="1">
      <c r="A46" s="415"/>
      <c r="B46" s="3541" t="s">
        <v>3686</v>
      </c>
      <c r="C46" s="3542" t="s">
        <v>3687</v>
      </c>
      <c r="D46" s="377">
        <v>100</v>
      </c>
      <c r="E46" s="373" t="str">
        <f>中指成交案例!Q9</f>
        <v>近</v>
      </c>
      <c r="F46" s="378">
        <f>SUMIF(130:130,E46,131:131)-SUMIF(130:130,C46,131:131)+100</f>
        <v>110</v>
      </c>
      <c r="G46" s="373" t="str">
        <f>中指成交案例!Q11</f>
        <v>近</v>
      </c>
      <c r="H46" s="377">
        <f>SUMIF(130:130,G46,131:131)-SUMIF(130:130,C46,131:131)+100</f>
        <v>110</v>
      </c>
      <c r="I46" s="373" t="str">
        <f>中指成交案例!Q14</f>
        <v>远</v>
      </c>
      <c r="J46" s="377">
        <f>SUMIF(130:130,I46,131:131)-SUMIF(130:130,C46,131:131)+100</f>
        <v>100</v>
      </c>
      <c r="K46" s="539"/>
      <c r="L46" s="2488"/>
      <c r="M46" s="2483"/>
      <c r="N46" s="2483"/>
      <c r="O46" s="2483"/>
      <c r="P46" s="3426"/>
      <c r="Q46" s="1261" t="str">
        <f t="shared" si="11"/>
        <v>离小区出入口</v>
      </c>
      <c r="R46" s="667" t="s">
        <v>14</v>
      </c>
      <c r="S46" s="668">
        <f t="shared" si="12"/>
        <v>110</v>
      </c>
      <c r="T46" s="667" t="s">
        <v>14</v>
      </c>
      <c r="U46" s="668">
        <f t="shared" si="13"/>
        <v>110</v>
      </c>
      <c r="V46" s="667" t="s">
        <v>14</v>
      </c>
      <c r="W46" s="668">
        <f t="shared" si="14"/>
        <v>100</v>
      </c>
      <c r="X46" s="1263"/>
      <c r="Y46" s="3428"/>
      <c r="Z46" s="1262" t="str">
        <f t="shared" si="15"/>
        <v>离小区出入口</v>
      </c>
      <c r="AA46" s="1262">
        <f t="shared" si="3"/>
        <v>0.90909090909090906</v>
      </c>
      <c r="AB46" s="1262">
        <f t="shared" si="4"/>
        <v>0.90909090909090906</v>
      </c>
      <c r="AC46" s="1262">
        <f t="shared" si="5"/>
        <v>1</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429" t="str">
        <f>A47</f>
        <v>成交单价（元/平方米）</v>
      </c>
      <c r="Q47" s="3429"/>
      <c r="R47" s="3390">
        <f>E47</f>
        <v>36000</v>
      </c>
      <c r="S47" s="3390"/>
      <c r="T47" s="3390">
        <f>G47</f>
        <v>36000</v>
      </c>
      <c r="U47" s="3390"/>
      <c r="V47" s="3390">
        <f>I47</f>
        <v>34000</v>
      </c>
      <c r="W47" s="3390"/>
      <c r="X47" s="385"/>
      <c r="Y47" s="673"/>
      <c r="Z47" s="385"/>
      <c r="AA47" s="385"/>
      <c r="AB47" s="385"/>
      <c r="AC47" s="385"/>
    </row>
    <row r="48" spans="1:29" ht="15" thickBot="1">
      <c r="A48" s="423" t="s">
        <v>1793</v>
      </c>
      <c r="B48" s="424"/>
      <c r="C48" s="1080">
        <f>R49</f>
        <v>36596</v>
      </c>
      <c r="D48" s="2138" t="s">
        <v>2133</v>
      </c>
      <c r="E48" s="1081">
        <f>R48</f>
        <v>36011</v>
      </c>
      <c r="F48" s="2139"/>
      <c r="G48" s="1080">
        <f>T48</f>
        <v>36367</v>
      </c>
      <c r="H48" s="2139"/>
      <c r="I48" s="1081">
        <f>V48</f>
        <v>37411</v>
      </c>
      <c r="J48" s="2139"/>
      <c r="K48" s="2141">
        <f>F48+H48+J48</f>
        <v>0</v>
      </c>
      <c r="L48" s="2490"/>
      <c r="M48" s="2483"/>
      <c r="N48" s="2483"/>
      <c r="O48" s="2483"/>
      <c r="P48" s="3429" t="str">
        <f>A48</f>
        <v>比较价值（元/平方米）</v>
      </c>
      <c r="Q48" s="3429"/>
      <c r="R48" s="3390">
        <f>IF(F1="售价",ROUND(PRODUCT(R47,AA7:AA46),0),ROUND(PRODUCT(R47,AA7:AA46),1))</f>
        <v>36011</v>
      </c>
      <c r="S48" s="3390"/>
      <c r="T48" s="3390">
        <f>IF(F1="售价",ROUND(PRODUCT(T47,AB7:AB46),0),ROUND(PRODUCT(T47,AB7:AB46),1))</f>
        <v>36367</v>
      </c>
      <c r="U48" s="3390"/>
      <c r="V48" s="3390">
        <f>IF(F1="售价",ROUND(PRODUCT(V47,AC7:AC46),0),ROUND(PRODUCT(V47,AC7:AC46),1))</f>
        <v>37411</v>
      </c>
      <c r="W48" s="3390"/>
      <c r="X48" s="385"/>
      <c r="Y48" s="385"/>
      <c r="Z48" s="385"/>
      <c r="AA48" s="385"/>
      <c r="AB48" s="385"/>
      <c r="AC48" s="385"/>
    </row>
    <row r="49" spans="1:29" ht="15" thickBot="1">
      <c r="A49" s="427" t="s">
        <v>1794</v>
      </c>
      <c r="B49" s="428"/>
      <c r="C49" s="351">
        <f>R49</f>
        <v>36596</v>
      </c>
      <c r="D49" s="351"/>
      <c r="E49" s="351"/>
      <c r="F49" s="351"/>
      <c r="G49" s="351"/>
      <c r="H49" s="351"/>
      <c r="I49" s="351"/>
      <c r="J49" s="351"/>
      <c r="K49" s="675"/>
      <c r="L49" s="2490"/>
      <c r="M49" s="2483"/>
      <c r="N49" s="2483"/>
      <c r="O49" s="2483"/>
      <c r="P49" s="3430" t="str">
        <f>A49</f>
        <v>估价对象XX用房的比较价值（楼面单价，元/平方米）</v>
      </c>
      <c r="Q49" s="3431"/>
      <c r="R49" s="3432">
        <f>IF(F1="售价",ROUND(IF(D48="简单平均",AVERAGE(R48:V48),R48*F48+T48*H48+V48*J48),0),ROUND(IF(D48="简单平均",AVERAGE(R48:V48),R48*F48+T48*H48+V48*J48),1))</f>
        <v>36596</v>
      </c>
      <c r="S49" s="3432"/>
      <c r="T49" s="3432"/>
      <c r="U49" s="3432"/>
      <c r="V49" s="3432"/>
      <c r="W49" s="343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3.0555555555555891E-4</v>
      </c>
      <c r="F52" s="435" t="str">
        <f>IF(OR(E52&gt;=0.3,E52&lt;=-0.3),"超过30%","")</f>
        <v/>
      </c>
      <c r="G52" s="434">
        <f>IF(G47&lt;G48,G48/G47-1,G47/G48-1)</f>
        <v>1.0194444444444395E-2</v>
      </c>
      <c r="H52" s="435" t="str">
        <f>IF(OR(G52&gt;=0.3,G52&lt;=-0.3),"超过30%","")</f>
        <v/>
      </c>
      <c r="I52" s="434">
        <f>IF(I47&lt;I48,I48/I47-1,I47/I48-1)</f>
        <v>0.10032352941176481</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9.8858682069367099E-3</v>
      </c>
      <c r="F53" s="435" t="str">
        <f>IF(OR(E53&gt;=0.2,E53&lt;=-0.2),"超过20%","")</f>
        <v/>
      </c>
      <c r="G53" s="434">
        <f>IF(G48&lt;I48,I48/G48-1,G48/I48-1)</f>
        <v>2.870734457062718E-2</v>
      </c>
      <c r="H53" s="435" t="str">
        <f>IF(OR(G53&gt;=0.2,G53&lt;=-0.2),"超过20%","")</f>
        <v/>
      </c>
      <c r="I53" s="434">
        <f>IF(I48&lt;E48,E48/I48-1,I48/E48-1)</f>
        <v>3.8877009802560369E-2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4" t="s">
        <v>3522</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3524</v>
      </c>
      <c r="D65" s="513" t="s">
        <v>3525</v>
      </c>
      <c r="E65" s="513" t="s">
        <v>3526</v>
      </c>
      <c r="F65" s="513" t="s">
        <v>3527</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5" t="s">
        <v>3688</v>
      </c>
      <c r="D86" s="317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5" t="s">
        <v>3530</v>
      </c>
      <c r="D88" s="3175" t="s">
        <v>3531</v>
      </c>
      <c r="E88" s="3175" t="s">
        <v>3532</v>
      </c>
      <c r="F88" s="3176" t="s">
        <v>3533</v>
      </c>
      <c r="G88" s="3175" t="s">
        <v>3534</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5" t="s">
        <v>3535</v>
      </c>
      <c r="D90" s="3175" t="s">
        <v>3536</v>
      </c>
      <c r="E90" s="3175" t="s">
        <v>3532</v>
      </c>
      <c r="F90" s="3175" t="s">
        <v>3537</v>
      </c>
      <c r="G90" s="3175" t="s">
        <v>3538</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3554</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7" t="s">
        <v>3540</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5" t="s">
        <v>3541</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5" t="s">
        <v>3543</v>
      </c>
      <c r="D112" s="3175" t="s">
        <v>3545</v>
      </c>
      <c r="E112" s="3175" t="s">
        <v>3546</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5" t="s">
        <v>3547</v>
      </c>
      <c r="D114" s="3175" t="s">
        <v>3549</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5" t="s">
        <v>3568</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5" t="s">
        <v>3550</v>
      </c>
      <c r="D122" s="3175" t="s">
        <v>3551</v>
      </c>
      <c r="E122" s="3175" t="s">
        <v>3552</v>
      </c>
      <c r="F122" s="3178" t="s">
        <v>3576</v>
      </c>
      <c r="G122" s="3178" t="s">
        <v>3553</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3673</v>
      </c>
      <c r="D126" s="408" t="s">
        <v>3670</v>
      </c>
      <c r="E126" s="373" t="s">
        <v>3671</v>
      </c>
      <c r="F126" s="485" t="s">
        <v>3672</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D127-5</f>
        <v>85</v>
      </c>
      <c r="D127" s="493">
        <f t="shared" si="33"/>
        <v>90</v>
      </c>
      <c r="E127" s="493">
        <f>F127-5</f>
        <v>95</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t="str">
        <f>B46</f>
        <v>离小区出入口</v>
      </c>
      <c r="C130" s="3175" t="s">
        <v>3690</v>
      </c>
      <c r="D130" s="3175" t="s">
        <v>3691</v>
      </c>
      <c r="E130" s="3175" t="s">
        <v>3692</v>
      </c>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v>100</v>
      </c>
      <c r="D131" s="501">
        <f>C131-5</f>
        <v>95</v>
      </c>
      <c r="E131" s="501">
        <f>D131-5</f>
        <v>90</v>
      </c>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G49" sqref="G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3657</v>
      </c>
      <c r="D1" s="1269" t="s">
        <v>43</v>
      </c>
      <c r="E1" s="1270" t="s">
        <v>678</v>
      </c>
      <c r="F1" s="997">
        <f ca="1">J53</f>
        <v>26.46</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488.24059999999997</v>
      </c>
      <c r="C2" s="1287" t="s">
        <v>879</v>
      </c>
      <c r="D2" s="1373">
        <f ca="1">C40+J29+L46</f>
        <v>4882406</v>
      </c>
      <c r="E2" s="1293" t="s">
        <v>880</v>
      </c>
      <c r="F2" s="1294"/>
      <c r="G2" s="2474"/>
      <c r="H2" s="2464"/>
      <c r="I2" s="2464"/>
      <c r="J2" s="2464"/>
      <c r="K2" s="2465"/>
      <c r="L2" s="2464"/>
      <c r="M2" s="2464"/>
    </row>
    <row r="3" spans="1:37" ht="18" customHeight="1" thickBot="1">
      <c r="A3" s="1295" t="s">
        <v>881</v>
      </c>
      <c r="B3" s="1296">
        <f ca="1">IF(ISERROR(D2/F43),0,ROUND(D2/F43,0))</f>
        <v>30138</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355074</v>
      </c>
      <c r="D5" s="1271" t="s">
        <v>889</v>
      </c>
      <c r="E5" s="1006"/>
      <c r="F5" s="1007"/>
      <c r="G5" s="1290"/>
      <c r="H5" s="291">
        <v>1</v>
      </c>
      <c r="I5" s="292" t="s">
        <v>888</v>
      </c>
      <c r="J5" s="1005">
        <f ca="1">J6+J10+J12</f>
        <v>391219</v>
      </c>
      <c r="K5" s="1271" t="s">
        <v>889</v>
      </c>
      <c r="L5" s="1006"/>
      <c r="M5" s="1007"/>
    </row>
    <row r="6" spans="1:37" ht="18" customHeight="1">
      <c r="A6" s="1004" t="s">
        <v>398</v>
      </c>
      <c r="B6" s="3433" t="s">
        <v>694</v>
      </c>
      <c r="C6" s="1009">
        <f ca="1">ROUND(F6*F8*F7*(1-F9),0)</f>
        <v>354189</v>
      </c>
      <c r="D6" s="147" t="s">
        <v>2101</v>
      </c>
      <c r="E6" s="294" t="s">
        <v>696</v>
      </c>
      <c r="F6" s="295">
        <f ca="1">INDIRECT("'数据-取费表'!u"&amp;$G$1)</f>
        <v>5.99</v>
      </c>
      <c r="G6" s="1290"/>
      <c r="H6" s="1004" t="s">
        <v>398</v>
      </c>
      <c r="I6" s="3433" t="s">
        <v>694</v>
      </c>
      <c r="J6" s="293">
        <f ca="1">ROUND(M6*M8*M7*(1-M9),0)</f>
        <v>390731</v>
      </c>
      <c r="K6" s="1282" t="s">
        <v>2102</v>
      </c>
      <c r="L6" s="294" t="s">
        <v>696</v>
      </c>
      <c r="M6" s="295">
        <f ca="1">INDIRECT("'数据-取费表'!z"&amp;$G$1)</f>
        <v>8.26</v>
      </c>
    </row>
    <row r="7" spans="1:37" ht="18" customHeight="1">
      <c r="A7" s="1008"/>
      <c r="B7" s="3434"/>
      <c r="C7" s="1010"/>
      <c r="D7" s="299"/>
      <c r="E7" s="1011" t="s">
        <v>697</v>
      </c>
      <c r="F7" s="295">
        <f ca="1">IF(INDIRECT("'数据-取费表'!ah"&amp;$G$1)="",INDIRECT("'数据-取费表'!k"&amp;$G$1),INDIRECT("'数据-取费表'!ah"&amp;$G$1))</f>
        <v>162</v>
      </c>
      <c r="G7" s="1290"/>
      <c r="H7" s="296"/>
      <c r="I7" s="3434"/>
      <c r="J7" s="298"/>
      <c r="K7" s="299"/>
      <c r="L7" s="294" t="s">
        <v>697</v>
      </c>
      <c r="M7" s="295">
        <f ca="1">F7</f>
        <v>162</v>
      </c>
    </row>
    <row r="8" spans="1:37" ht="18" customHeight="1">
      <c r="A8" s="296"/>
      <c r="B8" s="3434"/>
      <c r="C8" s="298"/>
      <c r="D8" s="299"/>
      <c r="E8" s="294" t="s">
        <v>698</v>
      </c>
      <c r="F8" s="295">
        <f ca="1">INDIRECT("'数据-取费表'!ai"&amp;$G$1)</f>
        <v>365</v>
      </c>
      <c r="G8" s="1290"/>
      <c r="H8" s="296"/>
      <c r="I8" s="3434"/>
      <c r="J8" s="298"/>
      <c r="K8" s="299"/>
      <c r="L8" s="294" t="s">
        <v>698</v>
      </c>
      <c r="M8" s="295">
        <f ca="1">INDIRECT("'数据-取费表'!ai"&amp;$G$1)</f>
        <v>365</v>
      </c>
    </row>
    <row r="9" spans="1:37" ht="18" customHeight="1">
      <c r="A9" s="296"/>
      <c r="B9" s="3435"/>
      <c r="C9" s="298"/>
      <c r="D9" s="299"/>
      <c r="E9" s="294" t="s">
        <v>699</v>
      </c>
      <c r="F9" s="304">
        <f ca="1">INDIRECT("'数据-取费表'!w"&amp;$G$1)</f>
        <v>0</v>
      </c>
      <c r="G9" s="1290"/>
      <c r="H9" s="296"/>
      <c r="I9" s="3435"/>
      <c r="J9" s="298"/>
      <c r="K9" s="299"/>
      <c r="L9" s="305" t="s">
        <v>699</v>
      </c>
      <c r="M9" s="306">
        <f ca="1">INDIRECT("'数据-取费表'!ab"&amp;$G$1)</f>
        <v>0.2</v>
      </c>
    </row>
    <row r="10" spans="1:37" ht="18" customHeight="1">
      <c r="A10" s="1004" t="s">
        <v>402</v>
      </c>
      <c r="B10" s="1272" t="s">
        <v>700</v>
      </c>
      <c r="C10" s="308">
        <f ca="1">ROUND(IF(F10="押一",C6/12*F11,IF(F10="押二",C6/12*2*F11,IF(F10="押三",C6/12*3*F11,C11*F11))),0)</f>
        <v>885</v>
      </c>
      <c r="D10" s="150" t="s">
        <v>2111</v>
      </c>
      <c r="E10" s="305" t="s">
        <v>701</v>
      </c>
      <c r="F10" s="1051" t="s">
        <v>3693</v>
      </c>
      <c r="G10" s="1290"/>
      <c r="H10" s="1004" t="s">
        <v>402</v>
      </c>
      <c r="I10" s="1272" t="s">
        <v>700</v>
      </c>
      <c r="J10" s="293">
        <f ca="1">ROUND(IF(M10="押一",J6/12*M11,IF(M10="押二",J6/12*2*M11,IF(M10="押三",J6/12*3*M11,J11*M11))),0)</f>
        <v>488</v>
      </c>
      <c r="K10" s="1283" t="s">
        <v>2113</v>
      </c>
      <c r="L10" s="305" t="s">
        <v>701</v>
      </c>
      <c r="M10" s="1051" t="s">
        <v>3452</v>
      </c>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776620</v>
      </c>
      <c r="D13" s="1016" t="s">
        <v>705</v>
      </c>
      <c r="E13" s="1016" t="s">
        <v>706</v>
      </c>
      <c r="F13" s="1017">
        <f ca="1">INDIRECT("'数据-取费表'!y"&amp;$G$1)</f>
        <v>0.82</v>
      </c>
      <c r="G13" s="1290"/>
      <c r="H13" s="1014">
        <v>2</v>
      </c>
      <c r="I13" s="1015" t="s">
        <v>704</v>
      </c>
      <c r="J13" s="1003">
        <f ca="1">ROUND(J14*J15,0)</f>
        <v>662968</v>
      </c>
      <c r="K13" s="1022" t="s">
        <v>705</v>
      </c>
      <c r="L13" s="1297"/>
      <c r="M13" s="1298"/>
    </row>
    <row r="14" spans="1:37" ht="18" customHeight="1">
      <c r="A14" s="926" t="s">
        <v>397</v>
      </c>
      <c r="B14" s="294" t="s">
        <v>707</v>
      </c>
      <c r="C14" s="310">
        <f ca="1">ROUND(INDIRECT("'数据-取费表'!l"&amp;$G$1)*F43+'数据-取费表'!L14*INDIRECT("'数据-取费表'!S"&amp;$G$1),0)</f>
        <v>648000</v>
      </c>
      <c r="D14" s="1255" t="s">
        <v>708</v>
      </c>
      <c r="E14" s="1253"/>
      <c r="F14" s="311"/>
      <c r="G14" s="1290"/>
      <c r="H14" s="926" t="s">
        <v>398</v>
      </c>
      <c r="I14" s="294" t="s">
        <v>709</v>
      </c>
      <c r="J14" s="21">
        <f ca="1">C29</f>
        <v>947097</v>
      </c>
      <c r="K14" s="12"/>
      <c r="L14" s="759"/>
      <c r="M14" s="760"/>
    </row>
    <row r="15" spans="1:37" s="1302" customFormat="1" ht="18" customHeight="1" thickBot="1">
      <c r="A15" s="926" t="s">
        <v>399</v>
      </c>
      <c r="B15" s="294" t="s">
        <v>710</v>
      </c>
      <c r="C15" s="21">
        <f ca="1">ROUND(C14*F15,0)</f>
        <v>32400</v>
      </c>
      <c r="D15" s="312" t="s">
        <v>711</v>
      </c>
      <c r="E15" s="312" t="s">
        <v>712</v>
      </c>
      <c r="F15" s="313">
        <f>'数据-取费表'!B33</f>
        <v>0.05</v>
      </c>
      <c r="G15" s="1301"/>
      <c r="H15" s="1024" t="s">
        <v>402</v>
      </c>
      <c r="I15" s="1025" t="s">
        <v>706</v>
      </c>
      <c r="J15" s="1034">
        <f ca="1">INDIRECT("'数据-取费表'!ad"&amp;$G$1)</f>
        <v>0.7</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72848</v>
      </c>
      <c r="K16" s="1022" t="s">
        <v>715</v>
      </c>
      <c r="L16" s="1023"/>
      <c r="M16" s="1007"/>
    </row>
    <row r="17" spans="1:37" s="1302" customFormat="1" ht="18" customHeight="1">
      <c r="A17" s="926" t="s">
        <v>681</v>
      </c>
      <c r="B17" s="294" t="s">
        <v>716</v>
      </c>
      <c r="C17" s="21">
        <f ca="1">ROUND(F17*(F43+INDIRECT("'数据-取费表'!S"&amp;$G$1)),0)</f>
        <v>32400</v>
      </c>
      <c r="D17" s="294" t="s">
        <v>717</v>
      </c>
      <c r="E17" s="294" t="s">
        <v>718</v>
      </c>
      <c r="F17" s="23">
        <f>'数据-取费表'!B35</f>
        <v>200</v>
      </c>
      <c r="G17" s="1301"/>
      <c r="H17" s="926" t="s">
        <v>398</v>
      </c>
      <c r="I17" s="294" t="s">
        <v>719</v>
      </c>
      <c r="J17" s="2137">
        <f ca="1">ROUND(IF(AND(项目基本情况!B11="自然人",项目基本情况!B10="北京市"),J6*M17/(1+'数据-取费表'!C42),J18+J19+J20),0)</f>
        <v>65494</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12960</v>
      </c>
      <c r="D18" s="294" t="s">
        <v>711</v>
      </c>
      <c r="E18" s="294" t="s">
        <v>712</v>
      </c>
      <c r="F18" s="314">
        <f>'数据-取费表'!B36</f>
        <v>0.02</v>
      </c>
      <c r="G18" s="1301"/>
      <c r="H18" s="926" t="s">
        <v>397</v>
      </c>
      <c r="I18" s="294" t="s">
        <v>723</v>
      </c>
      <c r="J18" s="21">
        <f ca="1">ROUND(J6*M18/(1+'数据-取费表'!C42),0)</f>
        <v>20839</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725760</v>
      </c>
      <c r="D19" s="123" t="s">
        <v>726</v>
      </c>
      <c r="E19" s="1267"/>
      <c r="F19" s="23"/>
      <c r="G19" s="1290"/>
      <c r="H19" s="926" t="s">
        <v>399</v>
      </c>
      <c r="I19" s="294" t="s">
        <v>727</v>
      </c>
      <c r="J19" s="21">
        <f ca="1">IF(K19="按租金收入计税",ROUND(J6*M19/(1+'数据-取费表'!C42),0),ROUND(C29*M19*0.7,0))</f>
        <v>44655</v>
      </c>
      <c r="K19" s="1276" t="s">
        <v>3330</v>
      </c>
      <c r="L19" s="294" t="s">
        <v>712</v>
      </c>
      <c r="M19" s="314">
        <f>IF(K19="按租金收入计税",'数据-取费表'!B51,'数据-取费表'!B50)</f>
        <v>0.12</v>
      </c>
    </row>
    <row r="20" spans="1:37" s="1302" customFormat="1" ht="18" customHeight="1">
      <c r="A20" s="926" t="s">
        <v>402</v>
      </c>
      <c r="B20" s="294" t="s">
        <v>728</v>
      </c>
      <c r="C20" s="21">
        <f ca="1">ROUND(C19*F20,0)</f>
        <v>14515</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4735</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22949</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663</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1956</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318371</v>
      </c>
      <c r="K25" s="1030" t="s">
        <v>753</v>
      </c>
      <c r="L25" s="1031"/>
      <c r="M25" s="1032"/>
    </row>
    <row r="26" spans="1:37" ht="18" customHeight="1">
      <c r="A26" s="926" t="s">
        <v>397</v>
      </c>
      <c r="B26" s="294" t="s">
        <v>754</v>
      </c>
      <c r="C26" s="21">
        <f ca="1">ROUND((C19+C20)*F26,0)</f>
        <v>111041</v>
      </c>
      <c r="D26" s="315" t="s">
        <v>755</v>
      </c>
      <c r="E26" s="305" t="s">
        <v>756</v>
      </c>
      <c r="F26" s="304">
        <f ca="1">INDIRECT("'数据-取费表'!q"&amp;$G$1)</f>
        <v>0.15</v>
      </c>
      <c r="G26" s="1290"/>
      <c r="H26" s="291" t="s">
        <v>395</v>
      </c>
      <c r="I26" s="292" t="s">
        <v>757</v>
      </c>
      <c r="J26" s="293">
        <f ca="1">IF(J5&lt;&gt;0,ROUND(J25*(1-((1+M28)/(1+M26))^M27)/(M26-M28),0),0)</f>
        <v>4701281</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21.560000000000002</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947097</v>
      </c>
      <c r="D29" s="1027"/>
      <c r="E29" s="1025"/>
      <c r="F29" s="1028"/>
      <c r="G29" s="1301"/>
      <c r="H29" s="325" t="s">
        <v>396</v>
      </c>
      <c r="I29" s="326" t="s">
        <v>768</v>
      </c>
      <c r="J29" s="327">
        <f ca="1">ROUND(J26/(1+F40)^F41,0)</f>
        <v>3616422</v>
      </c>
      <c r="K29" s="328" t="s">
        <v>769</v>
      </c>
      <c r="L29" s="329"/>
      <c r="M29" s="330">
        <f ca="1">INDIRECT("'数据-取费表'!k"&amp;$G$1)</f>
        <v>162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66656</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59369</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18890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40479</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4735</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777</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1775</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288418</v>
      </c>
      <c r="D39" s="1030" t="s">
        <v>773</v>
      </c>
      <c r="E39" s="1031"/>
      <c r="F39" s="1032"/>
      <c r="G39" s="1290"/>
      <c r="H39" s="2469"/>
      <c r="I39" s="1303"/>
      <c r="J39" s="1304"/>
      <c r="K39" s="2467"/>
      <c r="L39" s="2469"/>
      <c r="M39" s="2469"/>
    </row>
    <row r="40" spans="1:18" ht="18" customHeight="1">
      <c r="A40" s="291" t="s">
        <v>395</v>
      </c>
      <c r="B40" s="292" t="s">
        <v>774</v>
      </c>
      <c r="C40" s="293">
        <f ca="1">ROUND(C39*(1-((1+F42)/(1+F40))^F41)/(F40-F42),0)</f>
        <v>1210087</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4.9000000000000004</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f ca="1">C39/C5</f>
        <v>0.81227575097022031</v>
      </c>
      <c r="I42" s="1303"/>
      <c r="J42" s="1304"/>
      <c r="K42" s="2327"/>
      <c r="L42" s="121"/>
      <c r="M42" s="121"/>
    </row>
    <row r="43" spans="1:18" ht="18" customHeight="1" thickBot="1">
      <c r="A43" s="325" t="s">
        <v>396</v>
      </c>
      <c r="B43" s="326" t="s">
        <v>776</v>
      </c>
      <c r="C43" s="327">
        <f ca="1">ROUND(C40/F43,0)</f>
        <v>7470</v>
      </c>
      <c r="D43" s="328" t="s">
        <v>777</v>
      </c>
      <c r="E43" s="329" t="s">
        <v>778</v>
      </c>
      <c r="F43" s="330">
        <f ca="1">INDIRECT("'数据-取费表'!k"&amp;$G$1)</f>
        <v>162</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4.7493999999999996</v>
      </c>
      <c r="D45" s="3126" t="s">
        <v>3347</v>
      </c>
      <c r="E45" s="1305"/>
      <c r="F45" s="1305"/>
      <c r="O45" s="1308" t="s">
        <v>808</v>
      </c>
      <c r="P45" s="1364"/>
      <c r="Q45" s="1364"/>
      <c r="R45" s="1364"/>
    </row>
    <row r="46" spans="1:18" s="1290" customFormat="1" ht="13.8" thickBot="1">
      <c r="A46" s="1309" t="s">
        <v>809</v>
      </c>
      <c r="C46" s="1310">
        <f ca="1">ROUND(C45,0)</f>
        <v>5</v>
      </c>
      <c r="D46" s="1311" t="str">
        <f>C2</f>
        <v>万元</v>
      </c>
      <c r="I46" s="1312" t="s">
        <v>810</v>
      </c>
      <c r="J46" s="1313"/>
      <c r="K46" s="1314"/>
      <c r="L46" s="1315">
        <f ca="1">IF(M47="住宅",0,IF(L48&gt;J51,L60,J60))</f>
        <v>55897</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4826509</v>
      </c>
      <c r="R47" s="1325" t="s">
        <v>818</v>
      </c>
    </row>
    <row r="48" spans="1:18" s="1290" customFormat="1" ht="40.200000000000003" thickBot="1">
      <c r="A48" s="1045" t="s">
        <v>438</v>
      </c>
      <c r="B48" s="292" t="s">
        <v>692</v>
      </c>
      <c r="C48" s="1266">
        <f ca="1">C49+C53+C55</f>
        <v>355667</v>
      </c>
      <c r="D48" s="1047"/>
      <c r="E48" s="1048"/>
      <c r="F48" s="906"/>
      <c r="G48" s="681"/>
      <c r="H48" s="682"/>
      <c r="I48" s="1326" t="s">
        <v>819</v>
      </c>
      <c r="J48" s="1327" t="s">
        <v>3453</v>
      </c>
      <c r="K48" s="1328" t="s">
        <v>820</v>
      </c>
      <c r="L48" s="1329">
        <f ca="1">INDIRECT("'数据-取费表'!f"&amp;$G$1)</f>
        <v>26.46</v>
      </c>
      <c r="O48" s="1323" t="s">
        <v>404</v>
      </c>
      <c r="P48" s="1324" t="s">
        <v>821</v>
      </c>
      <c r="Q48" s="1325">
        <f ca="1">J60</f>
        <v>55897</v>
      </c>
      <c r="R48" s="1325" t="s">
        <v>822</v>
      </c>
    </row>
    <row r="49" spans="1:18" s="1290" customFormat="1" ht="13.8" thickBot="1">
      <c r="A49" s="919" t="s">
        <v>439</v>
      </c>
      <c r="B49" s="1277" t="s">
        <v>779</v>
      </c>
      <c r="C49" s="1049">
        <f ca="1">ROUND(F49*F51*F50*(1-F52),0)</f>
        <v>354780</v>
      </c>
      <c r="D49" s="990" t="s">
        <v>695</v>
      </c>
      <c r="E49" s="1278" t="s">
        <v>780</v>
      </c>
      <c r="F49" s="995">
        <f>信息!J17</f>
        <v>7.5</v>
      </c>
      <c r="H49" s="682"/>
      <c r="I49" s="1326" t="s">
        <v>823</v>
      </c>
      <c r="J49" s="1330">
        <f>'数据-取费表'!N18</f>
        <v>2012</v>
      </c>
      <c r="K49" s="1328" t="s">
        <v>824</v>
      </c>
      <c r="L49" s="1331"/>
      <c r="O49" s="1332" t="s">
        <v>405</v>
      </c>
      <c r="P49" s="1324" t="s">
        <v>825</v>
      </c>
      <c r="Q49" s="1325">
        <f ca="1">C29</f>
        <v>947097</v>
      </c>
      <c r="R49" s="1325" t="s">
        <v>818</v>
      </c>
    </row>
    <row r="50" spans="1:18" s="1290" customFormat="1" ht="13.8" thickBot="1">
      <c r="A50" s="920"/>
      <c r="B50" s="923"/>
      <c r="C50" s="924"/>
      <c r="D50" s="897"/>
      <c r="E50" s="991" t="s">
        <v>697</v>
      </c>
      <c r="F50" s="992">
        <f ca="1">F7</f>
        <v>162</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47</v>
      </c>
      <c r="K51" s="1337" t="s">
        <v>830</v>
      </c>
      <c r="L51" s="1338">
        <f ca="1">ROUND(-PV(INDIRECT("'数据-取费表'!h"&amp;$G$1),J51,(C39-C13*C76),0),0)</f>
        <v>4208539</v>
      </c>
      <c r="M51" s="1339"/>
      <c r="O51" s="1332" t="s">
        <v>407</v>
      </c>
      <c r="P51" s="1324" t="s">
        <v>831</v>
      </c>
      <c r="Q51" s="1335">
        <f>J52</f>
        <v>7.4999999999999997E-2</v>
      </c>
      <c r="R51" s="1325"/>
    </row>
    <row r="52" spans="1:18" s="1290" customFormat="1" ht="13.8" thickBot="1">
      <c r="A52" s="921"/>
      <c r="B52" s="923"/>
      <c r="C52" s="924"/>
      <c r="D52" s="897"/>
      <c r="E52" s="925" t="s">
        <v>699</v>
      </c>
      <c r="F52" s="989">
        <f>'数据-取费表'!AB6</f>
        <v>0.2</v>
      </c>
      <c r="I52" s="1340" t="s">
        <v>832</v>
      </c>
      <c r="J52" s="1341">
        <v>7.4999999999999997E-2</v>
      </c>
      <c r="K52" s="1340" t="s">
        <v>833</v>
      </c>
      <c r="L52" s="1341"/>
      <c r="O52" s="1332" t="s">
        <v>408</v>
      </c>
      <c r="P52" s="1324" t="s">
        <v>834</v>
      </c>
      <c r="Q52" s="1325">
        <f ca="1">J53</f>
        <v>26.46</v>
      </c>
      <c r="R52" s="1325" t="s">
        <v>835</v>
      </c>
    </row>
    <row r="53" spans="1:18" s="1290" customFormat="1" ht="30.75" customHeight="1" thickBot="1">
      <c r="A53" s="1046" t="s">
        <v>440</v>
      </c>
      <c r="B53" s="315" t="s">
        <v>700</v>
      </c>
      <c r="C53" s="308">
        <f ca="1">ROUND(IF(F53="押一",C49/12*F11,IF(F53="押二",C49/12*2*F11,IF(F53="押三",C49/12*3*F11,C54*F11))),0)</f>
        <v>887</v>
      </c>
      <c r="D53" s="150" t="s">
        <v>2114</v>
      </c>
      <c r="E53" s="305" t="s">
        <v>701</v>
      </c>
      <c r="F53" s="1051" t="s">
        <v>3693</v>
      </c>
      <c r="I53" s="1342" t="s">
        <v>836</v>
      </c>
      <c r="J53" s="2003">
        <f ca="1">IF(M47="住宅",IF(D1="——",MAX(J51,L48),MAX(J51,L48-'数据-取费表'!B24)),IF(D1="——",MIN(J51,L48),MIN(J51,L48-'数据-取费表'!B24)))</f>
        <v>26.46</v>
      </c>
      <c r="K53" s="3436" t="s">
        <v>837</v>
      </c>
      <c r="L53" s="3437"/>
      <c r="O53" s="1323" t="s">
        <v>409</v>
      </c>
      <c r="P53" s="1324" t="s">
        <v>838</v>
      </c>
      <c r="Q53" s="1325">
        <f ca="1">Q47+Q48</f>
        <v>4882406</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0.34200000000000003</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776620</v>
      </c>
      <c r="D56" s="1350"/>
      <c r="E56" s="1351"/>
      <c r="F56" s="1343"/>
      <c r="I56" s="1352" t="s">
        <v>842</v>
      </c>
      <c r="J56" s="1353" t="s">
        <v>3433</v>
      </c>
      <c r="K56" s="1326" t="s">
        <v>843</v>
      </c>
      <c r="L56" s="1329" t="str">
        <f ca="1">IF(L48&lt;J51,"——",L48-J51)</f>
        <v>——</v>
      </c>
      <c r="O56" s="1323" t="s">
        <v>403</v>
      </c>
      <c r="P56" s="1324" t="s">
        <v>817</v>
      </c>
      <c r="Q56" s="1325">
        <f ca="1">C40+J29</f>
        <v>4826509</v>
      </c>
      <c r="R56" s="1325" t="s">
        <v>818</v>
      </c>
    </row>
    <row r="57" spans="1:18" s="1290" customFormat="1" ht="24.6" thickBot="1">
      <c r="A57" s="1354"/>
      <c r="B57" s="894" t="s">
        <v>767</v>
      </c>
      <c r="C57" s="230">
        <f ca="1">C29</f>
        <v>947097</v>
      </c>
      <c r="D57" s="1355"/>
      <c r="E57" s="1356"/>
      <c r="F57" s="1357"/>
      <c r="I57" s="1358" t="s">
        <v>844</v>
      </c>
      <c r="J57" s="1359">
        <f ca="1">IF(OR(M47="住宅",J51&lt;L48,J56="是"),"——",J51-L48)</f>
        <v>20.54</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66805</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59515</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378839</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18969</v>
      </c>
      <c r="D60" s="908" t="s">
        <v>724</v>
      </c>
      <c r="E60" s="894" t="s">
        <v>712</v>
      </c>
      <c r="F60" s="322">
        <f t="shared" ref="F60:F66" si="0">F32</f>
        <v>5.6000000000000001E-2</v>
      </c>
      <c r="I60" s="1361" t="s">
        <v>853</v>
      </c>
      <c r="J60" s="1362">
        <f ca="1">IF(OR(M47="住宅",J51&lt;L48,J56="是"),"0",ROUND(J59/(1+J52)^J53,0))</f>
        <v>55897</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40546</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4826509</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4735</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777</v>
      </c>
      <c r="D65" s="908" t="s">
        <v>743</v>
      </c>
      <c r="E65" s="894" t="s">
        <v>744</v>
      </c>
      <c r="F65" s="321">
        <f t="shared" ca="1" si="0"/>
        <v>1E-3</v>
      </c>
      <c r="I65" s="1365" t="s">
        <v>867</v>
      </c>
      <c r="J65" s="610">
        <v>40</v>
      </c>
      <c r="K65" s="610">
        <v>30</v>
      </c>
      <c r="L65" s="610">
        <v>50</v>
      </c>
      <c r="M65" s="1367">
        <v>0.02</v>
      </c>
      <c r="O65" s="1323" t="s">
        <v>403</v>
      </c>
      <c r="P65" s="1324" t="s">
        <v>868</v>
      </c>
      <c r="Q65" s="1325">
        <f ca="1">C40+J29</f>
        <v>4826509</v>
      </c>
      <c r="R65" s="1325" t="s">
        <v>818</v>
      </c>
    </row>
    <row r="66" spans="1:18" s="1290" customFormat="1" ht="16.2" thickBot="1">
      <c r="A66" s="926" t="s">
        <v>793</v>
      </c>
      <c r="B66" s="894" t="s">
        <v>728</v>
      </c>
      <c r="C66" s="21">
        <f ca="1">ROUND(C48*F66,0)</f>
        <v>1778</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288862</v>
      </c>
      <c r="D67" s="907" t="s">
        <v>753</v>
      </c>
      <c r="E67" s="912"/>
      <c r="F67" s="913"/>
      <c r="O67" s="1332" t="s">
        <v>405</v>
      </c>
      <c r="P67" s="1324" t="s">
        <v>850</v>
      </c>
      <c r="Q67" s="1368">
        <f ca="1">L51</f>
        <v>4208539</v>
      </c>
      <c r="R67" s="1325" t="s">
        <v>870</v>
      </c>
    </row>
    <row r="68" spans="1:18" s="1290" customFormat="1" ht="16.2" thickBot="1">
      <c r="A68" s="891" t="s">
        <v>395</v>
      </c>
      <c r="B68" s="892" t="s">
        <v>774</v>
      </c>
      <c r="C68" s="293">
        <f ca="1">ROUND(C67*(1-((1+F70)/(1+F68))^F69)/(F68-F70),0)</f>
        <v>1257581</v>
      </c>
      <c r="D68" s="909" t="s">
        <v>758</v>
      </c>
      <c r="E68" s="894" t="s">
        <v>759</v>
      </c>
      <c r="F68" s="304">
        <f ca="1">F40</f>
        <v>5.5E-2</v>
      </c>
      <c r="O68" s="1332" t="s">
        <v>406</v>
      </c>
      <c r="P68" s="1369" t="s">
        <v>871</v>
      </c>
      <c r="Q68" s="1325">
        <f ca="1">ROUND(Q69-Q70*Q71,0)</f>
        <v>234055</v>
      </c>
      <c r="R68" s="1325" t="s">
        <v>414</v>
      </c>
    </row>
    <row r="69" spans="1:18" s="1290" customFormat="1" ht="13.8" thickBot="1">
      <c r="A69" s="895"/>
      <c r="B69" s="896"/>
      <c r="C69" s="298"/>
      <c r="D69" s="914" t="s">
        <v>762</v>
      </c>
      <c r="E69" s="894" t="s">
        <v>763</v>
      </c>
      <c r="F69" s="324">
        <f ca="1">F41</f>
        <v>4.9000000000000004</v>
      </c>
      <c r="O69" s="1332" t="s">
        <v>411</v>
      </c>
      <c r="P69" s="1369" t="s">
        <v>872</v>
      </c>
      <c r="Q69" s="1325">
        <f ca="1">C39</f>
        <v>288418</v>
      </c>
      <c r="R69" s="1325" t="s">
        <v>818</v>
      </c>
    </row>
    <row r="70" spans="1:18" s="1290" customFormat="1" ht="13.8" thickBot="1">
      <c r="A70" s="898"/>
      <c r="B70" s="899"/>
      <c r="C70" s="302"/>
      <c r="D70" s="910"/>
      <c r="E70" s="894" t="s">
        <v>766</v>
      </c>
      <c r="F70" s="989">
        <f>'数据-取费表'!AA6</f>
        <v>0.02</v>
      </c>
      <c r="O70" s="1332" t="s">
        <v>412</v>
      </c>
      <c r="P70" s="1369" t="s">
        <v>873</v>
      </c>
      <c r="Q70" s="1325">
        <f ca="1">C13</f>
        <v>776620</v>
      </c>
      <c r="R70" s="1325" t="s">
        <v>818</v>
      </c>
    </row>
    <row r="71" spans="1:18" s="1290" customFormat="1" ht="13.8" thickBot="1">
      <c r="A71" s="915" t="s">
        <v>396</v>
      </c>
      <c r="B71" s="916" t="s">
        <v>776</v>
      </c>
      <c r="C71" s="327">
        <f ca="1">ROUND(C68/F71,0)</f>
        <v>7763</v>
      </c>
      <c r="D71" s="917" t="s">
        <v>777</v>
      </c>
      <c r="E71" s="918" t="s">
        <v>778</v>
      </c>
      <c r="F71" s="330">
        <f ca="1">F43</f>
        <v>162</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54363</v>
      </c>
      <c r="D75" s="1290"/>
      <c r="E75" s="1290"/>
      <c r="F75" s="1290"/>
      <c r="K75" s="1307"/>
      <c r="L75" s="1290"/>
      <c r="O75" s="1323" t="s">
        <v>409</v>
      </c>
      <c r="P75" s="1324" t="s">
        <v>838</v>
      </c>
      <c r="Q75" s="1325">
        <f ca="1">Q65+Q66</f>
        <v>4826509</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0.81200000000000006</v>
      </c>
    </row>
    <row r="80" spans="1:18">
      <c r="B80" s="331" t="s">
        <v>800</v>
      </c>
      <c r="C80" s="266">
        <f ca="1">ROUND(C75/C39,3)</f>
        <v>0.188</v>
      </c>
    </row>
    <row r="81" spans="2:3">
      <c r="B81" s="262" t="s">
        <v>801</v>
      </c>
      <c r="C81" s="230"/>
    </row>
    <row r="82" spans="2:3">
      <c r="B82" s="265" t="s">
        <v>802</v>
      </c>
      <c r="C82" s="267">
        <f ca="1">1-C83</f>
        <v>0.35799999999999998</v>
      </c>
    </row>
    <row r="83" spans="2:3">
      <c r="B83" s="265" t="s">
        <v>803</v>
      </c>
      <c r="C83" s="266">
        <f ca="1">ROUND(C13/C40,3)</f>
        <v>0.64200000000000002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1" t="s">
        <v>2084</v>
      </c>
      <c r="D1" s="3442"/>
      <c r="E1" s="3442"/>
      <c r="F1" s="3442"/>
      <c r="G1" s="3442"/>
      <c r="H1" s="3442"/>
      <c r="I1" s="3442"/>
      <c r="J1" s="3442"/>
      <c r="K1" s="3442"/>
      <c r="L1" s="3442"/>
      <c r="M1" s="3442"/>
      <c r="N1" s="3442"/>
      <c r="O1" s="3442"/>
      <c r="P1" s="3442"/>
      <c r="Q1" s="3442"/>
      <c r="R1" s="3442"/>
      <c r="S1" s="3443"/>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85</v>
      </c>
      <c r="D14" s="938">
        <f>'比较法-商业'!D127</f>
        <v>90</v>
      </c>
      <c r="E14" s="938">
        <f>'比较法-商业'!E127</f>
        <v>95</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1573</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32480</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484.3</v>
      </c>
      <c r="C22" s="3438" t="s">
        <v>27</v>
      </c>
      <c r="D22" s="3439"/>
      <c r="E22" s="3439"/>
      <c r="F22" s="3439"/>
      <c r="G22" s="3439"/>
      <c r="H22" s="3439"/>
      <c r="I22" s="3439"/>
      <c r="J22" s="3439"/>
      <c r="K22" s="3439"/>
      <c r="L22" s="3439"/>
      <c r="M22" s="3439"/>
      <c r="N22" s="3439"/>
      <c r="O22" s="3439"/>
      <c r="P22" s="3439"/>
      <c r="Q22" s="3440"/>
      <c r="R22" s="21">
        <f ca="1">ROUND(S22*10000/B22,0)</f>
        <v>32480</v>
      </c>
      <c r="S22" s="21">
        <f ca="1">SUM(S24:S10000)</f>
        <v>1573</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162</v>
      </c>
      <c r="C24" s="2566">
        <v>1</v>
      </c>
      <c r="D24" s="2567" t="s">
        <v>3529</v>
      </c>
      <c r="E24" s="2566">
        <v>1</v>
      </c>
      <c r="F24" s="2567" t="s">
        <v>3575</v>
      </c>
      <c r="G24" s="2566">
        <v>1</v>
      </c>
      <c r="H24" s="2567"/>
      <c r="I24" s="2566">
        <v>1</v>
      </c>
      <c r="J24" s="2567"/>
      <c r="K24" s="2566">
        <v>1</v>
      </c>
      <c r="L24" s="2567" t="s">
        <v>3589</v>
      </c>
      <c r="M24" s="2566">
        <v>1</v>
      </c>
      <c r="N24" s="2567"/>
      <c r="O24" s="2566">
        <v>1</v>
      </c>
      <c r="P24" s="2567"/>
      <c r="Q24" s="2566">
        <v>1</v>
      </c>
      <c r="R24" s="633">
        <f ca="1">结果表!H102</f>
        <v>33133</v>
      </c>
      <c r="S24" s="634">
        <f t="shared" ref="S24:S54" ca="1" si="11">ROUND(R24*B24/10000,0)</f>
        <v>537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0.97</v>
      </c>
      <c r="D25" s="635" t="s">
        <v>3528</v>
      </c>
      <c r="E25" s="21">
        <f>(SUMIF($5:$5,D25,$6:$6)-SUMIF($5:$5,$D$24,$6:$6)+100)/100</f>
        <v>1</v>
      </c>
      <c r="F25" s="635" t="s">
        <v>3575</v>
      </c>
      <c r="G25" s="21">
        <f>(SUMIF($7:$7,F25,$8:$8)-SUMIF($7:$7,$F$24,$8:$8)+100)/100</f>
        <v>1</v>
      </c>
      <c r="H25" s="635"/>
      <c r="I25" s="21">
        <f>(SUMIF($9:$9,H25,$10:$10)-SUMIF($9:$9,$H$24,$10:$10)+100)/100</f>
        <v>1</v>
      </c>
      <c r="J25" s="635"/>
      <c r="K25" s="21">
        <f>(SUMIF($11:$11,J25,$12:$12)-SUMIF($11:$11,$J$24,$12:$12)+100)/100</f>
        <v>1</v>
      </c>
      <c r="L25" s="635" t="s">
        <v>3588</v>
      </c>
      <c r="M25" s="21">
        <f>(SUMIF($13:$13,L25,$14:$14)-SUMIF($13:$13,$L$24,$14:$14)+100)/100</f>
        <v>1</v>
      </c>
      <c r="N25" s="635"/>
      <c r="O25" s="21">
        <f>(SUMIF($15:$15,N25,$16:$16)-SUMIF($15:$15,$N$24,$16:$16)+100)/100</f>
        <v>1</v>
      </c>
      <c r="P25" s="635"/>
      <c r="Q25" s="21">
        <f>(SUMIF($17:$17,P25,$18:$18)-SUMIF($17:$17,$P$24,$18:$18)+100)/100</f>
        <v>1</v>
      </c>
      <c r="R25" s="21">
        <f ca="1">IF(B25="",0,ROUND($R$24*C25*E25*G25*I25*K25*M25*O25*Q25,0))</f>
        <v>32139</v>
      </c>
      <c r="S25" s="308">
        <f t="shared" ca="1" si="11"/>
        <v>1036</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6" sqref="K3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3659</v>
      </c>
      <c r="D1" s="1269" t="s">
        <v>43</v>
      </c>
      <c r="E1" s="1270" t="s">
        <v>678</v>
      </c>
      <c r="F1" s="997">
        <f ca="1">J53</f>
        <v>26.46</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19">
        <f ca="1">ROUND(D2/10000,4)</f>
        <v>195.61420000000001</v>
      </c>
      <c r="C2" s="1287" t="s">
        <v>805</v>
      </c>
      <c r="D2" s="1373">
        <f ca="1">C40+J29+L46</f>
        <v>1956142</v>
      </c>
      <c r="E2" s="1293" t="s">
        <v>880</v>
      </c>
      <c r="F2" s="1294"/>
      <c r="G2" s="2474"/>
      <c r="H2" s="2464"/>
      <c r="I2" s="2464"/>
      <c r="J2" s="2464"/>
      <c r="K2" s="2465"/>
      <c r="L2" s="2464"/>
      <c r="M2" s="2464"/>
    </row>
    <row r="3" spans="1:37" ht="18" customHeight="1" thickBot="1">
      <c r="A3" s="1295" t="s">
        <v>806</v>
      </c>
      <c r="B3" s="1296">
        <f ca="1">IF(ISERROR(D2/F43),0,ROUND(D2/F43,0))</f>
        <v>24385</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141425</v>
      </c>
      <c r="D5" s="1271" t="s">
        <v>693</v>
      </c>
      <c r="E5" s="1006"/>
      <c r="F5" s="1007"/>
      <c r="G5" s="1290"/>
      <c r="H5" s="291">
        <v>1</v>
      </c>
      <c r="I5" s="292" t="s">
        <v>692</v>
      </c>
      <c r="J5" s="1005">
        <f ca="1">J6+J10+J12</f>
        <v>0</v>
      </c>
      <c r="K5" s="1271" t="s">
        <v>693</v>
      </c>
      <c r="L5" s="1006"/>
      <c r="M5" s="1007"/>
    </row>
    <row r="6" spans="1:37" ht="18" customHeight="1">
      <c r="A6" s="1004" t="s">
        <v>398</v>
      </c>
      <c r="B6" s="3433" t="s">
        <v>694</v>
      </c>
      <c r="C6" s="1009">
        <f ca="1">ROUND(F6*F8*F7*(1-F9),0)</f>
        <v>141248</v>
      </c>
      <c r="D6" s="147" t="s">
        <v>2101</v>
      </c>
      <c r="E6" s="294" t="s">
        <v>696</v>
      </c>
      <c r="F6" s="295">
        <f ca="1">INDIRECT("'数据-取费表'!u"&amp;$G$1)</f>
        <v>6.03</v>
      </c>
      <c r="G6" s="1290"/>
      <c r="H6" s="1004" t="s">
        <v>398</v>
      </c>
      <c r="I6" s="3433" t="s">
        <v>694</v>
      </c>
      <c r="J6" s="293">
        <f ca="1">ROUND(M6*M8*M7*(1-M9),0)</f>
        <v>0</v>
      </c>
      <c r="K6" s="1282" t="s">
        <v>2102</v>
      </c>
      <c r="L6" s="294" t="s">
        <v>696</v>
      </c>
      <c r="M6" s="295">
        <f ca="1">INDIRECT("'数据-取费表'!z"&amp;$G$1)</f>
        <v>0</v>
      </c>
    </row>
    <row r="7" spans="1:37" ht="18" customHeight="1">
      <c r="A7" s="1008"/>
      <c r="B7" s="3434"/>
      <c r="C7" s="1010"/>
      <c r="D7" s="299"/>
      <c r="E7" s="1011" t="s">
        <v>697</v>
      </c>
      <c r="F7" s="295">
        <f ca="1">IF(INDIRECT("'数据-取费表'!ah"&amp;$G$1)="",INDIRECT("'数据-取费表'!k"&amp;$G$1),INDIRECT("'数据-取费表'!ah"&amp;$G$1))</f>
        <v>80.22</v>
      </c>
      <c r="G7" s="1290"/>
      <c r="H7" s="296"/>
      <c r="I7" s="3434"/>
      <c r="J7" s="298"/>
      <c r="K7" s="299"/>
      <c r="L7" s="294" t="s">
        <v>697</v>
      </c>
      <c r="M7" s="295">
        <f ca="1">F7</f>
        <v>80.22</v>
      </c>
    </row>
    <row r="8" spans="1:37" ht="18" customHeight="1">
      <c r="A8" s="296"/>
      <c r="B8" s="3434"/>
      <c r="C8" s="298"/>
      <c r="D8" s="299"/>
      <c r="E8" s="294" t="s">
        <v>698</v>
      </c>
      <c r="F8" s="295">
        <f ca="1">INDIRECT("'数据-取费表'!ai"&amp;$G$1)</f>
        <v>365</v>
      </c>
      <c r="G8" s="1290"/>
      <c r="H8" s="296"/>
      <c r="I8" s="3434"/>
      <c r="J8" s="298"/>
      <c r="K8" s="299"/>
      <c r="L8" s="294" t="s">
        <v>698</v>
      </c>
      <c r="M8" s="295">
        <f ca="1">INDIRECT("'数据-取费表'!ai"&amp;$G$1)</f>
        <v>365</v>
      </c>
    </row>
    <row r="9" spans="1:37" ht="18" customHeight="1">
      <c r="A9" s="296"/>
      <c r="B9" s="3435"/>
      <c r="C9" s="298"/>
      <c r="D9" s="299"/>
      <c r="E9" s="294" t="s">
        <v>699</v>
      </c>
      <c r="F9" s="304">
        <f ca="1">INDIRECT("'数据-取费表'!w"&amp;$G$1)</f>
        <v>0.2</v>
      </c>
      <c r="G9" s="1290"/>
      <c r="H9" s="296"/>
      <c r="I9" s="3435"/>
      <c r="J9" s="298"/>
      <c r="K9" s="299"/>
      <c r="L9" s="305" t="s">
        <v>699</v>
      </c>
      <c r="M9" s="306">
        <f ca="1">INDIRECT("'数据-取费表'!ab"&amp;$G$1)</f>
        <v>0</v>
      </c>
    </row>
    <row r="10" spans="1:37" ht="18" customHeight="1">
      <c r="A10" s="1004" t="s">
        <v>402</v>
      </c>
      <c r="B10" s="1272" t="s">
        <v>700</v>
      </c>
      <c r="C10" s="308">
        <f ca="1">ROUND(IF(F10="押一",C6/12*F11,IF(F10="押二",C6/12*2*F11,IF(F10="押三",C6/12*3*F11,C11*F11))),0)</f>
        <v>177</v>
      </c>
      <c r="D10" s="150" t="s">
        <v>2111</v>
      </c>
      <c r="E10" s="305" t="s">
        <v>701</v>
      </c>
      <c r="F10" s="1051" t="s">
        <v>3452</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384571</v>
      </c>
      <c r="D13" s="1016" t="s">
        <v>705</v>
      </c>
      <c r="E13" s="1016" t="s">
        <v>706</v>
      </c>
      <c r="F13" s="1017">
        <f ca="1">INDIRECT("'数据-取费表'!y"&amp;$G$1)</f>
        <v>0.82</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320880</v>
      </c>
      <c r="D14" s="1255" t="s">
        <v>708</v>
      </c>
      <c r="E14" s="1253"/>
      <c r="F14" s="311"/>
      <c r="G14" s="1290"/>
      <c r="H14" s="926" t="s">
        <v>398</v>
      </c>
      <c r="I14" s="294" t="s">
        <v>709</v>
      </c>
      <c r="J14" s="21">
        <f ca="1">C29</f>
        <v>468989</v>
      </c>
      <c r="K14" s="12"/>
      <c r="L14" s="759"/>
      <c r="M14" s="760"/>
    </row>
    <row r="15" spans="1:37" s="1302" customFormat="1" ht="18" customHeight="1" thickBot="1">
      <c r="A15" s="926" t="s">
        <v>399</v>
      </c>
      <c r="B15" s="294" t="s">
        <v>710</v>
      </c>
      <c r="C15" s="21">
        <f ca="1">ROUND(C14*F15,0)</f>
        <v>16044</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2345</v>
      </c>
      <c r="K16" s="1022" t="s">
        <v>715</v>
      </c>
      <c r="L16" s="1023"/>
      <c r="M16" s="1007"/>
    </row>
    <row r="17" spans="1:37" s="1302" customFormat="1" ht="18" customHeight="1">
      <c r="A17" s="926" t="s">
        <v>681</v>
      </c>
      <c r="B17" s="294" t="s">
        <v>716</v>
      </c>
      <c r="C17" s="21">
        <f ca="1">ROUND(F17*(F43+INDIRECT("'数据-取费表'!S"&amp;$G$1)),0)</f>
        <v>16044</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6418</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359386</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7188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2345</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11364</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683</v>
      </c>
      <c r="I24" s="1025" t="s">
        <v>728</v>
      </c>
      <c r="J24" s="1026">
        <f ca="1">ROUND(J5*M24,0)</f>
        <v>0</v>
      </c>
      <c r="K24" s="1027" t="s">
        <v>748</v>
      </c>
      <c r="L24" s="1025" t="s">
        <v>712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-2345</v>
      </c>
      <c r="K25" s="1030" t="s">
        <v>753</v>
      </c>
      <c r="L25" s="1031"/>
      <c r="M25" s="1032"/>
    </row>
    <row r="26" spans="1:37" ht="18" customHeight="1">
      <c r="A26" s="926" t="s">
        <v>397</v>
      </c>
      <c r="B26" s="294" t="s">
        <v>754</v>
      </c>
      <c r="C26" s="21">
        <f ca="1">ROUND((C19+C20)*F26,0)</f>
        <v>54986</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468989</v>
      </c>
      <c r="D29" s="1027"/>
      <c r="E29" s="1025"/>
      <c r="F29" s="1028"/>
      <c r="G29" s="1301"/>
      <c r="H29" s="325" t="s">
        <v>396</v>
      </c>
      <c r="I29" s="326" t="s">
        <v>768</v>
      </c>
      <c r="J29" s="327">
        <f ca="1">ROUND(J26/(1+F40)^F41,0)</f>
        <v>0</v>
      </c>
      <c r="K29" s="328" t="s">
        <v>769</v>
      </c>
      <c r="L29" s="329"/>
      <c r="M29" s="330">
        <f ca="1">INDIRECT("'数据-取费表'!k"&amp;$G$1)</f>
        <v>80.22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27113</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23676</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7533</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16143</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2345</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385</v>
      </c>
      <c r="D37" s="1254" t="s">
        <v>743</v>
      </c>
      <c r="E37" s="294" t="s">
        <v>712</v>
      </c>
      <c r="F37" s="321">
        <f ca="1">INDIRECT("'数据-取费表'!Al"&amp;$G$1)</f>
        <v>1E-3</v>
      </c>
      <c r="G37" s="1290"/>
      <c r="H37" s="2469"/>
      <c r="I37" s="1303"/>
      <c r="J37" s="1304"/>
      <c r="K37" s="2327"/>
      <c r="L37" s="2469"/>
      <c r="M37" s="2469"/>
    </row>
    <row r="38" spans="1:18" ht="18" customHeight="1" thickBot="1">
      <c r="A38" s="1024" t="s">
        <v>683</v>
      </c>
      <c r="B38" s="1025" t="s">
        <v>728</v>
      </c>
      <c r="C38" s="1026">
        <f ca="1">ROUND(C5*F38,0)</f>
        <v>707</v>
      </c>
      <c r="D38" s="1027" t="s">
        <v>748</v>
      </c>
      <c r="E38" s="1025" t="s">
        <v>712</v>
      </c>
      <c r="F38" s="1021">
        <f ca="1">INDIRECT("'数据-取费表'!Am"&amp;$G$1)</f>
        <v>5.0000000000000001E-3</v>
      </c>
      <c r="G38" s="1290"/>
      <c r="H38" s="2469"/>
      <c r="I38" s="1303"/>
      <c r="J38" s="1304"/>
      <c r="K38" s="2467"/>
      <c r="L38" s="2469"/>
      <c r="M38" s="2469"/>
    </row>
    <row r="39" spans="1:18" ht="24.6" customHeight="1" thickTop="1">
      <c r="A39" s="1014" t="s">
        <v>394</v>
      </c>
      <c r="B39" s="1029" t="s">
        <v>752</v>
      </c>
      <c r="C39" s="302">
        <f ca="1">C5-C30</f>
        <v>114312</v>
      </c>
      <c r="D39" s="1030" t="s">
        <v>753</v>
      </c>
      <c r="E39" s="1031"/>
      <c r="F39" s="1032"/>
      <c r="G39" s="1290"/>
      <c r="H39" s="2469"/>
      <c r="I39" s="1303"/>
      <c r="J39" s="1304"/>
      <c r="K39" s="2467"/>
      <c r="L39" s="2469"/>
      <c r="M39" s="2469"/>
    </row>
    <row r="40" spans="1:18" ht="18" customHeight="1">
      <c r="A40" s="291" t="s">
        <v>395</v>
      </c>
      <c r="B40" s="292" t="s">
        <v>774</v>
      </c>
      <c r="C40" s="293">
        <f ca="1">ROUND(C39*(1-((1+F42)/(1+F40))^F41)/(F40-F42),0)</f>
        <v>1928463</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0.808287077956514</v>
      </c>
      <c r="I42" s="1303"/>
      <c r="J42" s="1304"/>
      <c r="K42" s="2327"/>
      <c r="L42" s="121"/>
      <c r="M42" s="121"/>
    </row>
    <row r="43" spans="1:18" ht="18" customHeight="1" thickBot="1">
      <c r="A43" s="325" t="s">
        <v>396</v>
      </c>
      <c r="B43" s="326" t="s">
        <v>776</v>
      </c>
      <c r="C43" s="327">
        <f ca="1">ROUND(C40/F43,0)</f>
        <v>24040</v>
      </c>
      <c r="D43" s="328" t="s">
        <v>777</v>
      </c>
      <c r="E43" s="329" t="s">
        <v>778</v>
      </c>
      <c r="F43" s="330">
        <f ca="1">INDIRECT("'数据-取费表'!k"&amp;$G$1)</f>
        <v>80.22</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-196.6062</v>
      </c>
      <c r="D45" s="3126" t="s">
        <v>3347</v>
      </c>
      <c r="E45" s="1305"/>
      <c r="F45" s="1305"/>
      <c r="O45" s="1308" t="s">
        <v>808</v>
      </c>
      <c r="P45" s="1364"/>
      <c r="Q45" s="1364"/>
      <c r="R45" s="1364"/>
    </row>
    <row r="46" spans="1:18" s="1290" customFormat="1" ht="13.8" thickBot="1">
      <c r="A46" s="1309" t="s">
        <v>809</v>
      </c>
      <c r="C46" s="1310">
        <f ca="1">ROUND(C45,0)</f>
        <v>-197</v>
      </c>
      <c r="D46" s="1311" t="str">
        <f>C2</f>
        <v>万元</v>
      </c>
      <c r="I46" s="1312" t="s">
        <v>810</v>
      </c>
      <c r="J46" s="1313"/>
      <c r="K46" s="1314"/>
      <c r="L46" s="1315">
        <f ca="1">IF(M47="住宅",0,IF(L48&gt;J51,L60,J60))</f>
        <v>27679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1928463</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3453</v>
      </c>
      <c r="K48" s="1328" t="s">
        <v>820</v>
      </c>
      <c r="L48" s="1329">
        <f ca="1">INDIRECT("'数据-取费表'!f"&amp;$G$1)</f>
        <v>26.46</v>
      </c>
      <c r="O48" s="1323" t="s">
        <v>404</v>
      </c>
      <c r="P48" s="1324" t="s">
        <v>821</v>
      </c>
      <c r="Q48" s="1325">
        <f ca="1">J60</f>
        <v>27679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2012</v>
      </c>
      <c r="K49" s="1328" t="s">
        <v>824</v>
      </c>
      <c r="L49" s="1331"/>
      <c r="O49" s="1332" t="s">
        <v>405</v>
      </c>
      <c r="P49" s="1324" t="s">
        <v>825</v>
      </c>
      <c r="Q49" s="1325">
        <f ca="1">C29</f>
        <v>468989</v>
      </c>
      <c r="R49" s="1325" t="s">
        <v>818</v>
      </c>
    </row>
    <row r="50" spans="1:18" s="1290" customFormat="1" ht="13.8" thickBot="1">
      <c r="A50" s="920"/>
      <c r="B50" s="923"/>
      <c r="C50" s="924"/>
      <c r="D50" s="897"/>
      <c r="E50" s="991" t="s">
        <v>697</v>
      </c>
      <c r="F50" s="992">
        <f ca="1">F7</f>
        <v>80.22</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47</v>
      </c>
      <c r="K51" s="1337" t="s">
        <v>830</v>
      </c>
      <c r="L51" s="1338">
        <f ca="1">ROUND(-PV(INDIRECT("'数据-取费表'!h"&amp;$G$1),J51,(C39-C13*C76),0),0)</f>
        <v>1571397</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26.46</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26.46</v>
      </c>
      <c r="K53" s="3436" t="s">
        <v>837</v>
      </c>
      <c r="L53" s="3437"/>
      <c r="O53" s="1323" t="s">
        <v>409</v>
      </c>
      <c r="P53" s="1324" t="s">
        <v>838</v>
      </c>
      <c r="Q53" s="1325">
        <f ca="1">Q47+Q48</f>
        <v>1956142</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0.34200000000000003</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384571</v>
      </c>
      <c r="D56" s="1350"/>
      <c r="E56" s="1351"/>
      <c r="F56" s="1343"/>
      <c r="I56" s="1352" t="s">
        <v>842</v>
      </c>
      <c r="J56" s="1353" t="s">
        <v>3433</v>
      </c>
      <c r="K56" s="1326" t="s">
        <v>843</v>
      </c>
      <c r="L56" s="1329" t="str">
        <f ca="1">IF(L48&lt;J51,"——",L48-J51)</f>
        <v>——</v>
      </c>
      <c r="O56" s="1323" t="s">
        <v>403</v>
      </c>
      <c r="P56" s="1324" t="s">
        <v>817</v>
      </c>
      <c r="Q56" s="1325">
        <f ca="1">C40+J29</f>
        <v>1928463</v>
      </c>
      <c r="R56" s="1325" t="s">
        <v>818</v>
      </c>
    </row>
    <row r="57" spans="1:18" s="1290" customFormat="1" ht="24.6" thickBot="1">
      <c r="A57" s="1354"/>
      <c r="B57" s="894" t="s">
        <v>767</v>
      </c>
      <c r="C57" s="230">
        <f ca="1">C29</f>
        <v>468989</v>
      </c>
      <c r="D57" s="1355"/>
      <c r="E57" s="1356"/>
      <c r="F57" s="1357"/>
      <c r="I57" s="1358" t="s">
        <v>844</v>
      </c>
      <c r="J57" s="1359">
        <f ca="1">IF(OR(M47="住宅",J51&lt;L48,J56="是"),"——",J51-L48)</f>
        <v>20.54</v>
      </c>
      <c r="K57" s="1326" t="s">
        <v>892</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2730</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187596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27679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727</v>
      </c>
      <c r="C61" s="21">
        <f ca="1">IF(项目基本情况!B11="自然人","——",IF(D61="按租金收入计税",ROUND(C49*F61/(1+'数据-取费表'!C42),0),IF(D61="按房产原值计税",ROUND(C57*F61*0.7,0),INDIRECT("'数据-取费表'!Aj"&amp;$G$1))))</f>
        <v>0</v>
      </c>
      <c r="D61" s="1276" t="s">
        <v>3330</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730</v>
      </c>
      <c r="C62" s="22">
        <f ca="1">IF(项目基本情况!B11="自然人","——",ROUND(F62*F63,0))</f>
        <v>0</v>
      </c>
      <c r="D62" s="909" t="s">
        <v>731</v>
      </c>
      <c r="E62" s="894" t="s">
        <v>732</v>
      </c>
      <c r="F62" s="317">
        <f t="shared" si="0"/>
        <v>3</v>
      </c>
      <c r="I62" s="1365" t="s">
        <v>858</v>
      </c>
      <c r="J62" s="610" t="s">
        <v>859</v>
      </c>
      <c r="K62" s="610" t="s">
        <v>860</v>
      </c>
      <c r="L62" s="610" t="s">
        <v>861</v>
      </c>
      <c r="M62" s="1366" t="s">
        <v>862</v>
      </c>
      <c r="O62" s="1323" t="s">
        <v>409</v>
      </c>
      <c r="P62" s="1324" t="s">
        <v>838</v>
      </c>
      <c r="Q62" s="1325">
        <f ca="1">Q56+Q57</f>
        <v>1928463</v>
      </c>
      <c r="R62" s="1325" t="s">
        <v>410</v>
      </c>
    </row>
    <row r="63" spans="1:18" s="1290" customFormat="1" ht="13.8"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f ca="1">ROUND(C57*F64,0)</f>
        <v>2345</v>
      </c>
      <c r="D64" s="908" t="s">
        <v>771</v>
      </c>
      <c r="E64" s="894" t="s">
        <v>712</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385</v>
      </c>
      <c r="D65" s="908" t="s">
        <v>743</v>
      </c>
      <c r="E65" s="894" t="s">
        <v>712</v>
      </c>
      <c r="F65" s="321">
        <f t="shared" ca="1" si="0"/>
        <v>1E-3</v>
      </c>
      <c r="I65" s="1365" t="s">
        <v>867</v>
      </c>
      <c r="J65" s="610">
        <v>40</v>
      </c>
      <c r="K65" s="610">
        <v>30</v>
      </c>
      <c r="L65" s="610">
        <v>50</v>
      </c>
      <c r="M65" s="1367">
        <v>0.02</v>
      </c>
      <c r="O65" s="1323" t="s">
        <v>403</v>
      </c>
      <c r="P65" s="1324" t="s">
        <v>817</v>
      </c>
      <c r="Q65" s="1325">
        <f ca="1">C40+J29</f>
        <v>1928463</v>
      </c>
      <c r="R65" s="1325" t="s">
        <v>818</v>
      </c>
    </row>
    <row r="66" spans="1:18" s="1290" customFormat="1" ht="16.2" thickBot="1">
      <c r="A66" s="926" t="s">
        <v>793</v>
      </c>
      <c r="B66" s="894" t="s">
        <v>728</v>
      </c>
      <c r="C66" s="21">
        <f ca="1">ROUND(C48*F66,0)</f>
        <v>0</v>
      </c>
      <c r="D66" s="908" t="s">
        <v>748</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-2730</v>
      </c>
      <c r="D67" s="907" t="s">
        <v>753</v>
      </c>
      <c r="E67" s="912"/>
      <c r="F67" s="913"/>
      <c r="O67" s="1332" t="s">
        <v>405</v>
      </c>
      <c r="P67" s="1324" t="s">
        <v>850</v>
      </c>
      <c r="Q67" s="1368">
        <f ca="1">L51</f>
        <v>1571397</v>
      </c>
      <c r="R67" s="1325" t="s">
        <v>870</v>
      </c>
    </row>
    <row r="68" spans="1:18" s="1290" customFormat="1" ht="16.2" thickBot="1">
      <c r="A68" s="891" t="s">
        <v>395</v>
      </c>
      <c r="B68" s="892" t="s">
        <v>774</v>
      </c>
      <c r="C68" s="293">
        <f ca="1">ROUND(C67*(1-((1+F70)/(1+F68))^F69)/(F68-F70),0)</f>
        <v>-37599</v>
      </c>
      <c r="D68" s="909" t="s">
        <v>758</v>
      </c>
      <c r="E68" s="894" t="s">
        <v>759</v>
      </c>
      <c r="F68" s="304">
        <f ca="1">F40</f>
        <v>5.5E-2</v>
      </c>
      <c r="O68" s="1332" t="s">
        <v>406</v>
      </c>
      <c r="P68" s="1369" t="s">
        <v>871</v>
      </c>
      <c r="Q68" s="1325">
        <f ca="1">ROUND(Q69-Q70*Q71,0)</f>
        <v>87392</v>
      </c>
      <c r="R68" s="1325" t="s">
        <v>414</v>
      </c>
    </row>
    <row r="69" spans="1:18" s="1290" customFormat="1" ht="13.8" thickBot="1">
      <c r="A69" s="895"/>
      <c r="B69" s="896"/>
      <c r="C69" s="298"/>
      <c r="D69" s="914" t="s">
        <v>762</v>
      </c>
      <c r="E69" s="894" t="s">
        <v>763</v>
      </c>
      <c r="F69" s="324">
        <f ca="1">F41</f>
        <v>26.46</v>
      </c>
      <c r="O69" s="1332" t="s">
        <v>411</v>
      </c>
      <c r="P69" s="1369" t="s">
        <v>872</v>
      </c>
      <c r="Q69" s="1325">
        <f ca="1">C39</f>
        <v>114312</v>
      </c>
      <c r="R69" s="1325" t="s">
        <v>818</v>
      </c>
    </row>
    <row r="70" spans="1:18" s="1290" customFormat="1" ht="13.8" thickBot="1">
      <c r="A70" s="898"/>
      <c r="B70" s="899"/>
      <c r="C70" s="302"/>
      <c r="D70" s="910"/>
      <c r="E70" s="894" t="s">
        <v>766</v>
      </c>
      <c r="F70" s="989"/>
      <c r="O70" s="1332" t="s">
        <v>412</v>
      </c>
      <c r="P70" s="1369" t="s">
        <v>873</v>
      </c>
      <c r="Q70" s="1325">
        <f ca="1">C13</f>
        <v>384571</v>
      </c>
      <c r="R70" s="1325" t="s">
        <v>818</v>
      </c>
    </row>
    <row r="71" spans="1:18" s="1290" customFormat="1" ht="13.8" thickBot="1">
      <c r="A71" s="915" t="s">
        <v>396</v>
      </c>
      <c r="B71" s="916" t="s">
        <v>776</v>
      </c>
      <c r="C71" s="327">
        <f ca="1">ROUND(C68/F71,0)</f>
        <v>-469</v>
      </c>
      <c r="D71" s="917" t="s">
        <v>777</v>
      </c>
      <c r="E71" s="918" t="s">
        <v>778</v>
      </c>
      <c r="F71" s="330">
        <f ca="1">F43</f>
        <v>80.22</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26920</v>
      </c>
      <c r="D75" s="1290"/>
      <c r="E75" s="1290"/>
      <c r="F75" s="1290"/>
      <c r="K75" s="1307"/>
      <c r="L75" s="1290"/>
      <c r="O75" s="1323" t="s">
        <v>409</v>
      </c>
      <c r="P75" s="1324" t="s">
        <v>838</v>
      </c>
      <c r="Q75" s="1325">
        <f ca="1">Q65+Q66</f>
        <v>1928463</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0.80099999999999993</v>
      </c>
    </row>
    <row r="83" spans="2:3">
      <c r="B83" s="265" t="s">
        <v>803</v>
      </c>
      <c r="C83" s="266">
        <f ca="1">ROUND(C13/C40,3)</f>
        <v>0.19900000000000001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D1" xr:uid="{00000000-0002-0000-1600-000000000000}">
      <formula1>"在建（套用方法）,土地（套用方法）,——"</formula1>
    </dataValidation>
    <dataValidation type="list" allowBlank="1" showInputMessage="1" showErrorMessage="1" sqref="F10 F53 M10" xr:uid="{00000000-0002-0000-1600-000001000000}">
      <formula1>"押一,押二,押三,自定义"</formula1>
    </dataValidation>
    <dataValidation type="list" allowBlank="1" showInputMessage="1" showErrorMessage="1" sqref="K19" xr:uid="{00000000-0002-0000-1600-000002000000}">
      <formula1>"按租金收入计税,按房产原值计税"</formula1>
    </dataValidation>
    <dataValidation type="list" allowBlank="1" showInputMessage="1" showErrorMessage="1" sqref="D33 D61" xr:uid="{00000000-0002-0000-1600-000003000000}">
      <formula1>"按租金收入计税,按房产原值计税,按票据"</formula1>
    </dataValidation>
    <dataValidation type="list" allowBlank="1" showInputMessage="1" showErrorMessage="1" sqref="C1" xr:uid="{00000000-0002-0000-1600-000004000000}">
      <formula1>项目类型</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J56" xr:uid="{00000000-0002-0000-1600-000007000000}">
      <formula1>估价范围判定</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S33"/>
  <sheetViews>
    <sheetView topLeftCell="A10" workbookViewId="0">
      <selection activeCell="O5" sqref="O5"/>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3683</v>
      </c>
    </row>
    <row r="2" spans="1:17" s="1154" customFormat="1">
      <c r="A2" s="3195">
        <v>45676.333831018521</v>
      </c>
      <c r="B2" s="1154" t="s">
        <v>3646</v>
      </c>
      <c r="C2" s="1154" t="s">
        <v>3646</v>
      </c>
      <c r="D2" s="1154" t="s">
        <v>3647</v>
      </c>
      <c r="E2" s="1154" t="s">
        <v>3646</v>
      </c>
      <c r="F2" s="1154" t="s">
        <v>3646</v>
      </c>
      <c r="G2" s="1154">
        <v>1</v>
      </c>
      <c r="H2" s="1154">
        <v>104</v>
      </c>
      <c r="I2" s="1154" t="s">
        <v>3648</v>
      </c>
      <c r="J2" s="1154" t="s">
        <v>673</v>
      </c>
      <c r="K2" s="1154" t="s">
        <v>3649</v>
      </c>
      <c r="L2" s="1154">
        <v>302.10000000000002</v>
      </c>
      <c r="M2" s="1154">
        <v>895.73</v>
      </c>
      <c r="N2" s="1154">
        <v>29650</v>
      </c>
      <c r="Q2" s="2577"/>
    </row>
    <row r="3" spans="1:17" s="1154" customFormat="1">
      <c r="A3" s="3195">
        <v>45676.333831018521</v>
      </c>
      <c r="B3" s="1154" t="s">
        <v>3646</v>
      </c>
      <c r="C3" s="1154" t="s">
        <v>3646</v>
      </c>
      <c r="D3" s="1154" t="s">
        <v>3647</v>
      </c>
      <c r="E3" s="1154" t="s">
        <v>3646</v>
      </c>
      <c r="F3" s="1154" t="s">
        <v>3646</v>
      </c>
      <c r="G3" s="1154">
        <v>1</v>
      </c>
      <c r="H3" s="1154">
        <v>102</v>
      </c>
      <c r="I3" s="1154" t="s">
        <v>3648</v>
      </c>
      <c r="J3" s="1154" t="s">
        <v>673</v>
      </c>
      <c r="K3" s="1154" t="s">
        <v>3649</v>
      </c>
      <c r="L3" s="1154">
        <v>242.17</v>
      </c>
      <c r="M3" s="1154">
        <v>929.45</v>
      </c>
      <c r="N3" s="1154">
        <v>38380</v>
      </c>
      <c r="O3" s="2577" t="s">
        <v>3654</v>
      </c>
      <c r="P3" s="1154">
        <v>0.63</v>
      </c>
      <c r="Q3" s="2577"/>
    </row>
    <row r="4" spans="1:17" s="1154" customFormat="1">
      <c r="A4" s="3195">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2577"/>
    </row>
    <row r="5" spans="1:17" s="1154" customFormat="1">
      <c r="A5" s="3195">
        <v>45630.333831018521</v>
      </c>
      <c r="B5" s="1154" t="s">
        <v>3646</v>
      </c>
      <c r="C5" s="1154" t="s">
        <v>3646</v>
      </c>
      <c r="D5" s="1154" t="s">
        <v>3647</v>
      </c>
      <c r="E5" s="1154" t="s">
        <v>3646</v>
      </c>
      <c r="F5" s="1154" t="s">
        <v>3646</v>
      </c>
      <c r="G5" s="1154">
        <v>1</v>
      </c>
      <c r="H5" s="1154">
        <v>103</v>
      </c>
      <c r="I5" s="1154" t="s">
        <v>3648</v>
      </c>
      <c r="J5" s="1154" t="s">
        <v>673</v>
      </c>
      <c r="K5" s="1154" t="s">
        <v>3649</v>
      </c>
      <c r="L5" s="1154">
        <v>242.22</v>
      </c>
      <c r="M5" s="1154">
        <v>690.33</v>
      </c>
      <c r="N5" s="1154">
        <v>28500</v>
      </c>
      <c r="P5" s="2577"/>
      <c r="Q5" s="2577"/>
    </row>
    <row r="6" spans="1:17" s="1154" customFormat="1">
      <c r="A6" s="3195">
        <v>45590.333831018521</v>
      </c>
      <c r="B6" s="1154" t="s">
        <v>3646</v>
      </c>
      <c r="C6" s="1154" t="s">
        <v>3646</v>
      </c>
      <c r="D6" s="1154" t="s">
        <v>3647</v>
      </c>
      <c r="E6" s="1154" t="s">
        <v>3646</v>
      </c>
      <c r="F6" s="1154" t="s">
        <v>3646</v>
      </c>
      <c r="G6" s="1154">
        <v>1</v>
      </c>
      <c r="H6" s="1154">
        <v>106</v>
      </c>
      <c r="I6" s="1154" t="s">
        <v>3650</v>
      </c>
      <c r="J6" s="1154" t="s">
        <v>673</v>
      </c>
      <c r="K6" s="1154" t="s">
        <v>3649</v>
      </c>
      <c r="L6" s="1154">
        <v>278.18</v>
      </c>
      <c r="M6" s="1154">
        <v>834.54</v>
      </c>
      <c r="N6" s="1154">
        <v>30000</v>
      </c>
    </row>
    <row r="7" spans="1:17" s="3201" customFormat="1">
      <c r="A7" s="3200">
        <v>45590.333831018521</v>
      </c>
      <c r="B7" s="3201" t="s">
        <v>3646</v>
      </c>
      <c r="C7" s="3201" t="s">
        <v>3646</v>
      </c>
      <c r="D7" s="3201" t="s">
        <v>3651</v>
      </c>
      <c r="E7" s="3201" t="s">
        <v>3646</v>
      </c>
      <c r="F7" s="3201" t="s">
        <v>3646</v>
      </c>
      <c r="G7" s="3201">
        <v>1</v>
      </c>
      <c r="H7" s="3201">
        <v>105</v>
      </c>
      <c r="I7" s="3201" t="s">
        <v>3652</v>
      </c>
      <c r="J7" s="3201" t="s">
        <v>673</v>
      </c>
      <c r="K7" s="3201" t="s">
        <v>3649</v>
      </c>
      <c r="L7" s="3201">
        <v>322.3</v>
      </c>
      <c r="M7" s="3201">
        <v>837.98</v>
      </c>
      <c r="N7" s="3201">
        <v>26000</v>
      </c>
      <c r="Q7" s="3540" t="s">
        <v>3684</v>
      </c>
    </row>
    <row r="8" spans="1:17" s="1154" customFormat="1">
      <c r="A8" s="3195">
        <v>45587.333831018521</v>
      </c>
      <c r="B8" s="1154" t="s">
        <v>3646</v>
      </c>
      <c r="C8" s="1154" t="s">
        <v>3646</v>
      </c>
      <c r="D8" s="1154" t="s">
        <v>3647</v>
      </c>
      <c r="E8" s="1154" t="s">
        <v>3646</v>
      </c>
      <c r="F8" s="1154" t="s">
        <v>3646</v>
      </c>
      <c r="G8" s="1154">
        <v>1</v>
      </c>
      <c r="H8" s="1154">
        <v>109</v>
      </c>
      <c r="I8" s="1154" t="s">
        <v>3650</v>
      </c>
      <c r="J8" s="1154" t="s">
        <v>673</v>
      </c>
      <c r="K8" s="1154" t="s">
        <v>3649</v>
      </c>
      <c r="L8" s="1154">
        <v>146.1</v>
      </c>
      <c r="M8" s="1154">
        <v>540.57000000000005</v>
      </c>
      <c r="N8" s="1154">
        <v>37000</v>
      </c>
      <c r="Q8" s="2577"/>
    </row>
    <row r="9" spans="1:17" s="3197" customFormat="1">
      <c r="A9" s="3196">
        <v>45587.333831018521</v>
      </c>
      <c r="B9" s="3197" t="s">
        <v>3646</v>
      </c>
      <c r="C9" s="3197" t="s">
        <v>3646</v>
      </c>
      <c r="D9" s="3197" t="s">
        <v>3651</v>
      </c>
      <c r="E9" s="3197" t="s">
        <v>3646</v>
      </c>
      <c r="F9" s="3197" t="s">
        <v>3646</v>
      </c>
      <c r="G9" s="3197">
        <v>1</v>
      </c>
      <c r="H9" s="3197">
        <v>104</v>
      </c>
      <c r="I9" s="3197" t="s">
        <v>3652</v>
      </c>
      <c r="J9" s="3197" t="s">
        <v>673</v>
      </c>
      <c r="K9" s="3197" t="s">
        <v>3649</v>
      </c>
      <c r="L9" s="3197">
        <v>145.44999999999999</v>
      </c>
      <c r="M9" s="3197">
        <v>523.62</v>
      </c>
      <c r="N9" s="3197">
        <v>36000</v>
      </c>
      <c r="Q9" s="3198" t="s">
        <v>3685</v>
      </c>
    </row>
    <row r="10" spans="1:17" s="1154" customFormat="1">
      <c r="A10" s="3195">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3667</v>
      </c>
    </row>
    <row r="11" spans="1:17" s="3197" customFormat="1">
      <c r="A11" s="3196">
        <v>45587.333831018521</v>
      </c>
      <c r="B11" s="3197" t="s">
        <v>3646</v>
      </c>
      <c r="C11" s="3197" t="s">
        <v>3646</v>
      </c>
      <c r="D11" s="3197" t="s">
        <v>3651</v>
      </c>
      <c r="E11" s="3197" t="s">
        <v>3646</v>
      </c>
      <c r="F11" s="3197" t="s">
        <v>3646</v>
      </c>
      <c r="G11" s="3197">
        <v>1</v>
      </c>
      <c r="H11" s="3197">
        <v>103</v>
      </c>
      <c r="I11" s="3197" t="s">
        <v>3652</v>
      </c>
      <c r="J11" s="3197" t="s">
        <v>673</v>
      </c>
      <c r="K11" s="3197" t="s">
        <v>3649</v>
      </c>
      <c r="L11" s="3197">
        <v>151.93</v>
      </c>
      <c r="M11" s="3197">
        <v>546.95000000000005</v>
      </c>
      <c r="N11" s="3197">
        <v>36000</v>
      </c>
      <c r="Q11" s="3198" t="s">
        <v>3685</v>
      </c>
    </row>
    <row r="12" spans="1:17" s="1154" customFormat="1">
      <c r="A12" s="3195">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1" customFormat="1">
      <c r="A13" s="3200">
        <v>45573.333831018521</v>
      </c>
      <c r="B13" s="3201" t="s">
        <v>3646</v>
      </c>
      <c r="C13" s="3201" t="s">
        <v>3646</v>
      </c>
      <c r="D13" s="3201" t="s">
        <v>3651</v>
      </c>
      <c r="E13" s="3201" t="s">
        <v>3646</v>
      </c>
      <c r="F13" s="3201" t="s">
        <v>3646</v>
      </c>
      <c r="G13" s="3201">
        <v>1</v>
      </c>
      <c r="H13" s="3201">
        <v>102</v>
      </c>
      <c r="I13" s="3201" t="s">
        <v>3652</v>
      </c>
      <c r="J13" s="3201" t="s">
        <v>673</v>
      </c>
      <c r="K13" s="3201" t="s">
        <v>3649</v>
      </c>
      <c r="L13" s="3201">
        <v>245.74</v>
      </c>
      <c r="M13" s="3201">
        <v>737.22</v>
      </c>
      <c r="N13" s="3201">
        <v>30000</v>
      </c>
      <c r="Q13" s="3540" t="s">
        <v>3685</v>
      </c>
    </row>
    <row r="14" spans="1:17" s="3197" customFormat="1">
      <c r="A14" s="3196">
        <v>45573.333831018521</v>
      </c>
      <c r="B14" s="3197" t="s">
        <v>3646</v>
      </c>
      <c r="C14" s="3197" t="s">
        <v>3646</v>
      </c>
      <c r="D14" s="3197" t="s">
        <v>3651</v>
      </c>
      <c r="E14" s="3197" t="s">
        <v>3646</v>
      </c>
      <c r="F14" s="3197" t="s">
        <v>3646</v>
      </c>
      <c r="G14" s="3197">
        <v>1</v>
      </c>
      <c r="H14" s="3197">
        <v>106</v>
      </c>
      <c r="I14" s="3197" t="s">
        <v>3652</v>
      </c>
      <c r="J14" s="3197" t="s">
        <v>673</v>
      </c>
      <c r="K14" s="3197" t="s">
        <v>3649</v>
      </c>
      <c r="L14" s="3197">
        <v>111.77</v>
      </c>
      <c r="M14" s="3197">
        <v>380.02</v>
      </c>
      <c r="N14" s="3197">
        <v>34000</v>
      </c>
      <c r="Q14" s="3198" t="s">
        <v>3684</v>
      </c>
    </row>
    <row r="15" spans="1:17" s="1154" customFormat="1">
      <c r="A15" s="3195">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5">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25" spans="16:19">
      <c r="P25">
        <v>6.27</v>
      </c>
      <c r="Q25">
        <v>14.5</v>
      </c>
      <c r="R25">
        <f>P25*Q25</f>
        <v>90.914999999999992</v>
      </c>
    </row>
    <row r="26" spans="16:19">
      <c r="P26" s="1403">
        <f>13.95-6.27</f>
        <v>7.68</v>
      </c>
      <c r="Q26">
        <v>3.51</v>
      </c>
      <c r="R26">
        <f t="shared" ref="R26:R28" si="0">P26*Q26</f>
        <v>26.956799999999998</v>
      </c>
    </row>
    <row r="27" spans="16:19">
      <c r="P27">
        <v>0.98</v>
      </c>
      <c r="Q27">
        <v>1.47</v>
      </c>
      <c r="R27">
        <f t="shared" si="0"/>
        <v>1.4405999999999999</v>
      </c>
    </row>
    <row r="28" spans="16:19">
      <c r="P28">
        <f>5.92-0.98</f>
        <v>4.9399999999999995</v>
      </c>
      <c r="Q28">
        <f>14.5-4.03-3.51</f>
        <v>6.9599999999999991</v>
      </c>
      <c r="R28">
        <f t="shared" si="0"/>
        <v>34.38239999999999</v>
      </c>
      <c r="S28" s="1403" t="s">
        <v>3561</v>
      </c>
    </row>
    <row r="29" spans="16:19">
      <c r="Q29" s="1403" t="s">
        <v>3598</v>
      </c>
      <c r="R29">
        <f>SUM(R25:R28)</f>
        <v>153.69479999999999</v>
      </c>
      <c r="S29">
        <f>ROUND(R29/R33,2)</f>
        <v>0.63</v>
      </c>
    </row>
    <row r="30" spans="16:19">
      <c r="Q30" s="1403" t="s">
        <v>3599</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P49"/>
  <sheetViews>
    <sheetView topLeftCell="A31" workbookViewId="0">
      <selection activeCell="A36" sqref="A36:H40"/>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s>
  <sheetData>
    <row r="1" spans="1:16">
      <c r="A1" s="3181" t="s">
        <v>3418</v>
      </c>
      <c r="B1" s="3181" t="s">
        <v>3419</v>
      </c>
      <c r="C1" s="3181" t="s">
        <v>3420</v>
      </c>
      <c r="D1" s="3181" t="s">
        <v>2538</v>
      </c>
      <c r="E1" s="3181" t="s">
        <v>3427</v>
      </c>
      <c r="F1" s="3181" t="s">
        <v>3383</v>
      </c>
      <c r="G1" s="3181" t="s">
        <v>3424</v>
      </c>
      <c r="H1" s="3181" t="s">
        <v>3431</v>
      </c>
      <c r="I1" s="3181" t="s">
        <v>3421</v>
      </c>
      <c r="J1" s="3182"/>
      <c r="K1" s="3181" t="s">
        <v>3422</v>
      </c>
      <c r="L1" s="3181" t="s">
        <v>3423</v>
      </c>
      <c r="M1" s="3182"/>
      <c r="N1" s="3181" t="s">
        <v>3511</v>
      </c>
      <c r="O1" s="3181" t="s">
        <v>3513</v>
      </c>
      <c r="P1" s="3182"/>
    </row>
    <row r="2" spans="1:16" s="3159" customFormat="1" ht="46.2" customHeight="1">
      <c r="A2" s="3183" t="s">
        <v>3412</v>
      </c>
      <c r="B2" s="3183" t="s">
        <v>3413</v>
      </c>
      <c r="C2" s="3183" t="s">
        <v>3414</v>
      </c>
      <c r="D2" s="3183" t="s">
        <v>3415</v>
      </c>
      <c r="E2" s="3183">
        <v>102</v>
      </c>
      <c r="F2" s="3184">
        <v>245.74</v>
      </c>
      <c r="G2" s="3183" t="s">
        <v>3425</v>
      </c>
      <c r="H2" s="3185" t="s">
        <v>3426</v>
      </c>
      <c r="I2" s="3186">
        <v>40849</v>
      </c>
      <c r="J2" s="3186">
        <v>55458</v>
      </c>
      <c r="K2" s="3183" t="s">
        <v>3417</v>
      </c>
      <c r="L2" s="3184">
        <v>2011</v>
      </c>
      <c r="M2" s="3183" t="s">
        <v>3485</v>
      </c>
      <c r="N2" s="3183" t="s">
        <v>3512</v>
      </c>
      <c r="O2" s="3183" t="s">
        <v>3514</v>
      </c>
      <c r="P2" s="3187" t="s">
        <v>3559</v>
      </c>
    </row>
    <row r="3" spans="1:16" s="3159" customFormat="1" ht="43.2">
      <c r="A3" s="3183" t="s">
        <v>3428</v>
      </c>
      <c r="B3" s="3183" t="s">
        <v>3429</v>
      </c>
      <c r="C3" s="3183" t="s">
        <v>3430</v>
      </c>
      <c r="D3" s="3183" t="s">
        <v>3415</v>
      </c>
      <c r="E3" s="3184">
        <v>105</v>
      </c>
      <c r="F3" s="3184">
        <v>322.3</v>
      </c>
      <c r="G3" s="3183" t="s">
        <v>3425</v>
      </c>
      <c r="H3" s="3185" t="s">
        <v>3426</v>
      </c>
      <c r="I3" s="3186">
        <v>40849</v>
      </c>
      <c r="J3" s="3186">
        <v>55458</v>
      </c>
      <c r="K3" s="3183" t="s">
        <v>3417</v>
      </c>
      <c r="L3" s="3184">
        <v>2011</v>
      </c>
      <c r="M3" s="3183" t="s">
        <v>3486</v>
      </c>
      <c r="N3" s="3183" t="s">
        <v>3512</v>
      </c>
      <c r="O3" s="3183" t="s">
        <v>3514</v>
      </c>
      <c r="P3" s="3184"/>
    </row>
    <row r="4" spans="1:16" s="3159" customFormat="1" ht="43.2">
      <c r="A4" s="3183" t="s">
        <v>3590</v>
      </c>
      <c r="B4" s="3183" t="s">
        <v>3591</v>
      </c>
      <c r="C4" s="3183" t="s">
        <v>3592</v>
      </c>
      <c r="D4" s="3183" t="s">
        <v>3415</v>
      </c>
      <c r="E4" s="3184">
        <v>103</v>
      </c>
      <c r="F4" s="3184">
        <v>242.22</v>
      </c>
      <c r="G4" s="3183" t="s">
        <v>3593</v>
      </c>
      <c r="H4" s="3185" t="s">
        <v>3594</v>
      </c>
      <c r="I4" s="3186">
        <v>40850</v>
      </c>
      <c r="J4" s="3186">
        <v>55459</v>
      </c>
      <c r="K4" s="3183" t="s">
        <v>3595</v>
      </c>
      <c r="L4" s="3184">
        <v>2012</v>
      </c>
      <c r="M4" s="3188"/>
      <c r="N4" s="3188"/>
      <c r="O4" s="3188"/>
      <c r="P4" s="3189"/>
    </row>
    <row r="5" spans="1:16" s="3159" customFormat="1">
      <c r="A5" s="3158"/>
      <c r="B5" s="3158"/>
      <c r="C5" s="3158"/>
      <c r="D5" s="3158"/>
      <c r="G5" s="3158"/>
      <c r="H5" s="3161"/>
      <c r="I5" s="3160"/>
      <c r="J5" s="3160"/>
      <c r="K5" s="3158"/>
      <c r="M5" s="3158"/>
      <c r="N5" s="3158"/>
      <c r="O5" s="3158"/>
    </row>
    <row r="7" spans="1:16">
      <c r="G7" s="1403" t="s">
        <v>3629</v>
      </c>
      <c r="J7" s="3171" t="s">
        <v>3615</v>
      </c>
    </row>
    <row r="8" spans="1:16" ht="30.6" customHeight="1">
      <c r="A8" s="3187" t="s">
        <v>3560</v>
      </c>
      <c r="B8" s="3190">
        <v>102</v>
      </c>
      <c r="C8" s="3190" t="s">
        <v>3561</v>
      </c>
      <c r="D8" s="3190">
        <v>105</v>
      </c>
      <c r="E8" s="3190" t="s">
        <v>3561</v>
      </c>
      <c r="G8" s="3191">
        <v>103</v>
      </c>
      <c r="H8" s="3190" t="s">
        <v>3596</v>
      </c>
      <c r="J8" s="3182">
        <v>102</v>
      </c>
      <c r="K8" s="3182">
        <v>105</v>
      </c>
      <c r="L8" s="3182">
        <v>103</v>
      </c>
    </row>
    <row r="9" spans="1:16">
      <c r="A9" s="3190" t="s">
        <v>3598</v>
      </c>
      <c r="B9" s="3191">
        <f>F2-B10</f>
        <v>150.23000000000002</v>
      </c>
      <c r="C9" s="3191">
        <f>ROUND(B9/F2,2)</f>
        <v>0.61</v>
      </c>
      <c r="D9" s="3191">
        <f>F3-D10</f>
        <v>137.72</v>
      </c>
      <c r="E9" s="3191">
        <f>ROUND(D9/F3,2)</f>
        <v>0.43</v>
      </c>
      <c r="G9" s="3191">
        <f>租约!B6+租约!B7</f>
        <v>162</v>
      </c>
      <c r="H9" s="3190">
        <f>ROUND(G9/F4,2)</f>
        <v>0.67</v>
      </c>
      <c r="J9" s="3193">
        <f>B9-55</f>
        <v>95.230000000000018</v>
      </c>
      <c r="K9" s="3182">
        <f>D9-租约!B43-租约!B71</f>
        <v>77.72</v>
      </c>
      <c r="L9" s="3182">
        <f>G9-租约!B100-租约!B128</f>
        <v>0</v>
      </c>
    </row>
    <row r="10" spans="1:16">
      <c r="A10" s="3190" t="s">
        <v>3599</v>
      </c>
      <c r="B10" s="3191">
        <v>95.51</v>
      </c>
      <c r="C10" s="3191">
        <f>ROUND(B10/F2,2)</f>
        <v>0.39</v>
      </c>
      <c r="D10" s="3191">
        <v>184.58</v>
      </c>
      <c r="E10" s="3191">
        <f>ROUND(D10/F3,2)</f>
        <v>0.56999999999999995</v>
      </c>
      <c r="G10" s="3191">
        <f>F4-G9</f>
        <v>80.22</v>
      </c>
      <c r="H10" s="3191">
        <f>ROUND(G10/F4,2)</f>
        <v>0.33</v>
      </c>
    </row>
    <row r="11" spans="1:16">
      <c r="B11" s="1403"/>
    </row>
    <row r="12" spans="1:16">
      <c r="A12" s="3154">
        <v>102</v>
      </c>
      <c r="B12" s="1403" t="s">
        <v>3625</v>
      </c>
      <c r="C12" s="1403" t="s">
        <v>3631</v>
      </c>
      <c r="D12" s="1403" t="s">
        <v>3622</v>
      </c>
      <c r="F12" s="3154">
        <v>105</v>
      </c>
      <c r="G12" s="1403" t="s">
        <v>3625</v>
      </c>
      <c r="H12" s="1403" t="s">
        <v>3631</v>
      </c>
      <c r="I12" s="1403" t="s">
        <v>3622</v>
      </c>
      <c r="L12" s="3154">
        <v>103</v>
      </c>
      <c r="M12" s="1403" t="s">
        <v>3625</v>
      </c>
      <c r="N12" s="1403" t="s">
        <v>3631</v>
      </c>
      <c r="O12" s="1403" t="s">
        <v>3627</v>
      </c>
      <c r="P12" s="1403" t="s">
        <v>3628</v>
      </c>
    </row>
    <row r="13" spans="1:16">
      <c r="A13" s="3171" t="s">
        <v>3488</v>
      </c>
      <c r="B13">
        <v>7.5</v>
      </c>
      <c r="C13">
        <v>1</v>
      </c>
      <c r="D13" s="3154">
        <f>C9</f>
        <v>0.61</v>
      </c>
      <c r="F13" s="3171" t="s">
        <v>3488</v>
      </c>
      <c r="G13">
        <v>7.5</v>
      </c>
      <c r="H13">
        <v>1</v>
      </c>
      <c r="I13" s="3154">
        <f>E9</f>
        <v>0.43</v>
      </c>
      <c r="L13" s="3171" t="s">
        <v>3488</v>
      </c>
      <c r="M13">
        <v>7.5</v>
      </c>
      <c r="N13">
        <v>1</v>
      </c>
      <c r="O13" s="3154">
        <f>ROUND((租约!B6*租约!D6+租约!B7*租约!D7)/(租约!B6+租约!B7),2)</f>
        <v>5.99</v>
      </c>
      <c r="P13" s="3168">
        <f>租约!H6</f>
        <v>47589</v>
      </c>
    </row>
    <row r="14" spans="1:16">
      <c r="A14" s="3171" t="s">
        <v>3555</v>
      </c>
      <c r="B14">
        <f>B13*C14</f>
        <v>3</v>
      </c>
      <c r="C14">
        <v>0.4</v>
      </c>
      <c r="D14" s="3154">
        <f>C10</f>
        <v>0.39</v>
      </c>
      <c r="E14" t="s">
        <v>3624</v>
      </c>
      <c r="F14" s="3171" t="s">
        <v>3555</v>
      </c>
      <c r="G14">
        <f>G13*H14</f>
        <v>3</v>
      </c>
      <c r="H14">
        <v>0.4</v>
      </c>
      <c r="I14" s="3154">
        <f>E10</f>
        <v>0.56999999999999995</v>
      </c>
      <c r="J14" t="s">
        <v>3624</v>
      </c>
      <c r="L14" s="3171" t="s">
        <v>3555</v>
      </c>
      <c r="M14">
        <f>M13*N14</f>
        <v>3</v>
      </c>
      <c r="N14">
        <v>0.4</v>
      </c>
      <c r="O14" s="3154"/>
      <c r="P14" t="s">
        <v>3624</v>
      </c>
    </row>
    <row r="15" spans="1:16">
      <c r="A15" s="3171" t="s">
        <v>3623</v>
      </c>
      <c r="B15" s="3171">
        <f>ROUND((B13*B9+B14*B10+B9/2*B14)/F2,2)</f>
        <v>6.67</v>
      </c>
      <c r="C15">
        <f>ROUND((C13+C14)/2,2)</f>
        <v>0.7</v>
      </c>
      <c r="D15" s="3154">
        <f>D13+D14</f>
        <v>1</v>
      </c>
      <c r="F15" s="3171" t="s">
        <v>3623</v>
      </c>
      <c r="G15" s="3171">
        <f>ROUND((G13*D9+D10*G14+D9/2*G14)/F3,2)</f>
        <v>5.56</v>
      </c>
      <c r="H15">
        <f>ROUND((H13+H14)/2,2)</f>
        <v>0.7</v>
      </c>
      <c r="I15" s="3154">
        <f>I13+I14</f>
        <v>1</v>
      </c>
      <c r="L15" s="3171"/>
      <c r="M15" s="3171"/>
      <c r="N15">
        <f>ROUND((N13+N14)/2,2)</f>
        <v>0.7</v>
      </c>
    </row>
    <row r="16" spans="1:16">
      <c r="J16" s="1403" t="s">
        <v>3625</v>
      </c>
      <c r="K16" s="1403" t="s">
        <v>3631</v>
      </c>
    </row>
    <row r="17" spans="1:11">
      <c r="I17" s="1403" t="s">
        <v>3668</v>
      </c>
      <c r="J17">
        <v>7.5</v>
      </c>
      <c r="K17">
        <v>1</v>
      </c>
    </row>
    <row r="18" spans="1:11">
      <c r="J18">
        <f>J17*K18</f>
        <v>3</v>
      </c>
      <c r="K18">
        <v>0.4</v>
      </c>
    </row>
    <row r="19" spans="1:11">
      <c r="C19" s="1403"/>
      <c r="D19" s="1403"/>
      <c r="I19" s="1403" t="s">
        <v>3669</v>
      </c>
      <c r="J19" s="3154">
        <f>ROUND((J18*G10+G9/2*J18)/G10,2)</f>
        <v>6.03</v>
      </c>
      <c r="K19">
        <f>ROUND((K17+K18)/2,2)</f>
        <v>0.7</v>
      </c>
    </row>
    <row r="20" spans="1:11">
      <c r="A20" s="1403"/>
      <c r="B20" s="1403"/>
    </row>
    <row r="21" spans="1:11">
      <c r="A21" s="1403"/>
      <c r="B21" s="1403"/>
    </row>
    <row r="22" spans="1:11">
      <c r="A22" s="1403"/>
      <c r="B22" s="1403"/>
    </row>
    <row r="23" spans="1:11">
      <c r="B23" s="3171" t="s">
        <v>3630</v>
      </c>
    </row>
    <row r="24" spans="1:11">
      <c r="B24" s="1403" t="s">
        <v>3489</v>
      </c>
      <c r="C24" s="1403" t="s">
        <v>3490</v>
      </c>
      <c r="D24" s="1403" t="s">
        <v>3491</v>
      </c>
      <c r="E24" s="1403" t="s">
        <v>3492</v>
      </c>
      <c r="F24" s="1403" t="s">
        <v>3493</v>
      </c>
      <c r="G24" s="1403" t="s">
        <v>3494</v>
      </c>
      <c r="H24" s="1403" t="s">
        <v>3498</v>
      </c>
    </row>
    <row r="25" spans="1:11">
      <c r="A25" s="3444">
        <v>102</v>
      </c>
      <c r="B25" s="1403" t="s">
        <v>3487</v>
      </c>
      <c r="C25" s="1403" t="s">
        <v>3488</v>
      </c>
      <c r="D25">
        <v>2.2999999999999998</v>
      </c>
      <c r="E25">
        <v>3.5</v>
      </c>
      <c r="F25">
        <v>13.97</v>
      </c>
      <c r="G25" s="1403" t="s">
        <v>3495</v>
      </c>
      <c r="H25" s="1403" t="s">
        <v>3502</v>
      </c>
    </row>
    <row r="26" spans="1:11">
      <c r="A26" s="3444"/>
      <c r="B26" s="1403" t="s">
        <v>3496</v>
      </c>
      <c r="C26" s="1403" t="s">
        <v>3488</v>
      </c>
      <c r="D26">
        <v>3</v>
      </c>
      <c r="E26">
        <v>7.8</v>
      </c>
      <c r="F26" s="1403" t="s">
        <v>3497</v>
      </c>
      <c r="H26" s="1403" t="s">
        <v>3499</v>
      </c>
    </row>
    <row r="27" spans="1:11" ht="47.4" customHeight="1">
      <c r="A27" s="3444"/>
      <c r="B27" s="1403" t="s">
        <v>3500</v>
      </c>
      <c r="C27" s="3158" t="s">
        <v>3501</v>
      </c>
      <c r="E27">
        <v>3</v>
      </c>
      <c r="H27" s="1403" t="s">
        <v>3502</v>
      </c>
    </row>
    <row r="29" spans="1:11">
      <c r="B29" s="1403" t="s">
        <v>3489</v>
      </c>
      <c r="C29" s="1403" t="s">
        <v>3490</v>
      </c>
      <c r="D29" s="1403" t="s">
        <v>3491</v>
      </c>
      <c r="E29" s="1403" t="s">
        <v>3492</v>
      </c>
      <c r="F29" s="1403" t="s">
        <v>3493</v>
      </c>
      <c r="G29" s="1403" t="s">
        <v>3494</v>
      </c>
      <c r="H29" s="1403" t="s">
        <v>3498</v>
      </c>
    </row>
    <row r="30" spans="1:11">
      <c r="A30" s="3444">
        <v>105</v>
      </c>
      <c r="B30" s="1403" t="s">
        <v>3510</v>
      </c>
      <c r="C30" s="1403" t="s">
        <v>3488</v>
      </c>
      <c r="D30">
        <v>2.35</v>
      </c>
      <c r="E30" s="1403">
        <v>2.6</v>
      </c>
      <c r="F30" s="1403">
        <v>10.199999999999999</v>
      </c>
      <c r="H30" s="1403" t="s">
        <v>3502</v>
      </c>
    </row>
    <row r="31" spans="1:11">
      <c r="A31" s="3444"/>
      <c r="B31" s="1403" t="s">
        <v>3509</v>
      </c>
      <c r="C31" s="1403" t="s">
        <v>3488</v>
      </c>
      <c r="D31">
        <v>2.29</v>
      </c>
      <c r="E31" s="1403">
        <v>2.1800000000000002</v>
      </c>
      <c r="F31">
        <v>5.2</v>
      </c>
      <c r="H31" s="1403" t="s">
        <v>3503</v>
      </c>
    </row>
    <row r="32" spans="1:11">
      <c r="A32" s="3444"/>
      <c r="B32" s="1403" t="s">
        <v>3508</v>
      </c>
      <c r="C32" s="1403" t="s">
        <v>3488</v>
      </c>
      <c r="D32">
        <v>2.2999999999999998</v>
      </c>
      <c r="E32" s="1403">
        <v>6.2</v>
      </c>
      <c r="F32" s="1403" t="s">
        <v>3504</v>
      </c>
      <c r="H32" s="1403" t="s">
        <v>3505</v>
      </c>
    </row>
    <row r="33" spans="1:9" ht="57.6">
      <c r="A33" s="3444"/>
      <c r="B33" s="1403" t="s">
        <v>3507</v>
      </c>
      <c r="C33" s="3158" t="s">
        <v>3501</v>
      </c>
      <c r="D33" s="3158" t="s">
        <v>3506</v>
      </c>
      <c r="H33" s="1403" t="s">
        <v>3502</v>
      </c>
    </row>
    <row r="36" spans="1:9">
      <c r="B36" s="1403" t="s">
        <v>3456</v>
      </c>
      <c r="C36" s="1403" t="s">
        <v>3431</v>
      </c>
      <c r="D36" s="1403" t="s">
        <v>3491</v>
      </c>
      <c r="E36" s="1403" t="s">
        <v>3492</v>
      </c>
      <c r="F36" s="1403" t="s">
        <v>3493</v>
      </c>
      <c r="G36" s="1403" t="s">
        <v>3383</v>
      </c>
      <c r="H36" s="1403" t="s">
        <v>3498</v>
      </c>
      <c r="I36" s="3539"/>
    </row>
    <row r="37" spans="1:9">
      <c r="A37" s="3444">
        <v>103</v>
      </c>
      <c r="B37" s="1403" t="s">
        <v>3675</v>
      </c>
      <c r="C37" s="1403" t="s">
        <v>3488</v>
      </c>
      <c r="H37" s="1403" t="s">
        <v>3676</v>
      </c>
    </row>
    <row r="38" spans="1:9">
      <c r="A38" s="3444"/>
      <c r="B38" s="1403" t="s">
        <v>3677</v>
      </c>
      <c r="C38" s="1403" t="s">
        <v>3488</v>
      </c>
      <c r="H38" s="1403" t="s">
        <v>3678</v>
      </c>
    </row>
    <row r="40" spans="1:9" ht="43.2">
      <c r="A40">
        <v>102</v>
      </c>
      <c r="B40" s="1403" t="s">
        <v>3679</v>
      </c>
      <c r="C40" s="3158" t="s">
        <v>3680</v>
      </c>
      <c r="D40" s="1403" t="s">
        <v>3681</v>
      </c>
      <c r="H40" s="1403" t="s">
        <v>3682</v>
      </c>
    </row>
    <row r="49" spans="2:2">
      <c r="B49" s="1403"/>
    </row>
  </sheetData>
  <mergeCells count="3">
    <mergeCell ref="A25:A27"/>
    <mergeCell ref="A30:A33"/>
    <mergeCell ref="A37:A38"/>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N151"/>
  <sheetViews>
    <sheetView topLeftCell="A88" workbookViewId="0">
      <selection activeCell="D17" sqref="D17"/>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3617</v>
      </c>
    </row>
    <row r="2" spans="1:14">
      <c r="A2" s="3181" t="s">
        <v>3618</v>
      </c>
      <c r="B2" s="3181" t="s">
        <v>3626</v>
      </c>
      <c r="C2" s="3181" t="s">
        <v>3619</v>
      </c>
      <c r="D2" s="3181" t="s">
        <v>3621</v>
      </c>
      <c r="E2" s="3181" t="s">
        <v>3616</v>
      </c>
      <c r="F2" s="3182"/>
      <c r="G2" s="3182" t="str">
        <f>D12</f>
        <v>租赁期限</v>
      </c>
      <c r="H2" s="3182"/>
    </row>
    <row r="3" spans="1:14">
      <c r="A3" s="3181" t="str">
        <f>A13</f>
        <v>68-3-102-02</v>
      </c>
      <c r="B3" s="3182">
        <f>B13</f>
        <v>55</v>
      </c>
      <c r="C3" s="3181" t="s">
        <v>3620</v>
      </c>
      <c r="D3" s="3182">
        <f>E40</f>
        <v>8.56</v>
      </c>
      <c r="E3" s="3182">
        <f>J40</f>
        <v>8.99</v>
      </c>
      <c r="F3" s="3182" t="str">
        <f>F15</f>
        <v>每两年递增6%</v>
      </c>
      <c r="G3" s="3194">
        <f>D13</f>
        <v>45627</v>
      </c>
      <c r="H3" s="3194">
        <f>E13</f>
        <v>47817</v>
      </c>
    </row>
    <row r="4" spans="1:14">
      <c r="A4" s="3181" t="str">
        <f>A43</f>
        <v>68-3-105-02</v>
      </c>
      <c r="B4" s="3182">
        <f>B43</f>
        <v>20</v>
      </c>
      <c r="C4" s="3181" t="s">
        <v>3620</v>
      </c>
      <c r="D4" s="3182">
        <f>D67</f>
        <v>7.35</v>
      </c>
      <c r="E4" s="3182">
        <f>J67</f>
        <v>7.35</v>
      </c>
      <c r="F4" s="3182" t="str">
        <f>G45</f>
        <v>每两年递增5%</v>
      </c>
      <c r="G4" s="3194">
        <f>D43</f>
        <v>45728</v>
      </c>
      <c r="H4" s="3194">
        <f>E43</f>
        <v>47553</v>
      </c>
    </row>
    <row r="5" spans="1:14">
      <c r="A5" s="3181" t="str">
        <f>A71</f>
        <v>68-3-105-03</v>
      </c>
      <c r="B5" s="3182">
        <f>B71</f>
        <v>40</v>
      </c>
      <c r="C5" s="3181" t="s">
        <v>3620</v>
      </c>
      <c r="D5" s="3182">
        <f>E95</f>
        <v>8.65</v>
      </c>
      <c r="E5" s="3182">
        <f>J95</f>
        <v>9.08</v>
      </c>
      <c r="F5" s="3182" t="str">
        <f>G73</f>
        <v>每两年递增5%</v>
      </c>
      <c r="G5" s="3194">
        <f>D71</f>
        <v>45651</v>
      </c>
      <c r="H5" s="3194">
        <f>E71</f>
        <v>47476</v>
      </c>
    </row>
    <row r="6" spans="1:14">
      <c r="A6" s="3181" t="str">
        <f>A100</f>
        <v>66-1-103-01</v>
      </c>
      <c r="B6" s="3182">
        <f>B100</f>
        <v>100</v>
      </c>
      <c r="C6" s="3182"/>
      <c r="D6" s="3182">
        <f>E124</f>
        <v>5.6</v>
      </c>
      <c r="E6" s="3182">
        <f>J124</f>
        <v>5.88</v>
      </c>
      <c r="F6" s="3182" t="str">
        <f>H102</f>
        <v>每三年递增5%</v>
      </c>
      <c r="G6" s="3194">
        <f>D100</f>
        <v>45764</v>
      </c>
      <c r="H6" s="3194">
        <f>E100</f>
        <v>47589</v>
      </c>
    </row>
    <row r="7" spans="1:14">
      <c r="A7" s="3181" t="str">
        <f>A128</f>
        <v>66-1-103-02</v>
      </c>
      <c r="B7" s="3182">
        <f>B128</f>
        <v>62</v>
      </c>
      <c r="C7" s="3182"/>
      <c r="D7" s="3182">
        <f>E151</f>
        <v>6.62</v>
      </c>
      <c r="E7" s="3182">
        <f>J151</f>
        <v>6.95</v>
      </c>
      <c r="F7" s="3182" t="str">
        <f>H130</f>
        <v>每两年递增6%</v>
      </c>
      <c r="G7" s="3194">
        <f>D128</f>
        <v>45641</v>
      </c>
      <c r="H7" s="3194">
        <f>E128</f>
        <v>47466</v>
      </c>
    </row>
    <row r="8" spans="1:14">
      <c r="A8" s="1403"/>
    </row>
    <row r="9" spans="1:14">
      <c r="A9" s="1403"/>
    </row>
    <row r="10" spans="1:14">
      <c r="A10" s="1403"/>
    </row>
    <row r="12" spans="1:14">
      <c r="A12" s="3171" t="s">
        <v>3456</v>
      </c>
      <c r="B12" s="1403" t="s">
        <v>3455</v>
      </c>
      <c r="C12" s="1403" t="s">
        <v>3457</v>
      </c>
      <c r="D12" s="1403" t="s">
        <v>3459</v>
      </c>
      <c r="F12" s="1403" t="s">
        <v>3460</v>
      </c>
      <c r="H12" s="1403" t="s">
        <v>3461</v>
      </c>
      <c r="K12" s="1403" t="s">
        <v>3471</v>
      </c>
      <c r="M12" s="1403" t="s">
        <v>3477</v>
      </c>
      <c r="N12" s="1403" t="s">
        <v>3479</v>
      </c>
    </row>
    <row r="13" spans="1:14">
      <c r="A13" s="3171" t="s">
        <v>3454</v>
      </c>
      <c r="B13" s="1403">
        <v>55</v>
      </c>
      <c r="C13" s="1403" t="s">
        <v>3458</v>
      </c>
      <c r="D13" s="3168">
        <v>45627</v>
      </c>
      <c r="E13" s="3168">
        <v>47817</v>
      </c>
      <c r="F13" s="3168">
        <v>45627</v>
      </c>
      <c r="G13" s="3168">
        <v>45676</v>
      </c>
      <c r="H13">
        <v>50</v>
      </c>
      <c r="I13" s="3166" t="s">
        <v>3472</v>
      </c>
      <c r="J13" s="1403" t="s">
        <v>3462</v>
      </c>
      <c r="K13" s="1403">
        <v>13333</v>
      </c>
      <c r="M13">
        <f>E13-D13-H13</f>
        <v>2140</v>
      </c>
      <c r="N13" s="3172">
        <v>0.06</v>
      </c>
    </row>
    <row r="15" spans="1:14">
      <c r="A15" s="1403" t="s">
        <v>3463</v>
      </c>
      <c r="B15" s="1403" t="s">
        <v>3464</v>
      </c>
      <c r="C15" s="1403" t="s">
        <v>3465</v>
      </c>
      <c r="D15" s="1403" t="s">
        <v>3482</v>
      </c>
      <c r="E15" s="1403" t="s">
        <v>3466</v>
      </c>
      <c r="F15" s="1403" t="s">
        <v>3467</v>
      </c>
      <c r="H15" s="1403" t="s">
        <v>3613</v>
      </c>
    </row>
    <row r="16" spans="1:14">
      <c r="A16" s="3168">
        <v>45621</v>
      </c>
      <c r="B16" s="3168">
        <v>45627</v>
      </c>
      <c r="C16" s="3168">
        <v>45777</v>
      </c>
      <c r="D16" s="3170">
        <v>7.97</v>
      </c>
      <c r="E16">
        <v>45260</v>
      </c>
      <c r="H16">
        <f>C16-B16-H13</f>
        <v>100</v>
      </c>
    </row>
    <row r="17" spans="1:8">
      <c r="A17" s="3168">
        <v>45762</v>
      </c>
      <c r="B17" s="3169">
        <v>45778</v>
      </c>
      <c r="C17" s="3168">
        <v>45900</v>
      </c>
      <c r="D17" s="3170">
        <v>7.97</v>
      </c>
      <c r="E17">
        <v>53333</v>
      </c>
      <c r="H17">
        <f>C17-B17</f>
        <v>122</v>
      </c>
    </row>
    <row r="18" spans="1:8">
      <c r="A18" s="3168">
        <v>45884</v>
      </c>
      <c r="B18" s="3168">
        <v>45901</v>
      </c>
      <c r="C18" s="3168">
        <v>45991</v>
      </c>
      <c r="D18" s="3170">
        <v>7.97</v>
      </c>
      <c r="E18">
        <v>40000</v>
      </c>
      <c r="H18">
        <f t="shared" ref="H18:H38" si="0">C18-B18</f>
        <v>90</v>
      </c>
    </row>
    <row r="19" spans="1:8">
      <c r="A19" s="3168">
        <v>45976</v>
      </c>
      <c r="B19" s="3168">
        <v>45992</v>
      </c>
      <c r="C19" s="3168">
        <v>46081</v>
      </c>
      <c r="D19" s="3170">
        <v>7.97</v>
      </c>
      <c r="E19">
        <v>40000</v>
      </c>
      <c r="H19">
        <f t="shared" si="0"/>
        <v>89</v>
      </c>
    </row>
    <row r="20" spans="1:8">
      <c r="A20" s="3168">
        <v>46068</v>
      </c>
      <c r="B20" s="3168">
        <v>46082</v>
      </c>
      <c r="C20" s="3168">
        <v>46173</v>
      </c>
      <c r="D20" s="3170">
        <v>7.97</v>
      </c>
      <c r="E20">
        <v>40000</v>
      </c>
      <c r="H20">
        <f t="shared" si="0"/>
        <v>91</v>
      </c>
    </row>
    <row r="21" spans="1:8">
      <c r="A21" s="3168">
        <v>46157</v>
      </c>
      <c r="B21" s="3168">
        <v>46174</v>
      </c>
      <c r="C21" s="3168">
        <v>46265</v>
      </c>
      <c r="D21" s="3170">
        <v>7.97</v>
      </c>
      <c r="E21">
        <v>40000</v>
      </c>
      <c r="H21">
        <f t="shared" si="0"/>
        <v>91</v>
      </c>
    </row>
    <row r="22" spans="1:8">
      <c r="A22" s="3168">
        <v>46249</v>
      </c>
      <c r="B22" s="3168">
        <v>46266</v>
      </c>
      <c r="C22" s="3168">
        <v>46356</v>
      </c>
      <c r="D22" s="3170">
        <v>7.97</v>
      </c>
      <c r="E22">
        <v>40000</v>
      </c>
      <c r="H22">
        <f t="shared" si="0"/>
        <v>90</v>
      </c>
    </row>
    <row r="23" spans="1:8">
      <c r="A23" s="3168">
        <v>46341</v>
      </c>
      <c r="B23" s="3168">
        <v>46357</v>
      </c>
      <c r="C23" s="3168">
        <v>46446</v>
      </c>
      <c r="D23" s="3170">
        <v>8.4499999999999993</v>
      </c>
      <c r="E23">
        <v>42400</v>
      </c>
      <c r="F23">
        <f>ROUND((D23-D22)/D22,2)</f>
        <v>0.06</v>
      </c>
      <c r="H23">
        <f t="shared" si="0"/>
        <v>89</v>
      </c>
    </row>
    <row r="24" spans="1:8">
      <c r="A24" s="3168">
        <v>46433</v>
      </c>
      <c r="B24" s="3168">
        <v>46447</v>
      </c>
      <c r="C24" s="3168">
        <v>46538</v>
      </c>
      <c r="D24" s="3170">
        <v>8.4499999999999993</v>
      </c>
      <c r="E24">
        <v>42400</v>
      </c>
      <c r="H24">
        <f t="shared" si="0"/>
        <v>91</v>
      </c>
    </row>
    <row r="25" spans="1:8">
      <c r="A25" s="3168">
        <v>46522</v>
      </c>
      <c r="B25" s="3168">
        <v>46539</v>
      </c>
      <c r="C25" s="3168">
        <v>46630</v>
      </c>
      <c r="D25" s="3170">
        <v>8.4499999999999993</v>
      </c>
      <c r="E25">
        <v>42400</v>
      </c>
      <c r="H25">
        <f t="shared" si="0"/>
        <v>91</v>
      </c>
    </row>
    <row r="26" spans="1:8">
      <c r="A26" s="3168">
        <v>46614</v>
      </c>
      <c r="B26" s="3168">
        <v>46631</v>
      </c>
      <c r="C26" s="3168">
        <v>46721</v>
      </c>
      <c r="D26" s="3170">
        <v>8.4499999999999993</v>
      </c>
      <c r="E26">
        <v>42400</v>
      </c>
      <c r="H26">
        <f t="shared" si="0"/>
        <v>90</v>
      </c>
    </row>
    <row r="27" spans="1:8">
      <c r="A27" s="3168">
        <v>46706</v>
      </c>
      <c r="B27" s="3168">
        <v>46722</v>
      </c>
      <c r="C27" s="3168">
        <v>46812</v>
      </c>
      <c r="D27" s="3170">
        <v>8.4499999999999993</v>
      </c>
      <c r="E27">
        <v>42400</v>
      </c>
      <c r="H27">
        <f t="shared" si="0"/>
        <v>90</v>
      </c>
    </row>
    <row r="28" spans="1:8">
      <c r="A28" s="3168">
        <v>46798</v>
      </c>
      <c r="B28" s="3168">
        <v>46813</v>
      </c>
      <c r="C28" s="3168">
        <v>46904</v>
      </c>
      <c r="D28" s="3170">
        <v>8.4499999999999993</v>
      </c>
      <c r="E28">
        <v>42400</v>
      </c>
      <c r="H28">
        <f t="shared" si="0"/>
        <v>91</v>
      </c>
    </row>
    <row r="29" spans="1:8">
      <c r="A29" s="3168">
        <v>46888</v>
      </c>
      <c r="B29" s="3168">
        <v>46905</v>
      </c>
      <c r="C29" s="3168">
        <v>46996</v>
      </c>
      <c r="D29" s="3170">
        <v>8.4499999999999993</v>
      </c>
      <c r="E29">
        <v>42400</v>
      </c>
      <c r="H29">
        <f t="shared" si="0"/>
        <v>91</v>
      </c>
    </row>
    <row r="30" spans="1:8">
      <c r="A30" s="3168">
        <v>46980</v>
      </c>
      <c r="B30" s="3168">
        <v>46997</v>
      </c>
      <c r="C30" s="3168">
        <v>47087</v>
      </c>
      <c r="D30" s="3170">
        <v>8.4499999999999993</v>
      </c>
      <c r="E30">
        <v>42400</v>
      </c>
      <c r="H30">
        <f t="shared" si="0"/>
        <v>90</v>
      </c>
    </row>
    <row r="31" spans="1:8">
      <c r="A31" s="3168">
        <v>47072</v>
      </c>
      <c r="B31" s="3168">
        <v>47088</v>
      </c>
      <c r="C31" s="3168">
        <v>47178</v>
      </c>
      <c r="D31" s="3170">
        <v>8.9600000000000009</v>
      </c>
      <c r="E31">
        <v>44944</v>
      </c>
      <c r="F31">
        <f>ROUND((D31-D30)/D30,2)</f>
        <v>0.06</v>
      </c>
      <c r="H31">
        <f t="shared" si="0"/>
        <v>90</v>
      </c>
    </row>
    <row r="32" spans="1:8">
      <c r="A32" s="3168">
        <v>47164</v>
      </c>
      <c r="B32" s="3168">
        <v>47179</v>
      </c>
      <c r="C32" s="3168">
        <v>47269</v>
      </c>
      <c r="D32" s="3170">
        <v>8.9600000000000009</v>
      </c>
      <c r="E32">
        <v>44944</v>
      </c>
      <c r="H32">
        <f t="shared" si="0"/>
        <v>90</v>
      </c>
    </row>
    <row r="33" spans="1:13">
      <c r="A33" s="3168">
        <v>47253</v>
      </c>
      <c r="B33" s="3168">
        <v>47270</v>
      </c>
      <c r="C33" s="3168">
        <v>47361</v>
      </c>
      <c r="D33" s="3170">
        <v>8.9600000000000009</v>
      </c>
      <c r="E33">
        <v>44944</v>
      </c>
      <c r="H33">
        <f t="shared" si="0"/>
        <v>91</v>
      </c>
    </row>
    <row r="34" spans="1:13">
      <c r="A34" s="3168">
        <v>47345</v>
      </c>
      <c r="B34" s="3168">
        <v>47362</v>
      </c>
      <c r="C34" s="3168">
        <v>47452</v>
      </c>
      <c r="D34" s="3170">
        <v>8.9600000000000009</v>
      </c>
      <c r="E34">
        <v>44944</v>
      </c>
      <c r="H34">
        <f t="shared" si="0"/>
        <v>90</v>
      </c>
    </row>
    <row r="35" spans="1:13">
      <c r="A35" s="3168">
        <v>47437</v>
      </c>
      <c r="B35" s="3168">
        <v>47453</v>
      </c>
      <c r="C35" s="3168">
        <v>47542</v>
      </c>
      <c r="D35" s="3170">
        <v>8.9600000000000009</v>
      </c>
      <c r="E35">
        <v>44944</v>
      </c>
      <c r="H35">
        <f t="shared" si="0"/>
        <v>89</v>
      </c>
    </row>
    <row r="36" spans="1:13">
      <c r="A36" s="3168">
        <v>47529</v>
      </c>
      <c r="B36" s="3168">
        <v>47543</v>
      </c>
      <c r="C36" s="3168">
        <v>47634</v>
      </c>
      <c r="D36" s="3170">
        <v>8.9600000000000009</v>
      </c>
      <c r="E36">
        <v>44944</v>
      </c>
      <c r="H36">
        <f t="shared" si="0"/>
        <v>91</v>
      </c>
    </row>
    <row r="37" spans="1:13">
      <c r="A37" s="3168">
        <v>47618</v>
      </c>
      <c r="B37" s="3168">
        <v>47635</v>
      </c>
      <c r="C37" s="3168">
        <v>47725</v>
      </c>
      <c r="D37" s="3170">
        <v>8.9600000000000009</v>
      </c>
      <c r="E37">
        <v>44944</v>
      </c>
      <c r="H37">
        <f t="shared" si="0"/>
        <v>90</v>
      </c>
    </row>
    <row r="38" spans="1:13">
      <c r="A38" s="3168">
        <v>47710</v>
      </c>
      <c r="B38" s="3168">
        <v>47726</v>
      </c>
      <c r="C38" s="3168">
        <v>47817</v>
      </c>
      <c r="D38" s="3170">
        <v>8.9600000000000009</v>
      </c>
      <c r="E38">
        <v>44944</v>
      </c>
      <c r="H38">
        <f t="shared" si="0"/>
        <v>91</v>
      </c>
    </row>
    <row r="39" spans="1:13">
      <c r="D39" s="1403" t="s">
        <v>2587</v>
      </c>
      <c r="E39">
        <f>SUM(E16:E38)</f>
        <v>997345</v>
      </c>
      <c r="H39">
        <f>SUM(H16:H38)</f>
        <v>2118</v>
      </c>
    </row>
    <row r="40" spans="1:13">
      <c r="D40" s="3171" t="s">
        <v>3476</v>
      </c>
      <c r="E40" s="3154">
        <f>ROUND(E39/B13/H39,2)</f>
        <v>8.56</v>
      </c>
      <c r="I40" s="3171" t="s">
        <v>3616</v>
      </c>
      <c r="J40" s="3154">
        <f>ROUND(E40*1.05,2)</f>
        <v>8.99</v>
      </c>
    </row>
    <row r="42" spans="1:13">
      <c r="A42" s="3171" t="s">
        <v>3456</v>
      </c>
      <c r="B42" s="1403" t="s">
        <v>3455</v>
      </c>
      <c r="C42" s="1403" t="s">
        <v>3457</v>
      </c>
      <c r="D42" s="1403" t="s">
        <v>3459</v>
      </c>
      <c r="F42" s="1403" t="s">
        <v>3460</v>
      </c>
      <c r="H42" s="1403" t="s">
        <v>3461</v>
      </c>
      <c r="K42" s="1403" t="s">
        <v>3471</v>
      </c>
      <c r="M42" s="1403" t="s">
        <v>3477</v>
      </c>
    </row>
    <row r="43" spans="1:13">
      <c r="A43" s="3171" t="s">
        <v>3468</v>
      </c>
      <c r="B43" s="1403">
        <v>20</v>
      </c>
      <c r="C43" s="1403" t="s">
        <v>3469</v>
      </c>
      <c r="D43" s="3169">
        <v>45728</v>
      </c>
      <c r="E43" s="3168">
        <v>47553</v>
      </c>
      <c r="F43" s="3168">
        <v>45728</v>
      </c>
      <c r="G43" s="3168">
        <v>45758</v>
      </c>
      <c r="H43">
        <v>31</v>
      </c>
      <c r="I43" s="3166" t="s">
        <v>3478</v>
      </c>
      <c r="J43" s="1403" t="s">
        <v>3470</v>
      </c>
      <c r="K43" s="1403">
        <v>8500</v>
      </c>
      <c r="M43" s="3154">
        <f>E43-D43-H43</f>
        <v>1794</v>
      </c>
    </row>
    <row r="45" spans="1:13">
      <c r="A45" s="1403" t="s">
        <v>3463</v>
      </c>
      <c r="B45" s="1403" t="s">
        <v>3464</v>
      </c>
      <c r="C45" s="1403" t="s">
        <v>3465</v>
      </c>
      <c r="D45" s="1403" t="s">
        <v>3466</v>
      </c>
      <c r="E45" s="1403" t="s">
        <v>3474</v>
      </c>
      <c r="F45" s="3171" t="s">
        <v>3473</v>
      </c>
      <c r="G45" s="1403" t="s">
        <v>3475</v>
      </c>
      <c r="I45" s="1403" t="s">
        <v>3613</v>
      </c>
    </row>
    <row r="46" spans="1:13">
      <c r="A46" s="3168">
        <v>45728</v>
      </c>
      <c r="B46" s="3168">
        <v>45728</v>
      </c>
      <c r="C46" s="3168">
        <v>45819</v>
      </c>
      <c r="D46">
        <v>8500</v>
      </c>
      <c r="E46">
        <f>C46-B46-H43</f>
        <v>60</v>
      </c>
      <c r="F46" s="3154">
        <f>ROUND(D46/E46/$B$43,2)</f>
        <v>7.08</v>
      </c>
      <c r="I46">
        <f>C46-B46-H43</f>
        <v>60</v>
      </c>
    </row>
    <row r="47" spans="1:13">
      <c r="A47" s="3168">
        <v>45804</v>
      </c>
      <c r="B47" s="3168">
        <v>45820</v>
      </c>
      <c r="C47" s="3168">
        <v>45911</v>
      </c>
      <c r="D47">
        <v>12750</v>
      </c>
      <c r="E47">
        <f t="shared" ref="E47:E65" si="1">C47-B47</f>
        <v>91</v>
      </c>
      <c r="F47" s="3154">
        <f t="shared" ref="F47:F65" si="2">ROUND(D47/E47/$B$43,2)</f>
        <v>7.01</v>
      </c>
      <c r="I47">
        <f>C47-B47</f>
        <v>91</v>
      </c>
    </row>
    <row r="48" spans="1:13">
      <c r="A48" s="3168">
        <v>45896</v>
      </c>
      <c r="B48" s="3168">
        <v>45912</v>
      </c>
      <c r="C48" s="3168">
        <v>46002</v>
      </c>
      <c r="D48">
        <v>12750</v>
      </c>
      <c r="E48">
        <f t="shared" si="1"/>
        <v>90</v>
      </c>
      <c r="F48" s="3154">
        <f t="shared" si="2"/>
        <v>7.08</v>
      </c>
      <c r="I48">
        <f t="shared" ref="I48:I65" si="3">C48-B48</f>
        <v>90</v>
      </c>
    </row>
    <row r="49" spans="1:9">
      <c r="A49" s="3168">
        <v>45988</v>
      </c>
      <c r="B49" s="3168">
        <v>46003</v>
      </c>
      <c r="C49" s="3168">
        <v>46092</v>
      </c>
      <c r="D49">
        <v>12750</v>
      </c>
      <c r="E49">
        <f t="shared" si="1"/>
        <v>89</v>
      </c>
      <c r="F49" s="3154">
        <f t="shared" si="2"/>
        <v>7.16</v>
      </c>
      <c r="I49">
        <f t="shared" si="3"/>
        <v>89</v>
      </c>
    </row>
    <row r="50" spans="1:9">
      <c r="A50" s="3169">
        <v>46080</v>
      </c>
      <c r="B50" s="3168">
        <v>46093</v>
      </c>
      <c r="C50" s="3168">
        <v>46184</v>
      </c>
      <c r="D50">
        <v>12750</v>
      </c>
      <c r="E50">
        <f t="shared" si="1"/>
        <v>91</v>
      </c>
      <c r="F50" s="3154">
        <f t="shared" si="2"/>
        <v>7.01</v>
      </c>
      <c r="I50">
        <f t="shared" si="3"/>
        <v>91</v>
      </c>
    </row>
    <row r="51" spans="1:9">
      <c r="A51" s="3168">
        <v>46169</v>
      </c>
      <c r="B51" s="3168">
        <v>46185</v>
      </c>
      <c r="C51" s="3168">
        <v>46276</v>
      </c>
      <c r="D51">
        <v>12750</v>
      </c>
      <c r="E51">
        <f t="shared" si="1"/>
        <v>91</v>
      </c>
      <c r="F51" s="3154">
        <f t="shared" si="2"/>
        <v>7.01</v>
      </c>
      <c r="I51">
        <f t="shared" si="3"/>
        <v>91</v>
      </c>
    </row>
    <row r="52" spans="1:9">
      <c r="A52" s="3168">
        <v>46261</v>
      </c>
      <c r="B52" s="3168">
        <v>46277</v>
      </c>
      <c r="C52" s="3168">
        <v>46367</v>
      </c>
      <c r="D52">
        <v>12750</v>
      </c>
      <c r="E52">
        <f t="shared" si="1"/>
        <v>90</v>
      </c>
      <c r="F52" s="3154">
        <f t="shared" si="2"/>
        <v>7.08</v>
      </c>
      <c r="I52">
        <f t="shared" si="3"/>
        <v>90</v>
      </c>
    </row>
    <row r="53" spans="1:9">
      <c r="A53" s="3169">
        <v>46353</v>
      </c>
      <c r="B53" s="3168">
        <v>46368</v>
      </c>
      <c r="C53" s="3168">
        <v>46457</v>
      </c>
      <c r="D53">
        <v>12750</v>
      </c>
      <c r="E53">
        <f t="shared" si="1"/>
        <v>89</v>
      </c>
      <c r="F53" s="3154">
        <f t="shared" si="2"/>
        <v>7.16</v>
      </c>
      <c r="I53">
        <f t="shared" si="3"/>
        <v>89</v>
      </c>
    </row>
    <row r="54" spans="1:9">
      <c r="A54" s="3168">
        <v>46445</v>
      </c>
      <c r="B54" s="3168">
        <v>46458</v>
      </c>
      <c r="C54" s="3168">
        <v>46549</v>
      </c>
      <c r="D54">
        <v>13387.5</v>
      </c>
      <c r="E54">
        <f t="shared" si="1"/>
        <v>91</v>
      </c>
      <c r="F54" s="3154">
        <f t="shared" si="2"/>
        <v>7.36</v>
      </c>
      <c r="G54">
        <f>ROUND((D54-D53)/D53,2)</f>
        <v>0.05</v>
      </c>
      <c r="I54">
        <f t="shared" si="3"/>
        <v>91</v>
      </c>
    </row>
    <row r="55" spans="1:9">
      <c r="A55" s="3168">
        <v>46534</v>
      </c>
      <c r="B55" s="3168">
        <v>46550</v>
      </c>
      <c r="C55" s="3168">
        <v>46641</v>
      </c>
      <c r="D55">
        <v>13387.5</v>
      </c>
      <c r="E55">
        <f t="shared" si="1"/>
        <v>91</v>
      </c>
      <c r="F55" s="3154">
        <f t="shared" si="2"/>
        <v>7.36</v>
      </c>
      <c r="I55">
        <f t="shared" si="3"/>
        <v>91</v>
      </c>
    </row>
    <row r="56" spans="1:9">
      <c r="A56" s="3169">
        <v>46626</v>
      </c>
      <c r="B56" s="3168">
        <v>46642</v>
      </c>
      <c r="C56" s="3168">
        <v>46732</v>
      </c>
      <c r="D56">
        <v>13387.5</v>
      </c>
      <c r="E56">
        <f t="shared" si="1"/>
        <v>90</v>
      </c>
      <c r="F56" s="3154">
        <f t="shared" si="2"/>
        <v>7.44</v>
      </c>
      <c r="I56">
        <f t="shared" si="3"/>
        <v>90</v>
      </c>
    </row>
    <row r="57" spans="1:9">
      <c r="A57" s="3168">
        <v>46718</v>
      </c>
      <c r="B57" s="3168">
        <v>46733</v>
      </c>
      <c r="C57" s="3168">
        <v>46823</v>
      </c>
      <c r="D57">
        <v>13387.5</v>
      </c>
      <c r="E57">
        <f t="shared" si="1"/>
        <v>90</v>
      </c>
      <c r="F57" s="3154">
        <f t="shared" si="2"/>
        <v>7.44</v>
      </c>
      <c r="I57">
        <f t="shared" si="3"/>
        <v>90</v>
      </c>
    </row>
    <row r="58" spans="1:9">
      <c r="A58" s="3168">
        <v>46810</v>
      </c>
      <c r="B58" s="3168">
        <v>46824</v>
      </c>
      <c r="C58" s="3168">
        <v>46915</v>
      </c>
      <c r="D58">
        <v>13387.5</v>
      </c>
      <c r="E58">
        <f t="shared" si="1"/>
        <v>91</v>
      </c>
      <c r="F58" s="3154">
        <f t="shared" si="2"/>
        <v>7.36</v>
      </c>
      <c r="I58">
        <f t="shared" si="3"/>
        <v>91</v>
      </c>
    </row>
    <row r="59" spans="1:9">
      <c r="A59" s="3168">
        <v>46900</v>
      </c>
      <c r="B59" s="3168">
        <v>46916</v>
      </c>
      <c r="C59" s="3168">
        <v>47007</v>
      </c>
      <c r="D59">
        <v>13387.5</v>
      </c>
      <c r="E59">
        <f t="shared" si="1"/>
        <v>91</v>
      </c>
      <c r="F59" s="3154">
        <f t="shared" si="2"/>
        <v>7.36</v>
      </c>
      <c r="I59">
        <f t="shared" si="3"/>
        <v>91</v>
      </c>
    </row>
    <row r="60" spans="1:9">
      <c r="A60" s="3168">
        <v>46992</v>
      </c>
      <c r="B60" s="3168">
        <v>47008</v>
      </c>
      <c r="C60" s="3168">
        <v>47098</v>
      </c>
      <c r="D60">
        <v>13387.5</v>
      </c>
      <c r="E60">
        <f t="shared" si="1"/>
        <v>90</v>
      </c>
      <c r="F60" s="3154">
        <f t="shared" si="2"/>
        <v>7.44</v>
      </c>
      <c r="I60">
        <f t="shared" si="3"/>
        <v>90</v>
      </c>
    </row>
    <row r="61" spans="1:9">
      <c r="A61" s="3168">
        <v>47084</v>
      </c>
      <c r="B61" s="3168">
        <v>47099</v>
      </c>
      <c r="C61" s="3168">
        <v>47188</v>
      </c>
      <c r="D61">
        <v>13387.5</v>
      </c>
      <c r="E61">
        <f t="shared" si="1"/>
        <v>89</v>
      </c>
      <c r="F61" s="3154">
        <f t="shared" si="2"/>
        <v>7.52</v>
      </c>
      <c r="I61">
        <f t="shared" si="3"/>
        <v>89</v>
      </c>
    </row>
    <row r="62" spans="1:9">
      <c r="A62" s="3168">
        <v>47176</v>
      </c>
      <c r="B62" s="3168">
        <v>47189</v>
      </c>
      <c r="C62" s="3168">
        <v>47280</v>
      </c>
      <c r="D62">
        <v>14056.8</v>
      </c>
      <c r="E62">
        <f t="shared" si="1"/>
        <v>91</v>
      </c>
      <c r="F62" s="3154">
        <f t="shared" si="2"/>
        <v>7.72</v>
      </c>
      <c r="G62">
        <f>ROUND((D62-D61)/D61,2)</f>
        <v>0.05</v>
      </c>
      <c r="I62">
        <f t="shared" si="3"/>
        <v>91</v>
      </c>
    </row>
    <row r="63" spans="1:9">
      <c r="A63" s="3168">
        <v>47265</v>
      </c>
      <c r="B63" s="3168">
        <v>47281</v>
      </c>
      <c r="C63" s="3168">
        <v>47372</v>
      </c>
      <c r="D63">
        <v>14056.8</v>
      </c>
      <c r="E63">
        <f t="shared" si="1"/>
        <v>91</v>
      </c>
      <c r="F63" s="3154">
        <f t="shared" si="2"/>
        <v>7.72</v>
      </c>
      <c r="I63">
        <f t="shared" si="3"/>
        <v>91</v>
      </c>
    </row>
    <row r="64" spans="1:9">
      <c r="A64" s="3168">
        <v>47357</v>
      </c>
      <c r="B64" s="3168">
        <v>47373</v>
      </c>
      <c r="C64" s="3168">
        <v>47463</v>
      </c>
      <c r="D64">
        <v>14056.8</v>
      </c>
      <c r="E64">
        <f t="shared" si="1"/>
        <v>90</v>
      </c>
      <c r="F64" s="3154">
        <f t="shared" si="2"/>
        <v>7.81</v>
      </c>
      <c r="I64">
        <f t="shared" si="3"/>
        <v>90</v>
      </c>
    </row>
    <row r="65" spans="1:14">
      <c r="A65" s="3168">
        <v>47449</v>
      </c>
      <c r="B65" s="3168">
        <v>47464</v>
      </c>
      <c r="C65" s="3168">
        <v>47553</v>
      </c>
      <c r="D65">
        <v>14056.8</v>
      </c>
      <c r="E65">
        <f t="shared" si="1"/>
        <v>89</v>
      </c>
      <c r="F65" s="3154">
        <f t="shared" si="2"/>
        <v>7.9</v>
      </c>
      <c r="I65">
        <f t="shared" si="3"/>
        <v>89</v>
      </c>
    </row>
    <row r="66" spans="1:14">
      <c r="C66" s="1403" t="s">
        <v>2587</v>
      </c>
      <c r="D66">
        <f>SUM(D46:D65)</f>
        <v>261077.19999999995</v>
      </c>
      <c r="I66">
        <f>SUM(I46:I65)</f>
        <v>1775</v>
      </c>
    </row>
    <row r="67" spans="1:14">
      <c r="C67" s="3171" t="s">
        <v>3476</v>
      </c>
      <c r="D67" s="3154">
        <f>ROUND(D66/B43/I66,2)</f>
        <v>7.35</v>
      </c>
      <c r="I67" s="3171" t="s">
        <v>3616</v>
      </c>
      <c r="J67" s="3154">
        <f>D67</f>
        <v>7.35</v>
      </c>
    </row>
    <row r="70" spans="1:14">
      <c r="A70" s="3171" t="s">
        <v>3456</v>
      </c>
      <c r="B70" s="1403" t="s">
        <v>3455</v>
      </c>
      <c r="C70" s="1403" t="s">
        <v>3457</v>
      </c>
      <c r="D70" s="1403" t="s">
        <v>3459</v>
      </c>
      <c r="F70" s="1403" t="s">
        <v>3460</v>
      </c>
      <c r="H70" s="1403" t="s">
        <v>3461</v>
      </c>
      <c r="K70" s="1403" t="s">
        <v>3471</v>
      </c>
      <c r="M70" s="1403" t="s">
        <v>3477</v>
      </c>
      <c r="N70" s="1403" t="s">
        <v>3479</v>
      </c>
    </row>
    <row r="71" spans="1:14">
      <c r="A71" s="3171" t="s">
        <v>3480</v>
      </c>
      <c r="B71" s="1403">
        <v>40</v>
      </c>
      <c r="C71" s="1403" t="s">
        <v>3481</v>
      </c>
      <c r="D71" s="3169">
        <v>45651</v>
      </c>
      <c r="E71" s="3168">
        <v>47476</v>
      </c>
      <c r="F71" s="3168">
        <v>45651</v>
      </c>
      <c r="G71" s="3168">
        <v>45681</v>
      </c>
      <c r="H71">
        <v>31</v>
      </c>
      <c r="I71" s="3166" t="s">
        <v>3478</v>
      </c>
      <c r="J71" s="1403" t="s">
        <v>3462</v>
      </c>
      <c r="K71" s="1403">
        <v>20000</v>
      </c>
      <c r="M71" s="3154">
        <f>E71-D71-H71</f>
        <v>1794</v>
      </c>
      <c r="N71" s="3172">
        <v>0.06</v>
      </c>
    </row>
    <row r="73" spans="1:14">
      <c r="A73" s="1403" t="s">
        <v>3463</v>
      </c>
      <c r="B73" s="1403" t="s">
        <v>3464</v>
      </c>
      <c r="C73" s="1403" t="s">
        <v>3465</v>
      </c>
      <c r="D73" s="1403" t="s">
        <v>3482</v>
      </c>
      <c r="E73" s="1403" t="s">
        <v>3483</v>
      </c>
      <c r="F73" s="1403"/>
      <c r="G73" s="1403" t="s">
        <v>3475</v>
      </c>
      <c r="I73" s="1403" t="s">
        <v>3613</v>
      </c>
    </row>
    <row r="74" spans="1:14">
      <c r="A74" s="3168">
        <v>45646</v>
      </c>
      <c r="B74" s="3168">
        <v>45651</v>
      </c>
      <c r="C74" s="3168">
        <v>45740</v>
      </c>
      <c r="D74">
        <v>8.2200000000000006</v>
      </c>
      <c r="E74">
        <v>20000</v>
      </c>
      <c r="F74" s="1403" t="s">
        <v>3484</v>
      </c>
      <c r="I74">
        <f>C74-B74-H71</f>
        <v>58</v>
      </c>
    </row>
    <row r="75" spans="1:14">
      <c r="A75" s="3168">
        <v>45726</v>
      </c>
      <c r="B75" s="3168">
        <v>45741</v>
      </c>
      <c r="C75" s="3168">
        <v>45832</v>
      </c>
      <c r="D75">
        <v>8.2200000000000006</v>
      </c>
      <c r="E75">
        <v>30000</v>
      </c>
      <c r="I75">
        <f>C75-B75</f>
        <v>91</v>
      </c>
    </row>
    <row r="76" spans="1:14">
      <c r="A76" s="3168">
        <v>45818</v>
      </c>
      <c r="B76" s="3168">
        <v>45833</v>
      </c>
      <c r="C76" s="3168">
        <v>45924</v>
      </c>
      <c r="D76">
        <v>8.2200000000000006</v>
      </c>
      <c r="E76">
        <v>30000</v>
      </c>
      <c r="I76">
        <f t="shared" ref="I76:I93" si="4">C76-B76</f>
        <v>91</v>
      </c>
    </row>
    <row r="77" spans="1:14">
      <c r="A77" s="3168">
        <v>45910</v>
      </c>
      <c r="B77" s="3168">
        <v>45925</v>
      </c>
      <c r="C77" s="3168">
        <v>46015</v>
      </c>
      <c r="D77">
        <v>8.2200000000000006</v>
      </c>
      <c r="E77">
        <v>30000</v>
      </c>
      <c r="I77">
        <f t="shared" si="4"/>
        <v>90</v>
      </c>
    </row>
    <row r="78" spans="1:14">
      <c r="A78" s="3168">
        <v>46001</v>
      </c>
      <c r="B78" s="3168">
        <v>46016</v>
      </c>
      <c r="C78" s="3168">
        <v>46105</v>
      </c>
      <c r="D78">
        <v>8.2200000000000006</v>
      </c>
      <c r="E78">
        <v>30000</v>
      </c>
      <c r="I78">
        <f t="shared" si="4"/>
        <v>89</v>
      </c>
    </row>
    <row r="79" spans="1:14">
      <c r="A79" s="3169">
        <v>46091</v>
      </c>
      <c r="B79" s="3168">
        <v>46106</v>
      </c>
      <c r="C79" s="3168">
        <v>46197</v>
      </c>
      <c r="D79">
        <v>8.2200000000000006</v>
      </c>
      <c r="E79">
        <v>30000</v>
      </c>
      <c r="I79">
        <f t="shared" si="4"/>
        <v>91</v>
      </c>
    </row>
    <row r="80" spans="1:14">
      <c r="A80" s="3168">
        <v>46183</v>
      </c>
      <c r="B80" s="3168">
        <v>46198</v>
      </c>
      <c r="C80" s="3168">
        <v>46289</v>
      </c>
      <c r="D80">
        <v>8.2200000000000006</v>
      </c>
      <c r="E80">
        <v>30000</v>
      </c>
      <c r="I80">
        <f t="shared" si="4"/>
        <v>91</v>
      </c>
    </row>
    <row r="81" spans="1:10">
      <c r="A81" s="3168">
        <v>46275</v>
      </c>
      <c r="B81" s="3168">
        <v>46290</v>
      </c>
      <c r="C81" s="3168">
        <v>46380</v>
      </c>
      <c r="D81">
        <v>8.2200000000000006</v>
      </c>
      <c r="E81">
        <v>30000</v>
      </c>
      <c r="I81">
        <f t="shared" si="4"/>
        <v>90</v>
      </c>
    </row>
    <row r="82" spans="1:10">
      <c r="A82" s="3168">
        <v>46366</v>
      </c>
      <c r="B82" s="3168">
        <v>46381</v>
      </c>
      <c r="C82" s="3168">
        <v>46470</v>
      </c>
      <c r="D82">
        <v>8.6300000000000008</v>
      </c>
      <c r="E82">
        <v>31500</v>
      </c>
      <c r="F82">
        <f>ROUND((D82-D81)/D81,2)</f>
        <v>0.05</v>
      </c>
      <c r="I82">
        <f t="shared" si="4"/>
        <v>89</v>
      </c>
    </row>
    <row r="83" spans="1:10">
      <c r="A83" s="3168">
        <v>46456</v>
      </c>
      <c r="B83" s="3168">
        <v>46471</v>
      </c>
      <c r="C83" s="3168">
        <v>46562</v>
      </c>
      <c r="D83">
        <v>8.6300000000000008</v>
      </c>
      <c r="E83">
        <v>31500</v>
      </c>
      <c r="I83">
        <f t="shared" si="4"/>
        <v>91</v>
      </c>
    </row>
    <row r="84" spans="1:10">
      <c r="A84" s="3168">
        <v>46548</v>
      </c>
      <c r="B84" s="3168">
        <v>46563</v>
      </c>
      <c r="C84" s="3168">
        <v>46654</v>
      </c>
      <c r="D84">
        <v>8.6300000000000008</v>
      </c>
      <c r="E84">
        <v>31500</v>
      </c>
      <c r="I84">
        <f t="shared" si="4"/>
        <v>91</v>
      </c>
    </row>
    <row r="85" spans="1:10">
      <c r="A85" s="3168">
        <v>46640</v>
      </c>
      <c r="B85" s="3168">
        <v>46655</v>
      </c>
      <c r="C85" s="3168">
        <v>46745</v>
      </c>
      <c r="D85">
        <v>8.6300000000000008</v>
      </c>
      <c r="E85">
        <v>31500</v>
      </c>
      <c r="I85">
        <f t="shared" si="4"/>
        <v>90</v>
      </c>
    </row>
    <row r="86" spans="1:10">
      <c r="A86" s="3168">
        <v>46731</v>
      </c>
      <c r="B86" s="3168">
        <v>46746</v>
      </c>
      <c r="C86" s="3168">
        <v>46836</v>
      </c>
      <c r="D86">
        <v>8.6300000000000008</v>
      </c>
      <c r="E86">
        <v>31500</v>
      </c>
      <c r="I86">
        <f t="shared" si="4"/>
        <v>90</v>
      </c>
    </row>
    <row r="87" spans="1:10">
      <c r="A87" s="3168">
        <v>46822</v>
      </c>
      <c r="B87" s="3168">
        <v>46837</v>
      </c>
      <c r="C87" s="3168">
        <v>46928</v>
      </c>
      <c r="D87">
        <v>8.6300000000000008</v>
      </c>
      <c r="E87">
        <v>31500</v>
      </c>
      <c r="I87">
        <f t="shared" si="4"/>
        <v>91</v>
      </c>
    </row>
    <row r="88" spans="1:10">
      <c r="A88" s="3168">
        <v>46914</v>
      </c>
      <c r="B88" s="3168">
        <v>46929</v>
      </c>
      <c r="C88" s="3168">
        <v>47020</v>
      </c>
      <c r="D88">
        <v>8.6300000000000008</v>
      </c>
      <c r="E88">
        <v>31500</v>
      </c>
      <c r="I88">
        <f t="shared" si="4"/>
        <v>91</v>
      </c>
    </row>
    <row r="89" spans="1:10">
      <c r="A89" s="3168">
        <v>47006</v>
      </c>
      <c r="B89" s="3168">
        <v>47021</v>
      </c>
      <c r="C89" s="3168">
        <v>47111</v>
      </c>
      <c r="D89">
        <v>8.6300000000000008</v>
      </c>
      <c r="E89">
        <v>31500</v>
      </c>
      <c r="I89">
        <f t="shared" si="4"/>
        <v>90</v>
      </c>
    </row>
    <row r="90" spans="1:10">
      <c r="A90" s="3168">
        <v>47097</v>
      </c>
      <c r="B90" s="3168">
        <v>47112</v>
      </c>
      <c r="C90" s="3168">
        <v>47201</v>
      </c>
      <c r="D90">
        <v>9.06</v>
      </c>
      <c r="E90">
        <v>33075</v>
      </c>
      <c r="F90" s="1403">
        <f>ROUND((D90-D89)/D89,2)</f>
        <v>0.05</v>
      </c>
      <c r="I90">
        <f t="shared" si="4"/>
        <v>89</v>
      </c>
    </row>
    <row r="91" spans="1:10">
      <c r="A91" s="3168">
        <v>47187</v>
      </c>
      <c r="B91" s="3168">
        <v>47202</v>
      </c>
      <c r="C91" s="3168">
        <v>47293</v>
      </c>
      <c r="D91">
        <v>9.06</v>
      </c>
      <c r="E91">
        <v>33075</v>
      </c>
      <c r="I91">
        <f t="shared" si="4"/>
        <v>91</v>
      </c>
    </row>
    <row r="92" spans="1:10">
      <c r="A92" s="3168">
        <v>47279</v>
      </c>
      <c r="B92" s="3168">
        <v>47294</v>
      </c>
      <c r="C92" s="3168">
        <v>47385</v>
      </c>
      <c r="D92">
        <v>9.06</v>
      </c>
      <c r="E92">
        <v>33075</v>
      </c>
      <c r="I92">
        <f t="shared" si="4"/>
        <v>91</v>
      </c>
    </row>
    <row r="93" spans="1:10">
      <c r="A93" s="3168">
        <v>47371</v>
      </c>
      <c r="B93" s="3168">
        <v>47386</v>
      </c>
      <c r="C93" s="3168">
        <v>47476</v>
      </c>
      <c r="D93">
        <v>9.06</v>
      </c>
      <c r="E93">
        <v>33075</v>
      </c>
      <c r="I93">
        <f t="shared" si="4"/>
        <v>90</v>
      </c>
    </row>
    <row r="94" spans="1:10">
      <c r="D94" s="1403" t="s">
        <v>2587</v>
      </c>
      <c r="E94">
        <f>SUM(E74:E93)</f>
        <v>614300</v>
      </c>
      <c r="I94">
        <f>SUM(I74:I93)</f>
        <v>1775</v>
      </c>
    </row>
    <row r="95" spans="1:10">
      <c r="D95" s="3171" t="s">
        <v>3476</v>
      </c>
      <c r="E95" s="3154">
        <f>ROUND(E94/B71/I94,2)</f>
        <v>8.65</v>
      </c>
      <c r="I95" s="3171" t="s">
        <v>3616</v>
      </c>
      <c r="J95" s="3154">
        <f>ROUND(E95*1.05,2)</f>
        <v>9.08</v>
      </c>
    </row>
    <row r="99" spans="1:14">
      <c r="A99" s="3171" t="s">
        <v>3456</v>
      </c>
      <c r="B99" s="1403" t="s">
        <v>3455</v>
      </c>
      <c r="C99" s="1403" t="s">
        <v>3457</v>
      </c>
      <c r="D99" s="1403" t="s">
        <v>3459</v>
      </c>
      <c r="F99" s="1403" t="s">
        <v>3460</v>
      </c>
      <c r="H99" s="1403" t="s">
        <v>3461</v>
      </c>
      <c r="K99" s="1403" t="s">
        <v>3471</v>
      </c>
      <c r="M99" s="1403" t="s">
        <v>3477</v>
      </c>
      <c r="N99" s="1403" t="s">
        <v>3479</v>
      </c>
    </row>
    <row r="100" spans="1:14">
      <c r="A100" s="3171" t="s">
        <v>3605</v>
      </c>
      <c r="B100" s="1403">
        <v>100</v>
      </c>
      <c r="C100" s="1403" t="s">
        <v>3604</v>
      </c>
      <c r="D100" s="3169">
        <v>45764</v>
      </c>
      <c r="E100" s="3168">
        <v>47589</v>
      </c>
      <c r="F100" s="3168">
        <v>45764</v>
      </c>
      <c r="G100" s="3168">
        <v>45824</v>
      </c>
      <c r="H100">
        <v>61</v>
      </c>
      <c r="I100" s="3166" t="s">
        <v>3478</v>
      </c>
      <c r="J100" s="1403" t="s">
        <v>3462</v>
      </c>
      <c r="K100" s="1403">
        <v>33000</v>
      </c>
      <c r="M100" s="3154">
        <f>E100-D100-H100</f>
        <v>1764</v>
      </c>
      <c r="N100" s="3172">
        <v>0.06</v>
      </c>
    </row>
    <row r="102" spans="1:14">
      <c r="A102" s="1403" t="s">
        <v>3463</v>
      </c>
      <c r="B102" s="1403" t="s">
        <v>3464</v>
      </c>
      <c r="C102" s="1403" t="s">
        <v>3465</v>
      </c>
      <c r="D102" s="1403" t="s">
        <v>3482</v>
      </c>
      <c r="E102" s="1403" t="s">
        <v>3483</v>
      </c>
      <c r="F102" s="1403"/>
      <c r="H102" s="1403" t="s">
        <v>3607</v>
      </c>
      <c r="I102" s="1403" t="s">
        <v>3613</v>
      </c>
    </row>
    <row r="103" spans="1:14">
      <c r="A103" s="3168">
        <v>45764</v>
      </c>
      <c r="B103" s="3168">
        <v>45764</v>
      </c>
      <c r="C103" s="3168">
        <v>45854</v>
      </c>
      <c r="D103">
        <v>5.42</v>
      </c>
      <c r="E103">
        <v>16500</v>
      </c>
      <c r="F103" s="1403" t="s">
        <v>3606</v>
      </c>
      <c r="I103">
        <f>C103-B103-H100</f>
        <v>29</v>
      </c>
    </row>
    <row r="104" spans="1:14">
      <c r="A104" s="3168">
        <v>45839</v>
      </c>
      <c r="B104" s="3168">
        <v>45855</v>
      </c>
      <c r="C104" s="3168">
        <v>45946</v>
      </c>
      <c r="D104">
        <v>5.42</v>
      </c>
      <c r="E104">
        <v>49500</v>
      </c>
      <c r="I104">
        <f>C104-B104</f>
        <v>91</v>
      </c>
    </row>
    <row r="105" spans="1:14">
      <c r="A105" s="3168">
        <v>45931</v>
      </c>
      <c r="B105" s="3168">
        <v>45947</v>
      </c>
      <c r="C105" s="3168">
        <v>46038</v>
      </c>
      <c r="D105">
        <v>5.42</v>
      </c>
      <c r="E105">
        <v>49500</v>
      </c>
      <c r="I105">
        <f t="shared" ref="I105:I122" si="5">C105-B105</f>
        <v>91</v>
      </c>
    </row>
    <row r="106" spans="1:14">
      <c r="A106" s="3168">
        <v>46023</v>
      </c>
      <c r="B106" s="3168">
        <v>46039</v>
      </c>
      <c r="C106" s="3168">
        <v>46128</v>
      </c>
      <c r="D106">
        <v>5.42</v>
      </c>
      <c r="E106">
        <v>49500</v>
      </c>
      <c r="I106">
        <f t="shared" si="5"/>
        <v>89</v>
      </c>
    </row>
    <row r="107" spans="1:14">
      <c r="A107" s="3168">
        <v>46113</v>
      </c>
      <c r="B107" s="3168">
        <v>46129</v>
      </c>
      <c r="C107" s="3168">
        <v>46219</v>
      </c>
      <c r="D107">
        <v>5.42</v>
      </c>
      <c r="E107">
        <v>49500</v>
      </c>
      <c r="I107">
        <f t="shared" si="5"/>
        <v>90</v>
      </c>
    </row>
    <row r="108" spans="1:14">
      <c r="A108" s="3168">
        <v>46204</v>
      </c>
      <c r="B108" s="3168">
        <v>46220</v>
      </c>
      <c r="C108" s="3168">
        <v>46311</v>
      </c>
      <c r="D108">
        <v>5.42</v>
      </c>
      <c r="E108">
        <v>49500</v>
      </c>
      <c r="I108">
        <f t="shared" si="5"/>
        <v>91</v>
      </c>
    </row>
    <row r="109" spans="1:14">
      <c r="A109" s="3168">
        <v>46296</v>
      </c>
      <c r="B109" s="3168">
        <v>46312</v>
      </c>
      <c r="C109" s="3168">
        <v>46403</v>
      </c>
      <c r="D109">
        <v>5.42</v>
      </c>
      <c r="E109">
        <v>49500</v>
      </c>
      <c r="I109">
        <f t="shared" si="5"/>
        <v>91</v>
      </c>
    </row>
    <row r="110" spans="1:14">
      <c r="A110" s="3168">
        <v>46388</v>
      </c>
      <c r="B110" s="3168">
        <v>46404</v>
      </c>
      <c r="C110" s="3168">
        <v>46493</v>
      </c>
      <c r="D110">
        <v>5.42</v>
      </c>
      <c r="E110">
        <v>49500</v>
      </c>
      <c r="I110">
        <f t="shared" si="5"/>
        <v>89</v>
      </c>
    </row>
    <row r="111" spans="1:14">
      <c r="A111" s="3168">
        <v>46478</v>
      </c>
      <c r="B111" s="3168">
        <v>46494</v>
      </c>
      <c r="C111" s="3168">
        <v>46584</v>
      </c>
      <c r="D111">
        <v>5.42</v>
      </c>
      <c r="E111">
        <v>49500</v>
      </c>
      <c r="I111">
        <f t="shared" si="5"/>
        <v>90</v>
      </c>
    </row>
    <row r="112" spans="1:14">
      <c r="A112" s="3168">
        <v>46569</v>
      </c>
      <c r="B112" s="3168">
        <v>46585</v>
      </c>
      <c r="C112" s="3168">
        <v>46676</v>
      </c>
      <c r="D112">
        <v>5.42</v>
      </c>
      <c r="E112">
        <v>49500</v>
      </c>
      <c r="I112">
        <f t="shared" si="5"/>
        <v>91</v>
      </c>
    </row>
    <row r="113" spans="1:14">
      <c r="A113" s="3168">
        <v>46661</v>
      </c>
      <c r="B113" s="3168">
        <v>46677</v>
      </c>
      <c r="C113" s="3168">
        <v>46768</v>
      </c>
      <c r="D113">
        <v>5.42</v>
      </c>
      <c r="E113">
        <v>49500</v>
      </c>
      <c r="I113">
        <f t="shared" si="5"/>
        <v>91</v>
      </c>
    </row>
    <row r="114" spans="1:14">
      <c r="A114" s="3168">
        <v>46753</v>
      </c>
      <c r="B114" s="3168">
        <v>46769</v>
      </c>
      <c r="C114" s="3168">
        <v>46859</v>
      </c>
      <c r="D114">
        <v>5.42</v>
      </c>
      <c r="E114">
        <v>49500</v>
      </c>
      <c r="I114">
        <f t="shared" si="5"/>
        <v>90</v>
      </c>
    </row>
    <row r="115" spans="1:14">
      <c r="A115" s="3168">
        <v>46844</v>
      </c>
      <c r="B115" s="3168">
        <v>46860</v>
      </c>
      <c r="C115" s="3168">
        <v>46950</v>
      </c>
      <c r="D115">
        <v>5.69</v>
      </c>
      <c r="E115">
        <v>51975</v>
      </c>
      <c r="F115">
        <f>ROUND((D115-D114)/D114,2)</f>
        <v>0.05</v>
      </c>
      <c r="I115">
        <f t="shared" si="5"/>
        <v>90</v>
      </c>
    </row>
    <row r="116" spans="1:14">
      <c r="A116" s="3168">
        <v>46935</v>
      </c>
      <c r="B116" s="3168">
        <v>46951</v>
      </c>
      <c r="C116" s="3168">
        <v>47042</v>
      </c>
      <c r="D116">
        <v>5.69</v>
      </c>
      <c r="E116">
        <v>51975</v>
      </c>
      <c r="I116">
        <f t="shared" si="5"/>
        <v>91</v>
      </c>
    </row>
    <row r="117" spans="1:14">
      <c r="A117" s="3168">
        <v>47027</v>
      </c>
      <c r="B117" s="3168">
        <v>47043</v>
      </c>
      <c r="C117" s="3168">
        <v>47134</v>
      </c>
      <c r="D117">
        <v>5.69</v>
      </c>
      <c r="E117">
        <v>51975</v>
      </c>
      <c r="I117">
        <f t="shared" si="5"/>
        <v>91</v>
      </c>
    </row>
    <row r="118" spans="1:14">
      <c r="A118" s="3168">
        <v>47119</v>
      </c>
      <c r="B118" s="3168">
        <v>47135</v>
      </c>
      <c r="C118" s="3168">
        <v>47224</v>
      </c>
      <c r="D118">
        <v>5.69</v>
      </c>
      <c r="E118">
        <v>51975</v>
      </c>
      <c r="I118">
        <f t="shared" si="5"/>
        <v>89</v>
      </c>
    </row>
    <row r="119" spans="1:14">
      <c r="A119" s="3168">
        <v>47209</v>
      </c>
      <c r="B119" s="3168">
        <v>47225</v>
      </c>
      <c r="C119" s="3168">
        <v>47315</v>
      </c>
      <c r="D119">
        <v>5.69</v>
      </c>
      <c r="E119">
        <v>51975</v>
      </c>
      <c r="I119">
        <f t="shared" si="5"/>
        <v>90</v>
      </c>
    </row>
    <row r="120" spans="1:14">
      <c r="A120" s="3168">
        <v>47300</v>
      </c>
      <c r="B120" s="3168">
        <v>47316</v>
      </c>
      <c r="C120" s="3168">
        <v>47407</v>
      </c>
      <c r="D120">
        <v>5.69</v>
      </c>
      <c r="E120">
        <v>51975</v>
      </c>
      <c r="I120">
        <f t="shared" si="5"/>
        <v>91</v>
      </c>
    </row>
    <row r="121" spans="1:14">
      <c r="A121" s="3168">
        <v>47392</v>
      </c>
      <c r="B121" s="3169">
        <v>47408</v>
      </c>
      <c r="C121" s="3168">
        <v>47499</v>
      </c>
      <c r="D121">
        <v>5.69</v>
      </c>
      <c r="E121">
        <v>51975</v>
      </c>
      <c r="I121">
        <f t="shared" si="5"/>
        <v>91</v>
      </c>
    </row>
    <row r="122" spans="1:14">
      <c r="A122" s="3168">
        <v>47484</v>
      </c>
      <c r="B122" s="3168">
        <v>47500</v>
      </c>
      <c r="C122" s="3168">
        <v>47589</v>
      </c>
      <c r="D122">
        <v>5.69</v>
      </c>
      <c r="E122">
        <v>51975</v>
      </c>
      <c r="I122">
        <f t="shared" si="5"/>
        <v>89</v>
      </c>
    </row>
    <row r="123" spans="1:14">
      <c r="D123" s="1403" t="s">
        <v>2587</v>
      </c>
      <c r="E123">
        <f>SUM(E103:E122)</f>
        <v>976800</v>
      </c>
      <c r="I123">
        <f>SUM(I103:I122)</f>
        <v>1745</v>
      </c>
    </row>
    <row r="124" spans="1:14">
      <c r="D124" s="3171" t="s">
        <v>3476</v>
      </c>
      <c r="E124" s="3154">
        <f>ROUND(E123/B100/I123,2)</f>
        <v>5.6</v>
      </c>
      <c r="I124" s="3171" t="s">
        <v>3616</v>
      </c>
      <c r="J124" s="3154">
        <f>ROUND(E124*1.05,2)</f>
        <v>5.88</v>
      </c>
    </row>
    <row r="127" spans="1:14">
      <c r="A127" s="3171" t="s">
        <v>3456</v>
      </c>
      <c r="B127" s="1403" t="s">
        <v>3455</v>
      </c>
      <c r="C127" s="1403" t="s">
        <v>3457</v>
      </c>
      <c r="D127" s="1403" t="s">
        <v>3459</v>
      </c>
      <c r="F127" s="1403" t="s">
        <v>3460</v>
      </c>
      <c r="H127" s="1403" t="s">
        <v>3461</v>
      </c>
      <c r="K127" s="1403" t="s">
        <v>3471</v>
      </c>
      <c r="M127" s="1403" t="s">
        <v>3477</v>
      </c>
      <c r="N127" s="1403" t="s">
        <v>3479</v>
      </c>
    </row>
    <row r="128" spans="1:14">
      <c r="A128" s="3171" t="s">
        <v>3608</v>
      </c>
      <c r="B128" s="1403">
        <v>62</v>
      </c>
      <c r="C128" s="1403" t="s">
        <v>3609</v>
      </c>
      <c r="D128" s="3169">
        <v>45641</v>
      </c>
      <c r="E128" s="3168">
        <v>47466</v>
      </c>
      <c r="F128" s="3168">
        <v>45641</v>
      </c>
      <c r="G128" s="3168">
        <v>45702</v>
      </c>
      <c r="H128">
        <v>61</v>
      </c>
      <c r="I128" s="3166" t="s">
        <v>3610</v>
      </c>
      <c r="J128" s="1403" t="s">
        <v>3462</v>
      </c>
      <c r="K128" s="1403">
        <v>25000</v>
      </c>
      <c r="M128" s="3154">
        <f>E128-D128-H128</f>
        <v>1764</v>
      </c>
      <c r="N128" s="3172">
        <v>0.06</v>
      </c>
    </row>
    <row r="130" spans="1:9">
      <c r="A130" s="1403" t="s">
        <v>3463</v>
      </c>
      <c r="B130" s="1403" t="s">
        <v>3464</v>
      </c>
      <c r="C130" s="1403" t="s">
        <v>3465</v>
      </c>
      <c r="D130" s="1403" t="s">
        <v>3482</v>
      </c>
      <c r="E130" s="1403" t="s">
        <v>3483</v>
      </c>
      <c r="F130" s="1403"/>
      <c r="H130" s="1403" t="s">
        <v>3612</v>
      </c>
      <c r="I130" s="1403" t="s">
        <v>3613</v>
      </c>
    </row>
    <row r="131" spans="1:9">
      <c r="A131" s="3168"/>
      <c r="B131" s="3168">
        <v>45641</v>
      </c>
      <c r="C131" s="3168">
        <v>45822</v>
      </c>
      <c r="D131">
        <v>6.63</v>
      </c>
      <c r="E131">
        <v>5000</v>
      </c>
      <c r="F131" s="1403" t="s">
        <v>3611</v>
      </c>
      <c r="I131">
        <f>C131-B131-H128</f>
        <v>120</v>
      </c>
    </row>
    <row r="132" spans="1:9">
      <c r="A132" s="3168">
        <v>45809</v>
      </c>
      <c r="B132" s="3168">
        <v>45823</v>
      </c>
      <c r="C132" s="3168">
        <v>45914</v>
      </c>
      <c r="D132">
        <v>6.63</v>
      </c>
      <c r="E132">
        <v>37500</v>
      </c>
      <c r="I132">
        <f>C132-B132</f>
        <v>91</v>
      </c>
    </row>
    <row r="133" spans="1:9">
      <c r="A133" s="3168">
        <v>45901</v>
      </c>
      <c r="B133" s="3168">
        <v>45915</v>
      </c>
      <c r="C133" s="3168">
        <v>46005</v>
      </c>
      <c r="D133">
        <v>6.63</v>
      </c>
      <c r="E133">
        <v>37500</v>
      </c>
      <c r="I133">
        <f t="shared" ref="I133:I149" si="6">C133-B133</f>
        <v>90</v>
      </c>
    </row>
    <row r="134" spans="1:9">
      <c r="A134" s="3168">
        <v>45992</v>
      </c>
      <c r="B134" s="3168">
        <v>46006</v>
      </c>
      <c r="C134" s="3168">
        <v>46095</v>
      </c>
      <c r="D134">
        <v>6.63</v>
      </c>
      <c r="E134">
        <v>37500</v>
      </c>
      <c r="I134">
        <f t="shared" si="6"/>
        <v>89</v>
      </c>
    </row>
    <row r="135" spans="1:9">
      <c r="A135" s="3168">
        <v>46082</v>
      </c>
      <c r="B135" s="3168">
        <v>46096</v>
      </c>
      <c r="C135" s="3168">
        <v>46187</v>
      </c>
      <c r="D135">
        <v>6.63</v>
      </c>
      <c r="E135">
        <v>37500</v>
      </c>
      <c r="I135">
        <f t="shared" si="6"/>
        <v>91</v>
      </c>
    </row>
    <row r="136" spans="1:9">
      <c r="A136" s="3168">
        <v>46174</v>
      </c>
      <c r="B136" s="3168">
        <v>46188</v>
      </c>
      <c r="C136" s="3168">
        <v>46279</v>
      </c>
      <c r="D136">
        <v>6.63</v>
      </c>
      <c r="E136">
        <v>37500</v>
      </c>
      <c r="I136">
        <f t="shared" si="6"/>
        <v>91</v>
      </c>
    </row>
    <row r="137" spans="1:9">
      <c r="A137" s="3168">
        <v>46266</v>
      </c>
      <c r="B137" s="3168">
        <v>46280</v>
      </c>
      <c r="C137" s="3168">
        <v>46370</v>
      </c>
      <c r="D137">
        <v>6.63</v>
      </c>
      <c r="E137">
        <v>37500</v>
      </c>
      <c r="I137">
        <f t="shared" si="6"/>
        <v>90</v>
      </c>
    </row>
    <row r="138" spans="1:9">
      <c r="A138" s="3168">
        <v>46357</v>
      </c>
      <c r="B138" s="3168">
        <v>46371</v>
      </c>
      <c r="C138" s="3168">
        <v>46460</v>
      </c>
      <c r="D138">
        <v>7.03</v>
      </c>
      <c r="E138">
        <v>39750</v>
      </c>
      <c r="F138">
        <f>ROUND((D138-D137)/D137,2)</f>
        <v>0.06</v>
      </c>
      <c r="I138">
        <f t="shared" si="6"/>
        <v>89</v>
      </c>
    </row>
    <row r="139" spans="1:9">
      <c r="A139" s="3168">
        <v>46447</v>
      </c>
      <c r="B139" s="3168">
        <v>46461</v>
      </c>
      <c r="C139" s="3168">
        <v>46552</v>
      </c>
      <c r="D139">
        <v>7.03</v>
      </c>
      <c r="E139">
        <v>39750</v>
      </c>
      <c r="I139">
        <f t="shared" si="6"/>
        <v>91</v>
      </c>
    </row>
    <row r="140" spans="1:9">
      <c r="A140" s="3168">
        <v>46539</v>
      </c>
      <c r="B140" s="3168">
        <v>46553</v>
      </c>
      <c r="C140" s="3168">
        <v>46644</v>
      </c>
      <c r="D140">
        <v>7.03</v>
      </c>
      <c r="E140">
        <v>39750</v>
      </c>
      <c r="I140">
        <f t="shared" si="6"/>
        <v>91</v>
      </c>
    </row>
    <row r="141" spans="1:9">
      <c r="A141" s="3168">
        <v>46631</v>
      </c>
      <c r="B141" s="3168">
        <v>46645</v>
      </c>
      <c r="C141" s="3168">
        <v>46735</v>
      </c>
      <c r="D141">
        <v>7.03</v>
      </c>
      <c r="E141">
        <v>39750</v>
      </c>
      <c r="I141">
        <f t="shared" si="6"/>
        <v>90</v>
      </c>
    </row>
    <row r="142" spans="1:9">
      <c r="A142" s="3168">
        <v>46722</v>
      </c>
      <c r="B142" s="3168">
        <v>46736</v>
      </c>
      <c r="C142" s="3168">
        <v>46826</v>
      </c>
      <c r="D142">
        <v>7.03</v>
      </c>
      <c r="E142">
        <v>39750</v>
      </c>
      <c r="I142">
        <f t="shared" si="6"/>
        <v>90</v>
      </c>
    </row>
    <row r="143" spans="1:9">
      <c r="A143" s="3168">
        <v>46813</v>
      </c>
      <c r="B143" s="3168">
        <v>46827</v>
      </c>
      <c r="C143" s="3168">
        <v>46918</v>
      </c>
      <c r="D143">
        <v>7.03</v>
      </c>
      <c r="E143">
        <v>39750</v>
      </c>
      <c r="I143">
        <f t="shared" si="6"/>
        <v>91</v>
      </c>
    </row>
    <row r="144" spans="1:9">
      <c r="A144" s="3168">
        <v>46905</v>
      </c>
      <c r="B144" s="3168">
        <v>46919</v>
      </c>
      <c r="C144" s="3168">
        <v>47010</v>
      </c>
      <c r="D144">
        <v>7.03</v>
      </c>
      <c r="E144">
        <v>39750</v>
      </c>
      <c r="I144">
        <f t="shared" si="6"/>
        <v>91</v>
      </c>
    </row>
    <row r="145" spans="1:10">
      <c r="A145" s="3168">
        <v>46997</v>
      </c>
      <c r="B145" s="3168">
        <v>47011</v>
      </c>
      <c r="C145" s="3168">
        <v>47101</v>
      </c>
      <c r="D145">
        <v>7.03</v>
      </c>
      <c r="E145">
        <v>39750</v>
      </c>
      <c r="I145">
        <f t="shared" si="6"/>
        <v>90</v>
      </c>
    </row>
    <row r="146" spans="1:10">
      <c r="A146" s="3168">
        <v>47088</v>
      </c>
      <c r="B146" s="3168">
        <v>47102</v>
      </c>
      <c r="C146" s="3168">
        <v>47191</v>
      </c>
      <c r="D146">
        <v>7.45</v>
      </c>
      <c r="E146">
        <v>42135</v>
      </c>
      <c r="F146">
        <f>ROUND((D146-D145)/D145,2)</f>
        <v>0.06</v>
      </c>
      <c r="I146">
        <f t="shared" si="6"/>
        <v>89</v>
      </c>
    </row>
    <row r="147" spans="1:10">
      <c r="A147" s="3168">
        <v>47178</v>
      </c>
      <c r="B147" s="3168">
        <v>47192</v>
      </c>
      <c r="C147" s="3168">
        <v>47283</v>
      </c>
      <c r="D147">
        <v>7.45</v>
      </c>
      <c r="E147">
        <v>42135</v>
      </c>
      <c r="I147">
        <f t="shared" si="6"/>
        <v>91</v>
      </c>
    </row>
    <row r="148" spans="1:10">
      <c r="A148" s="3168">
        <v>47270</v>
      </c>
      <c r="B148" s="3168">
        <v>47284</v>
      </c>
      <c r="C148" s="3168">
        <v>47375</v>
      </c>
      <c r="D148">
        <v>7.45</v>
      </c>
      <c r="E148">
        <v>42135</v>
      </c>
      <c r="I148">
        <f t="shared" si="6"/>
        <v>91</v>
      </c>
    </row>
    <row r="149" spans="1:10">
      <c r="A149" s="3168">
        <v>47362</v>
      </c>
      <c r="B149" s="3168">
        <v>47376</v>
      </c>
      <c r="C149" s="3168">
        <v>47466</v>
      </c>
      <c r="D149">
        <v>7.45</v>
      </c>
      <c r="E149">
        <v>42135</v>
      </c>
      <c r="I149">
        <f t="shared" si="6"/>
        <v>90</v>
      </c>
    </row>
    <row r="150" spans="1:10">
      <c r="D150" s="1403" t="s">
        <v>2587</v>
      </c>
      <c r="E150">
        <f>SUM(E130:E149)</f>
        <v>716540</v>
      </c>
      <c r="I150">
        <f>SUM(I131:I149)</f>
        <v>1746</v>
      </c>
    </row>
    <row r="151" spans="1:10">
      <c r="D151" s="3171" t="s">
        <v>3476</v>
      </c>
      <c r="E151" s="3154">
        <f>ROUND(E150/B128/I150,2)</f>
        <v>6.62</v>
      </c>
      <c r="I151" s="3171" t="s">
        <v>3616</v>
      </c>
      <c r="J151" s="3154">
        <f>ROUND(E151*1.05,2)</f>
        <v>6.95</v>
      </c>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8</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-248</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242.22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242.22</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242.22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3" t="s">
        <v>694</v>
      </c>
      <c r="C6" s="1009">
        <f ca="1">ROUND(F6*F8*F7*(1-F9)/10000,0)</f>
        <v>0</v>
      </c>
      <c r="D6" s="147" t="s">
        <v>2104</v>
      </c>
      <c r="E6" s="294" t="s">
        <v>696</v>
      </c>
      <c r="F6" s="295">
        <f ca="1">INDIRECT("'数据-取费表'!u"&amp;$G$1)</f>
        <v>0</v>
      </c>
      <c r="G6" s="1290"/>
      <c r="H6" s="1004" t="s">
        <v>398</v>
      </c>
      <c r="I6" s="3433" t="s">
        <v>694</v>
      </c>
      <c r="J6" s="293">
        <f ca="1">ROUND(M6*M8*M7*(1-M9)/10000,0)</f>
        <v>0</v>
      </c>
      <c r="K6" s="147" t="s">
        <v>2103</v>
      </c>
      <c r="L6" s="294" t="s">
        <v>696</v>
      </c>
      <c r="M6" s="295">
        <f ca="1">INDIRECT("'数据-取费表'!z"&amp;$G$1)</f>
        <v>0</v>
      </c>
    </row>
    <row r="7" spans="1:37" ht="18" customHeight="1">
      <c r="A7" s="1008"/>
      <c r="B7" s="3434"/>
      <c r="C7" s="1010"/>
      <c r="D7" s="299"/>
      <c r="E7" s="1011" t="s">
        <v>697</v>
      </c>
      <c r="F7" s="295">
        <f ca="1">IF(INDIRECT("'数据-取费表'!ah"&amp;$G$1)="",INDIRECT("'数据-取费表'!k"&amp;$G$1),INDIRECT("'数据-取费表'!ah"&amp;$G$1))</f>
        <v>0</v>
      </c>
      <c r="G7" s="1290"/>
      <c r="H7" s="296"/>
      <c r="I7" s="3434"/>
      <c r="J7" s="298"/>
      <c r="K7" s="299"/>
      <c r="L7" s="294" t="s">
        <v>697</v>
      </c>
      <c r="M7" s="295">
        <f ca="1">F7</f>
        <v>0</v>
      </c>
    </row>
    <row r="8" spans="1:37" ht="18" customHeight="1">
      <c r="A8" s="296"/>
      <c r="B8" s="3434"/>
      <c r="C8" s="298"/>
      <c r="D8" s="299"/>
      <c r="E8" s="294" t="s">
        <v>698</v>
      </c>
      <c r="F8" s="295">
        <f ca="1">INDIRECT("'数据-取费表'!ai"&amp;$G$1)</f>
        <v>0</v>
      </c>
      <c r="G8" s="1290"/>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0"/>
      <c r="H9" s="296"/>
      <c r="I9" s="3435"/>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36" t="s">
        <v>837</v>
      </c>
      <c r="L53" s="3437"/>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3569</v>
      </c>
    </row>
    <row r="3" spans="1:7">
      <c r="A3" s="3171" t="s">
        <v>3570</v>
      </c>
      <c r="D3" s="1403" t="s">
        <v>3603</v>
      </c>
    </row>
    <row r="4" spans="1:7">
      <c r="A4" s="1403" t="s">
        <v>3571</v>
      </c>
      <c r="C4" s="1403" t="s">
        <v>3582</v>
      </c>
      <c r="D4" s="1403" t="s">
        <v>3585</v>
      </c>
    </row>
    <row r="5" spans="1:7">
      <c r="A5" s="1403" t="s">
        <v>3383</v>
      </c>
      <c r="B5" s="1403" t="s">
        <v>3572</v>
      </c>
      <c r="C5" s="1403" t="s">
        <v>3384</v>
      </c>
      <c r="D5" s="1403" t="s">
        <v>3577</v>
      </c>
      <c r="E5" s="1403" t="s">
        <v>3583</v>
      </c>
      <c r="F5" s="1403" t="s">
        <v>3473</v>
      </c>
      <c r="G5" s="1403" t="s">
        <v>3579</v>
      </c>
    </row>
    <row r="6" spans="1:7">
      <c r="A6">
        <v>285</v>
      </c>
      <c r="B6">
        <v>1585</v>
      </c>
      <c r="C6">
        <f>ROUND(B6*10000/A6,0)</f>
        <v>55614</v>
      </c>
      <c r="D6" s="3180" t="s">
        <v>3578</v>
      </c>
      <c r="E6" s="1403" t="s">
        <v>3584</v>
      </c>
      <c r="F6">
        <f>ROUND(770000/(A6-90)/365,2)</f>
        <v>10.82</v>
      </c>
      <c r="G6" s="1403" t="s">
        <v>3587</v>
      </c>
    </row>
    <row r="7" spans="1:7">
      <c r="A7">
        <v>245</v>
      </c>
      <c r="B7">
        <v>1455</v>
      </c>
      <c r="C7">
        <f t="shared" ref="C7:C8" si="0">ROUND(B7*10000/A7,0)</f>
        <v>59388</v>
      </c>
      <c r="D7" s="3180" t="s">
        <v>3578</v>
      </c>
      <c r="E7" s="1403" t="s">
        <v>3584</v>
      </c>
      <c r="G7" s="1403" t="s">
        <v>3580</v>
      </c>
    </row>
    <row r="8" spans="1:7">
      <c r="A8">
        <v>322</v>
      </c>
      <c r="B8">
        <v>1650</v>
      </c>
      <c r="C8">
        <f t="shared" si="0"/>
        <v>51242</v>
      </c>
      <c r="D8" s="3180" t="s">
        <v>3578</v>
      </c>
      <c r="E8" s="1403" t="s">
        <v>3584</v>
      </c>
      <c r="G8" s="1403" t="s">
        <v>3581</v>
      </c>
    </row>
    <row r="12" spans="1:7">
      <c r="A12" s="3171" t="s">
        <v>3515</v>
      </c>
      <c r="B12" s="1403" t="s">
        <v>3558</v>
      </c>
    </row>
    <row r="13" spans="1:7">
      <c r="B13" s="1403" t="s">
        <v>3516</v>
      </c>
    </row>
    <row r="14" spans="1:7">
      <c r="B14" s="1403" t="s">
        <v>3517</v>
      </c>
    </row>
    <row r="16" spans="1:7">
      <c r="B16" s="1403" t="s">
        <v>3473</v>
      </c>
      <c r="C16" s="1403" t="s">
        <v>3586</v>
      </c>
    </row>
    <row r="17" spans="1:6">
      <c r="A17" s="3171" t="s">
        <v>3488</v>
      </c>
      <c r="B17" s="3154">
        <v>7.5</v>
      </c>
      <c r="C17" s="3154">
        <v>100</v>
      </c>
      <c r="D17" s="3171" t="s">
        <v>3557</v>
      </c>
      <c r="E17" s="3154"/>
      <c r="F17">
        <v>60</v>
      </c>
    </row>
    <row r="18" spans="1:6">
      <c r="A18" s="3171" t="s">
        <v>3555</v>
      </c>
      <c r="B18" s="3154">
        <f>B17*C18/100</f>
        <v>3</v>
      </c>
      <c r="C18" s="3154">
        <v>40</v>
      </c>
      <c r="D18" s="3154"/>
      <c r="E18" s="3154"/>
    </row>
    <row r="19" spans="1:6">
      <c r="A19" s="3171" t="s">
        <v>3556</v>
      </c>
      <c r="B19" s="3154">
        <f>(B17+B18)/2</f>
        <v>5.25</v>
      </c>
      <c r="C19" s="3154">
        <f>ROUND((C17+C18)/2,2)</f>
        <v>70</v>
      </c>
      <c r="D19" s="3154"/>
      <c r="E19" s="3154"/>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受贵公司委托，我公司对北京市石景山区古城西路66号院1号楼1至2层103房地产抵押价值进行了预评估。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66号院1号楼1至2层103房地产，为北京汉森瑞博商业管理有限公司所有。根据《国有土地使用证》[]，估价对象（分摊）出让国有建设用地使用权面积为0平方米，建筑面积为242.22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66号院1号楼1至2层103房地产,属北京汉森瑞博商业管理有限公司开发建设的商业项目，该项目尚在开发建设中。根据《国有土地使用证》[]，估价对象（分摊）出让国有建设用地使用权面积为0平方米，规划建筑面积为242.22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2025年5月22日（评估专业人员实地查勘之日）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45" t="s">
        <v>2312</v>
      </c>
      <c r="K2" s="3446"/>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47" t="s">
        <v>2322</v>
      </c>
      <c r="K3" s="3448"/>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47" t="s">
        <v>2324</v>
      </c>
      <c r="K4" s="3448"/>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49" t="s">
        <v>2328</v>
      </c>
      <c r="B6" s="3450"/>
      <c r="C6" s="3451"/>
      <c r="D6" s="2617"/>
      <c r="E6" s="2618"/>
      <c r="F6" s="2619"/>
      <c r="G6" s="2620"/>
      <c r="H6" s="2595"/>
      <c r="I6" s="2596"/>
      <c r="J6" s="3452">
        <v>1</v>
      </c>
      <c r="K6" s="3453"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2"/>
      <c r="K7" s="3454"/>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56" t="s">
        <v>2342</v>
      </c>
      <c r="C8" s="3457"/>
      <c r="D8" s="2636" t="s">
        <v>2343</v>
      </c>
      <c r="E8" s="2637" t="s">
        <v>2344</v>
      </c>
      <c r="F8" s="2638" t="s">
        <v>2345</v>
      </c>
      <c r="G8" s="2639"/>
      <c r="H8" s="2595"/>
      <c r="I8" s="2596"/>
      <c r="J8" s="3452"/>
      <c r="K8" s="3454"/>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56" t="s">
        <v>2348</v>
      </c>
      <c r="C9" s="3457"/>
      <c r="D9" s="2636">
        <f>ROUND(D6*E9,0)</f>
        <v>0</v>
      </c>
      <c r="E9" s="2640"/>
      <c r="F9" s="2641" t="s">
        <v>2349</v>
      </c>
      <c r="G9" s="2620"/>
      <c r="H9" s="2595"/>
      <c r="I9" s="2596"/>
      <c r="J9" s="3452"/>
      <c r="K9" s="3454"/>
      <c r="L9" s="2630" t="s">
        <v>2350</v>
      </c>
      <c r="M9" s="2631"/>
      <c r="N9" s="2607"/>
      <c r="O9" s="2632"/>
      <c r="P9" s="2632"/>
      <c r="Q9" s="2633">
        <v>365</v>
      </c>
      <c r="R9" s="2634">
        <f t="shared" si="0"/>
        <v>0</v>
      </c>
      <c r="S9" s="2588"/>
      <c r="T9" s="2588"/>
      <c r="U9" s="2588"/>
      <c r="V9" s="2596"/>
    </row>
    <row r="10" spans="1:22" s="2600" customFormat="1" ht="13.2" customHeight="1">
      <c r="A10" s="2635">
        <v>2</v>
      </c>
      <c r="B10" s="3456" t="s">
        <v>2351</v>
      </c>
      <c r="C10" s="3457"/>
      <c r="D10" s="2636">
        <f>ROUND(D6*E10,0)</f>
        <v>0</v>
      </c>
      <c r="E10" s="2640"/>
      <c r="F10" s="2641" t="s">
        <v>2352</v>
      </c>
      <c r="G10" s="2620"/>
      <c r="H10" s="2595"/>
      <c r="I10" s="2596"/>
      <c r="J10" s="3452"/>
      <c r="K10" s="3454"/>
      <c r="L10" s="2630" t="s">
        <v>2353</v>
      </c>
      <c r="M10" s="2631"/>
      <c r="N10" s="2607"/>
      <c r="O10" s="2632"/>
      <c r="P10" s="2632"/>
      <c r="Q10" s="2633">
        <v>365</v>
      </c>
      <c r="R10" s="2634">
        <f t="shared" si="0"/>
        <v>0</v>
      </c>
      <c r="S10" s="2588"/>
      <c r="T10" s="2588"/>
      <c r="U10" s="2588"/>
      <c r="V10" s="2596"/>
    </row>
    <row r="11" spans="1:22" s="2600" customFormat="1" ht="13.2" customHeight="1">
      <c r="A11" s="2635">
        <v>3</v>
      </c>
      <c r="B11" s="3456" t="s">
        <v>2354</v>
      </c>
      <c r="C11" s="3457"/>
      <c r="D11" s="2636">
        <f>D12+D14+D15+D16</f>
        <v>0</v>
      </c>
      <c r="E11" s="2642" t="e">
        <f>D11/D6</f>
        <v>#DIV/0!</v>
      </c>
      <c r="F11" s="2638"/>
      <c r="G11" s="2639"/>
      <c r="H11" s="2595"/>
      <c r="I11" s="2596"/>
      <c r="J11" s="3452"/>
      <c r="K11" s="3454"/>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58" t="s">
        <v>2357</v>
      </c>
      <c r="C12" s="3459"/>
      <c r="D12" s="2644">
        <f>ROUND(D13*1.2%*(1-30%),0)</f>
        <v>0</v>
      </c>
      <c r="E12" s="2645">
        <v>1.2E-2</v>
      </c>
      <c r="F12" s="2638" t="s">
        <v>2358</v>
      </c>
      <c r="G12" s="2639"/>
      <c r="H12" s="2595"/>
      <c r="I12" s="2596"/>
      <c r="J12" s="3452"/>
      <c r="K12" s="3454"/>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2"/>
      <c r="K13" s="3454"/>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58" t="s">
        <v>2363</v>
      </c>
      <c r="C14" s="3459"/>
      <c r="D14" s="2644">
        <f>ROUND(E14*B5/10000,0)</f>
        <v>0</v>
      </c>
      <c r="E14" s="2633"/>
      <c r="F14" s="2638" t="s">
        <v>2364</v>
      </c>
      <c r="G14" s="2639"/>
      <c r="H14" s="2595"/>
      <c r="I14" s="2596"/>
      <c r="J14" s="3452"/>
      <c r="K14" s="3455"/>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58" t="s">
        <v>2367</v>
      </c>
      <c r="C15" s="3459"/>
      <c r="D15" s="2644">
        <f>ROUND(D6*E15,0)</f>
        <v>0</v>
      </c>
      <c r="E15" s="2645">
        <v>5.5E-2</v>
      </c>
      <c r="F15" s="2638" t="s">
        <v>2368</v>
      </c>
      <c r="G15" s="2620"/>
      <c r="H15" s="2595"/>
      <c r="I15" s="2596"/>
      <c r="J15" s="3452">
        <v>2</v>
      </c>
      <c r="K15" s="3453"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58" t="s">
        <v>2376</v>
      </c>
      <c r="C16" s="3459"/>
      <c r="D16" s="2655">
        <f>D6*E16</f>
        <v>0</v>
      </c>
      <c r="E16" s="2656"/>
      <c r="F16" s="2641" t="s">
        <v>2377</v>
      </c>
      <c r="G16" s="2620"/>
      <c r="H16" s="2595"/>
      <c r="I16" s="2596"/>
      <c r="J16" s="3452"/>
      <c r="K16" s="3454"/>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0" t="s">
        <v>2379</v>
      </c>
      <c r="C17" s="3461"/>
      <c r="D17" s="2658">
        <f>ROUND(D6*E17,0)</f>
        <v>0</v>
      </c>
      <c r="E17" s="2659"/>
      <c r="F17" s="2660" t="s">
        <v>2380</v>
      </c>
      <c r="G17" s="2620"/>
      <c r="H17" s="2595"/>
      <c r="I17" s="2596"/>
      <c r="J17" s="3452"/>
      <c r="K17" s="3454"/>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2"/>
      <c r="K18" s="3454"/>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2"/>
      <c r="K19" s="3455"/>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2">
        <v>3</v>
      </c>
      <c r="K20" s="3453"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2"/>
      <c r="K21" s="3454"/>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2"/>
      <c r="K22" s="3454"/>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2"/>
      <c r="K23" s="3454"/>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2"/>
      <c r="K24" s="3455"/>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62">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63"/>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45" t="s">
        <v>2312</v>
      </c>
      <c r="K32" s="3446"/>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47" t="s">
        <v>2322</v>
      </c>
      <c r="K33" s="3448"/>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47" t="s">
        <v>2324</v>
      </c>
      <c r="K34" s="3448"/>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2">
        <v>1</v>
      </c>
      <c r="K36" s="3453"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2"/>
      <c r="K37" s="3454"/>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2"/>
      <c r="K38" s="3454"/>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2"/>
      <c r="K39" s="3454"/>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2"/>
      <c r="K40" s="3455"/>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62">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63"/>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683.85479999999995</v>
      </c>
      <c r="C2" s="1727" t="s">
        <v>1651</v>
      </c>
      <c r="D2" s="1728" t="s">
        <v>1652</v>
      </c>
      <c r="E2" s="2389">
        <f>SUM(E6:E13)</f>
        <v>242.22</v>
      </c>
      <c r="F2" s="2475"/>
      <c r="G2" s="459"/>
      <c r="H2" s="459"/>
      <c r="I2" s="459"/>
      <c r="J2" s="459"/>
      <c r="K2" s="459"/>
      <c r="L2" s="459"/>
      <c r="M2" s="459"/>
      <c r="N2" s="459"/>
      <c r="O2" s="459"/>
      <c r="P2" s="459"/>
      <c r="Q2" s="459"/>
      <c r="R2" s="459"/>
      <c r="S2" s="459"/>
    </row>
    <row r="3" spans="1:22" ht="15.6">
      <c r="A3" s="1726" t="s">
        <v>686</v>
      </c>
      <c r="B3" s="2383">
        <f ca="1">ROUND(B2*10000/E2,0)</f>
        <v>28233</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4" t="s">
        <v>1654</v>
      </c>
      <c r="C5" s="3465"/>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(元)1层</v>
      </c>
      <c r="B6" s="2384">
        <f ca="1">IF(F6="是",'数据-取费表'!AO6,0)</f>
        <v>488.24059999999997</v>
      </c>
      <c r="C6" s="1727" t="s">
        <v>1651</v>
      </c>
      <c r="D6" s="2475"/>
      <c r="E6" s="2388">
        <f>IF(OR(A6=0,F6="否"),0,'数据-取费表'!K6+'数据-取费表'!S6)</f>
        <v>162</v>
      </c>
      <c r="F6" s="1730" t="s">
        <v>1657</v>
      </c>
      <c r="G6" s="459"/>
      <c r="H6" s="459"/>
      <c r="I6" s="459"/>
      <c r="J6" s="459"/>
      <c r="K6" s="459"/>
      <c r="L6" s="459"/>
      <c r="M6" s="459"/>
      <c r="N6" s="459"/>
      <c r="O6" s="459"/>
      <c r="P6" s="459"/>
      <c r="Q6" s="459"/>
      <c r="R6" s="459"/>
      <c r="S6" s="459"/>
    </row>
    <row r="7" spans="1:22" ht="14.4">
      <c r="A7" s="2386" t="str">
        <f>'数据-取费表'!AN7</f>
        <v>收益法2层</v>
      </c>
      <c r="B7" s="2384">
        <f ca="1">IF(F7="是",'数据-取费表'!AO7,0)</f>
        <v>195.61420000000001</v>
      </c>
      <c r="C7" s="1727" t="s">
        <v>1651</v>
      </c>
      <c r="D7" s="2475"/>
      <c r="E7" s="2388">
        <f>IF(OR(A7=0,F7="否"),0,'数据-取费表'!K7+'数据-取费表'!S7)</f>
        <v>80.22</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242.22</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07" t="s">
        <v>1667</v>
      </c>
      <c r="D4" s="3408"/>
      <c r="E4" s="3409" t="s">
        <v>1668</v>
      </c>
      <c r="F4" s="3410"/>
      <c r="G4" s="3407" t="s">
        <v>1669</v>
      </c>
      <c r="H4" s="3408"/>
      <c r="I4" s="3407" t="s">
        <v>1670</v>
      </c>
      <c r="J4" s="3408"/>
      <c r="K4" s="1742" t="s">
        <v>1671</v>
      </c>
      <c r="L4" s="2482"/>
      <c r="M4" s="2483"/>
      <c r="N4" s="2483"/>
      <c r="O4" s="2483"/>
      <c r="P4" s="3411" t="s">
        <v>1672</v>
      </c>
      <c r="Q4" s="3412"/>
      <c r="R4" s="3393" t="s">
        <v>1668</v>
      </c>
      <c r="S4" s="3394"/>
      <c r="T4" s="3393" t="s">
        <v>1669</v>
      </c>
      <c r="U4" s="3394"/>
      <c r="V4" s="3390" t="s">
        <v>1670</v>
      </c>
      <c r="W4" s="3390"/>
      <c r="X4" s="1263"/>
      <c r="Y4" s="3393" t="s">
        <v>1672</v>
      </c>
      <c r="Z4" s="3394"/>
      <c r="AA4" s="3387" t="s">
        <v>1668</v>
      </c>
      <c r="AB4" s="3387" t="s">
        <v>1669</v>
      </c>
      <c r="AC4" s="3387" t="s">
        <v>1670</v>
      </c>
    </row>
    <row r="5" spans="1:29">
      <c r="A5" s="348"/>
      <c r="B5" s="349"/>
      <c r="C5" s="3403" t="s">
        <v>1673</v>
      </c>
      <c r="D5" s="3400"/>
      <c r="E5" s="3397" t="s">
        <v>1674</v>
      </c>
      <c r="F5" s="3398"/>
      <c r="G5" s="3403" t="s">
        <v>1675</v>
      </c>
      <c r="H5" s="3400"/>
      <c r="I5" s="3403" t="s">
        <v>1676</v>
      </c>
      <c r="J5" s="3400"/>
      <c r="K5" s="1743"/>
      <c r="L5" s="2482"/>
      <c r="M5" s="2483"/>
      <c r="N5" s="2483"/>
      <c r="O5" s="2483"/>
      <c r="P5" s="3413"/>
      <c r="Q5" s="3414"/>
      <c r="R5" s="3395"/>
      <c r="S5" s="3396"/>
      <c r="T5" s="3395"/>
      <c r="U5" s="3396"/>
      <c r="V5" s="3390"/>
      <c r="W5" s="3390"/>
      <c r="X5" s="1263"/>
      <c r="Y5" s="3395"/>
      <c r="Z5" s="3396"/>
      <c r="AA5" s="3388"/>
      <c r="AB5" s="3388"/>
      <c r="AC5" s="3388"/>
    </row>
    <row r="6" spans="1:29" ht="15" thickBot="1">
      <c r="A6" s="350"/>
      <c r="B6" s="351"/>
      <c r="C6" s="3401" t="s">
        <v>1677</v>
      </c>
      <c r="D6" s="3402"/>
      <c r="E6" s="3404" t="s">
        <v>1677</v>
      </c>
      <c r="F6" s="3405"/>
      <c r="G6" s="3401" t="s">
        <v>1677</v>
      </c>
      <c r="H6" s="3402"/>
      <c r="I6" s="3401" t="s">
        <v>1677</v>
      </c>
      <c r="J6" s="3402"/>
      <c r="K6" s="1743" t="s">
        <v>1678</v>
      </c>
      <c r="L6" s="2482"/>
      <c r="M6" s="2483"/>
      <c r="N6" s="2483"/>
      <c r="O6" s="2483"/>
      <c r="P6" s="3415"/>
      <c r="Q6" s="3416"/>
      <c r="R6" s="3395"/>
      <c r="S6" s="3396"/>
      <c r="T6" s="3417"/>
      <c r="U6" s="3418"/>
      <c r="V6" s="3390"/>
      <c r="W6" s="3390"/>
      <c r="X6" s="1263"/>
      <c r="Y6" s="3417"/>
      <c r="Z6" s="3418"/>
      <c r="AA6" s="3389"/>
      <c r="AB6" s="3389"/>
      <c r="AC6" s="3389"/>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6"/>
      <c r="Q11" s="530" t="str">
        <f t="shared" si="6"/>
        <v>容积率</v>
      </c>
      <c r="R11" s="664" t="s">
        <v>18</v>
      </c>
      <c r="S11" s="665" t="e">
        <f t="shared" si="0"/>
        <v>#N/A</v>
      </c>
      <c r="T11" s="664" t="s">
        <v>18</v>
      </c>
      <c r="U11" s="665" t="e">
        <f t="shared" si="1"/>
        <v>#N/A</v>
      </c>
      <c r="V11" s="664" t="s">
        <v>18</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6"/>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6"/>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6"/>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20" t="s">
        <v>1691</v>
      </c>
      <c r="Q15" s="1261" t="str">
        <f t="shared" si="6"/>
        <v>居住社区成熟度</v>
      </c>
      <c r="R15" s="667" t="s">
        <v>18</v>
      </c>
      <c r="S15" s="668">
        <f t="shared" si="0"/>
        <v>100</v>
      </c>
      <c r="T15" s="667" t="s">
        <v>18</v>
      </c>
      <c r="U15" s="668">
        <f t="shared" si="1"/>
        <v>100</v>
      </c>
      <c r="V15" s="667" t="s">
        <v>18</v>
      </c>
      <c r="W15" s="668">
        <f t="shared" si="2"/>
        <v>100</v>
      </c>
      <c r="X15" s="1263"/>
      <c r="Y15" s="3422"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21"/>
      <c r="Q16" s="1261"/>
      <c r="R16" s="667"/>
      <c r="S16" s="668"/>
      <c r="T16" s="667"/>
      <c r="U16" s="668"/>
      <c r="V16" s="667"/>
      <c r="W16" s="668"/>
      <c r="X16" s="1263"/>
      <c r="Y16" s="3423"/>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21"/>
      <c r="Q17" s="1261" t="str">
        <f>B17</f>
        <v>交通便捷度</v>
      </c>
      <c r="R17" s="667" t="s">
        <v>18</v>
      </c>
      <c r="S17" s="668">
        <f>F17</f>
        <v>100</v>
      </c>
      <c r="T17" s="667" t="s">
        <v>18</v>
      </c>
      <c r="U17" s="668">
        <f>H17</f>
        <v>100</v>
      </c>
      <c r="V17" s="667" t="s">
        <v>18</v>
      </c>
      <c r="W17" s="668">
        <f>J17</f>
        <v>100</v>
      </c>
      <c r="X17" s="1263"/>
      <c r="Y17" s="3423"/>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21"/>
      <c r="Q18" s="1261"/>
      <c r="R18" s="667"/>
      <c r="S18" s="668"/>
      <c r="T18" s="667"/>
      <c r="U18" s="668"/>
      <c r="V18" s="667"/>
      <c r="W18" s="668"/>
      <c r="X18" s="1263"/>
      <c r="Y18" s="3423"/>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21"/>
      <c r="Q19" s="1261" t="str">
        <f>B19</f>
        <v>公共配套设施</v>
      </c>
      <c r="R19" s="667" t="s">
        <v>18</v>
      </c>
      <c r="S19" s="668">
        <f>F19</f>
        <v>100</v>
      </c>
      <c r="T19" s="667" t="s">
        <v>18</v>
      </c>
      <c r="U19" s="668">
        <f>H19</f>
        <v>100</v>
      </c>
      <c r="V19" s="667" t="s">
        <v>18</v>
      </c>
      <c r="W19" s="668">
        <f>J19</f>
        <v>100</v>
      </c>
      <c r="X19" s="1263"/>
      <c r="Y19" s="3423"/>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21"/>
      <c r="Q20" s="1261"/>
      <c r="R20" s="667"/>
      <c r="S20" s="668"/>
      <c r="T20" s="667"/>
      <c r="U20" s="668"/>
      <c r="V20" s="667"/>
      <c r="W20" s="668"/>
      <c r="X20" s="1263"/>
      <c r="Y20" s="3423"/>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21"/>
      <c r="Q21" s="1261" t="str">
        <f>B21</f>
        <v>基础设施水平</v>
      </c>
      <c r="R21" s="667" t="s">
        <v>14</v>
      </c>
      <c r="S21" s="668">
        <f>F21</f>
        <v>100</v>
      </c>
      <c r="T21" s="667" t="s">
        <v>14</v>
      </c>
      <c r="U21" s="668">
        <f>H21</f>
        <v>100</v>
      </c>
      <c r="V21" s="667" t="s">
        <v>14</v>
      </c>
      <c r="W21" s="668">
        <f>J21</f>
        <v>100</v>
      </c>
      <c r="X21" s="1263"/>
      <c r="Y21" s="342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21"/>
      <c r="Q22" s="1261"/>
      <c r="R22" s="667"/>
      <c r="S22" s="668"/>
      <c r="T22" s="667"/>
      <c r="U22" s="668"/>
      <c r="V22" s="667"/>
      <c r="W22" s="668"/>
      <c r="X22" s="1263"/>
      <c r="Y22" s="3423"/>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21"/>
      <c r="Q23" s="1261" t="str">
        <f>B23</f>
        <v>自然及人文环境</v>
      </c>
      <c r="R23" s="667" t="s">
        <v>18</v>
      </c>
      <c r="S23" s="668">
        <f>F23</f>
        <v>100</v>
      </c>
      <c r="T23" s="667" t="s">
        <v>18</v>
      </c>
      <c r="U23" s="668">
        <f>H23</f>
        <v>100</v>
      </c>
      <c r="V23" s="667" t="s">
        <v>18</v>
      </c>
      <c r="W23" s="668">
        <f>J23</f>
        <v>100</v>
      </c>
      <c r="X23" s="1263"/>
      <c r="Y23" s="3423"/>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21"/>
      <c r="Q24" s="1261"/>
      <c r="R24" s="667"/>
      <c r="S24" s="668"/>
      <c r="T24" s="667"/>
      <c r="U24" s="668"/>
      <c r="V24" s="667"/>
      <c r="W24" s="668"/>
      <c r="X24" s="1263"/>
      <c r="Y24" s="3423"/>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21"/>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3"/>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21"/>
      <c r="Q26" s="1261" t="str">
        <f t="shared" si="11"/>
        <v>朝向</v>
      </c>
      <c r="R26" s="667" t="s">
        <v>18</v>
      </c>
      <c r="S26" s="668">
        <f t="shared" si="12"/>
        <v>100</v>
      </c>
      <c r="T26" s="667" t="s">
        <v>18</v>
      </c>
      <c r="U26" s="668">
        <f t="shared" si="13"/>
        <v>100</v>
      </c>
      <c r="V26" s="667" t="s">
        <v>18</v>
      </c>
      <c r="W26" s="668">
        <f t="shared" si="14"/>
        <v>100</v>
      </c>
      <c r="X26" s="1263"/>
      <c r="Y26" s="3423"/>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21"/>
      <c r="Q27" s="530">
        <f t="shared" si="11"/>
        <v>111</v>
      </c>
      <c r="R27" s="664" t="s">
        <v>18</v>
      </c>
      <c r="S27" s="665">
        <f t="shared" si="12"/>
        <v>100</v>
      </c>
      <c r="T27" s="664" t="s">
        <v>18</v>
      </c>
      <c r="U27" s="665">
        <f t="shared" si="13"/>
        <v>100</v>
      </c>
      <c r="V27" s="664" t="s">
        <v>18</v>
      </c>
      <c r="W27" s="665">
        <f t="shared" si="14"/>
        <v>100</v>
      </c>
      <c r="X27" s="666"/>
      <c r="Y27" s="3423"/>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21"/>
      <c r="Q28" s="1261">
        <f t="shared" si="11"/>
        <v>111</v>
      </c>
      <c r="R28" s="667" t="s">
        <v>18</v>
      </c>
      <c r="S28" s="668">
        <f t="shared" si="12"/>
        <v>100</v>
      </c>
      <c r="T28" s="667" t="s">
        <v>18</v>
      </c>
      <c r="U28" s="668">
        <f t="shared" si="13"/>
        <v>100</v>
      </c>
      <c r="V28" s="667" t="s">
        <v>18</v>
      </c>
      <c r="W28" s="668">
        <f t="shared" si="14"/>
        <v>100</v>
      </c>
      <c r="X28" s="1263"/>
      <c r="Y28" s="3423"/>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21"/>
      <c r="Q29" s="1261">
        <f t="shared" si="11"/>
        <v>111</v>
      </c>
      <c r="R29" s="667" t="s">
        <v>18</v>
      </c>
      <c r="S29" s="668">
        <f t="shared" si="12"/>
        <v>100</v>
      </c>
      <c r="T29" s="667" t="s">
        <v>18</v>
      </c>
      <c r="U29" s="668">
        <f t="shared" si="13"/>
        <v>100</v>
      </c>
      <c r="V29" s="667" t="s">
        <v>18</v>
      </c>
      <c r="W29" s="668">
        <f t="shared" si="14"/>
        <v>100</v>
      </c>
      <c r="X29" s="1263"/>
      <c r="Y29" s="3423"/>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21"/>
      <c r="Q30" s="1261">
        <f t="shared" si="11"/>
        <v>111</v>
      </c>
      <c r="R30" s="667" t="s">
        <v>18</v>
      </c>
      <c r="S30" s="668">
        <f t="shared" si="12"/>
        <v>100</v>
      </c>
      <c r="T30" s="667" t="s">
        <v>18</v>
      </c>
      <c r="U30" s="668">
        <f t="shared" si="13"/>
        <v>100</v>
      </c>
      <c r="V30" s="667" t="s">
        <v>18</v>
      </c>
      <c r="W30" s="668">
        <f t="shared" si="14"/>
        <v>100</v>
      </c>
      <c r="X30" s="1263"/>
      <c r="Y30" s="3423"/>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21"/>
      <c r="Q31" s="1261">
        <f t="shared" si="11"/>
        <v>111</v>
      </c>
      <c r="R31" s="667" t="s">
        <v>18</v>
      </c>
      <c r="S31" s="668">
        <f t="shared" si="12"/>
        <v>100</v>
      </c>
      <c r="T31" s="667" t="s">
        <v>18</v>
      </c>
      <c r="U31" s="668">
        <f t="shared" si="13"/>
        <v>100</v>
      </c>
      <c r="V31" s="667" t="s">
        <v>18</v>
      </c>
      <c r="W31" s="668">
        <f t="shared" si="14"/>
        <v>100</v>
      </c>
      <c r="X31" s="1263"/>
      <c r="Y31" s="3423"/>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24" t="s">
        <v>1696</v>
      </c>
      <c r="Q32" s="1261" t="str">
        <f t="shared" si="11"/>
        <v>建筑类型</v>
      </c>
      <c r="R32" s="667" t="s">
        <v>18</v>
      </c>
      <c r="S32" s="668">
        <f t="shared" si="12"/>
        <v>100</v>
      </c>
      <c r="T32" s="667" t="s">
        <v>18</v>
      </c>
      <c r="U32" s="668">
        <f t="shared" si="13"/>
        <v>100</v>
      </c>
      <c r="V32" s="667" t="s">
        <v>18</v>
      </c>
      <c r="W32" s="668">
        <f t="shared" si="14"/>
        <v>100</v>
      </c>
      <c r="X32" s="1263"/>
      <c r="Y32" s="3427"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2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25"/>
      <c r="Q34" s="1261" t="str">
        <f t="shared" si="11"/>
        <v>建筑结构</v>
      </c>
      <c r="R34" s="667" t="s">
        <v>18</v>
      </c>
      <c r="S34" s="668">
        <f t="shared" si="12"/>
        <v>100</v>
      </c>
      <c r="T34" s="667" t="s">
        <v>18</v>
      </c>
      <c r="U34" s="668">
        <f t="shared" si="13"/>
        <v>100</v>
      </c>
      <c r="V34" s="667" t="s">
        <v>18</v>
      </c>
      <c r="W34" s="668">
        <f t="shared" si="14"/>
        <v>100</v>
      </c>
      <c r="X34" s="1263"/>
      <c r="Y34" s="3427"/>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25"/>
      <c r="Q35" s="1261" t="str">
        <f t="shared" si="11"/>
        <v>建筑品质</v>
      </c>
      <c r="R35" s="667" t="s">
        <v>18</v>
      </c>
      <c r="S35" s="668">
        <f t="shared" si="12"/>
        <v>100</v>
      </c>
      <c r="T35" s="667" t="s">
        <v>18</v>
      </c>
      <c r="U35" s="668">
        <f t="shared" si="13"/>
        <v>100</v>
      </c>
      <c r="V35" s="667" t="s">
        <v>18</v>
      </c>
      <c r="W35" s="668">
        <f t="shared" si="14"/>
        <v>100</v>
      </c>
      <c r="X35" s="1263"/>
      <c r="Y35" s="3427"/>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25"/>
      <c r="Q36" s="1261" t="str">
        <f t="shared" si="11"/>
        <v>公共部分装修</v>
      </c>
      <c r="R36" s="667" t="s">
        <v>18</v>
      </c>
      <c r="S36" s="668">
        <f t="shared" si="12"/>
        <v>100</v>
      </c>
      <c r="T36" s="667" t="s">
        <v>18</v>
      </c>
      <c r="U36" s="668">
        <f t="shared" si="13"/>
        <v>100</v>
      </c>
      <c r="V36" s="667" t="s">
        <v>18</v>
      </c>
      <c r="W36" s="668">
        <f t="shared" si="14"/>
        <v>100</v>
      </c>
      <c r="X36" s="1263"/>
      <c r="Y36" s="3427"/>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2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25" t="s">
        <v>1696</v>
      </c>
      <c r="Q38" s="1261" t="str">
        <f t="shared" si="11"/>
        <v>物业管理</v>
      </c>
      <c r="R38" s="667" t="s">
        <v>18</v>
      </c>
      <c r="S38" s="668">
        <f t="shared" si="12"/>
        <v>100</v>
      </c>
      <c r="T38" s="667" t="s">
        <v>18</v>
      </c>
      <c r="U38" s="668">
        <f t="shared" si="13"/>
        <v>100</v>
      </c>
      <c r="V38" s="667" t="s">
        <v>18</v>
      </c>
      <c r="W38" s="668">
        <f t="shared" si="14"/>
        <v>100</v>
      </c>
      <c r="X38" s="1263"/>
      <c r="Y38" s="3427"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25"/>
      <c r="Q39" s="1261" t="str">
        <f t="shared" si="11"/>
        <v>市政基础设施</v>
      </c>
      <c r="R39" s="667" t="s">
        <v>18</v>
      </c>
      <c r="S39" s="668">
        <f t="shared" si="12"/>
        <v>100</v>
      </c>
      <c r="T39" s="667" t="s">
        <v>18</v>
      </c>
      <c r="U39" s="668">
        <f t="shared" si="13"/>
        <v>100</v>
      </c>
      <c r="V39" s="667" t="s">
        <v>18</v>
      </c>
      <c r="W39" s="668">
        <f t="shared" si="14"/>
        <v>100</v>
      </c>
      <c r="X39" s="1263"/>
      <c r="Y39" s="3427"/>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25"/>
      <c r="Q40" s="1261" t="str">
        <f t="shared" si="11"/>
        <v>房型</v>
      </c>
      <c r="R40" s="667" t="s">
        <v>18</v>
      </c>
      <c r="S40" s="668">
        <f t="shared" si="12"/>
        <v>100</v>
      </c>
      <c r="T40" s="667" t="s">
        <v>18</v>
      </c>
      <c r="U40" s="668">
        <f t="shared" si="13"/>
        <v>100</v>
      </c>
      <c r="V40" s="667" t="s">
        <v>18</v>
      </c>
      <c r="W40" s="668">
        <f t="shared" si="14"/>
        <v>100</v>
      </c>
      <c r="X40" s="1263"/>
      <c r="Y40" s="3427"/>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25"/>
      <c r="Q42" s="1261" t="str">
        <f t="shared" si="11"/>
        <v>内部装修</v>
      </c>
      <c r="R42" s="667" t="s">
        <v>18</v>
      </c>
      <c r="S42" s="668">
        <f t="shared" si="12"/>
        <v>100</v>
      </c>
      <c r="T42" s="667" t="s">
        <v>18</v>
      </c>
      <c r="U42" s="668">
        <f t="shared" si="13"/>
        <v>100</v>
      </c>
      <c r="V42" s="667" t="s">
        <v>18</v>
      </c>
      <c r="W42" s="668">
        <f t="shared" si="14"/>
        <v>100</v>
      </c>
      <c r="X42" s="1263"/>
      <c r="Y42" s="3427"/>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25"/>
      <c r="Q43" s="1261" t="str">
        <f t="shared" si="11"/>
        <v>内部装修维护情况</v>
      </c>
      <c r="R43" s="667" t="s">
        <v>18</v>
      </c>
      <c r="S43" s="668">
        <f t="shared" si="12"/>
        <v>100</v>
      </c>
      <c r="T43" s="667" t="s">
        <v>18</v>
      </c>
      <c r="U43" s="668">
        <f t="shared" si="13"/>
        <v>100</v>
      </c>
      <c r="V43" s="667" t="s">
        <v>18</v>
      </c>
      <c r="W43" s="668">
        <f t="shared" si="14"/>
        <v>100</v>
      </c>
      <c r="X43" s="1263"/>
      <c r="Y43" s="3427"/>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2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25"/>
      <c r="Q45" s="1261">
        <f t="shared" si="11"/>
        <v>111</v>
      </c>
      <c r="R45" s="667" t="s">
        <v>18</v>
      </c>
      <c r="S45" s="668">
        <f t="shared" si="12"/>
        <v>100</v>
      </c>
      <c r="T45" s="667" t="s">
        <v>18</v>
      </c>
      <c r="U45" s="668">
        <f t="shared" si="13"/>
        <v>100</v>
      </c>
      <c r="V45" s="667" t="s">
        <v>18</v>
      </c>
      <c r="W45" s="668">
        <f t="shared" si="14"/>
        <v>100</v>
      </c>
      <c r="X45" s="1263"/>
      <c r="Y45" s="3427"/>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26"/>
      <c r="Q46" s="1261">
        <f t="shared" si="11"/>
        <v>111</v>
      </c>
      <c r="R46" s="667" t="s">
        <v>17</v>
      </c>
      <c r="S46" s="668">
        <f t="shared" si="12"/>
        <v>100</v>
      </c>
      <c r="T46" s="667" t="s">
        <v>17</v>
      </c>
      <c r="U46" s="668">
        <f t="shared" si="13"/>
        <v>100</v>
      </c>
      <c r="V46" s="667" t="s">
        <v>17</v>
      </c>
      <c r="W46" s="668">
        <f t="shared" si="14"/>
        <v>100</v>
      </c>
      <c r="X46" s="1263"/>
      <c r="Y46" s="3428"/>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429" t="str">
        <f>A47</f>
        <v>成交单价（元/平方米）</v>
      </c>
      <c r="Q47" s="3429"/>
      <c r="R47" s="3390">
        <f>E47</f>
        <v>0</v>
      </c>
      <c r="S47" s="3390"/>
      <c r="T47" s="3390">
        <f>G47</f>
        <v>0</v>
      </c>
      <c r="U47" s="3390"/>
      <c r="V47" s="3390">
        <f>I47</f>
        <v>0</v>
      </c>
      <c r="W47" s="3390"/>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429" t="str">
        <f>A48</f>
        <v>比较价值（元/平方米）</v>
      </c>
      <c r="Q48" s="342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242.22</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72" t="s">
        <v>1775</v>
      </c>
      <c r="Q4" s="3473"/>
      <c r="R4" s="3467" t="s">
        <v>1771</v>
      </c>
      <c r="S4" s="3468"/>
      <c r="T4" s="3467" t="s">
        <v>1772</v>
      </c>
      <c r="U4" s="3468"/>
      <c r="V4" s="3476" t="s">
        <v>1773</v>
      </c>
      <c r="W4" s="3476"/>
      <c r="X4" s="1807"/>
      <c r="Y4" s="3467" t="s">
        <v>1775</v>
      </c>
      <c r="Z4" s="3468"/>
      <c r="AA4" s="3466" t="s">
        <v>1771</v>
      </c>
      <c r="AB4" s="3466" t="s">
        <v>1772</v>
      </c>
      <c r="AC4" s="3469" t="s">
        <v>1773</v>
      </c>
    </row>
    <row r="5" spans="1:29">
      <c r="A5" s="348"/>
      <c r="B5" s="349"/>
      <c r="C5" s="3403" t="s">
        <v>1673</v>
      </c>
      <c r="D5" s="3400"/>
      <c r="E5" s="3397" t="s">
        <v>1674</v>
      </c>
      <c r="F5" s="3398"/>
      <c r="G5" s="3403" t="s">
        <v>1675</v>
      </c>
      <c r="H5" s="3400"/>
      <c r="I5" s="3403" t="s">
        <v>1676</v>
      </c>
      <c r="J5" s="3400"/>
      <c r="K5" s="537"/>
      <c r="L5" s="2482"/>
      <c r="M5" s="2483"/>
      <c r="N5" s="2483"/>
      <c r="O5" s="2483"/>
      <c r="P5" s="3474"/>
      <c r="Q5" s="3414"/>
      <c r="R5" s="3395"/>
      <c r="S5" s="3396"/>
      <c r="T5" s="3395"/>
      <c r="U5" s="3396"/>
      <c r="V5" s="3390"/>
      <c r="W5" s="3390"/>
      <c r="X5" s="1263"/>
      <c r="Y5" s="3395"/>
      <c r="Z5" s="3396"/>
      <c r="AA5" s="3388"/>
      <c r="AB5" s="3388"/>
      <c r="AC5" s="3470"/>
    </row>
    <row r="6" spans="1:29" ht="15" thickBot="1">
      <c r="A6" s="350"/>
      <c r="B6" s="351"/>
      <c r="C6" s="3401" t="s">
        <v>1677</v>
      </c>
      <c r="D6" s="3402"/>
      <c r="E6" s="3404" t="s">
        <v>1677</v>
      </c>
      <c r="F6" s="3405"/>
      <c r="G6" s="3401" t="s">
        <v>1677</v>
      </c>
      <c r="H6" s="3402"/>
      <c r="I6" s="3401" t="s">
        <v>1677</v>
      </c>
      <c r="J6" s="3402"/>
      <c r="K6" s="537" t="s">
        <v>1678</v>
      </c>
      <c r="L6" s="2482"/>
      <c r="M6" s="2483"/>
      <c r="N6" s="2483"/>
      <c r="O6" s="2483"/>
      <c r="P6" s="3475"/>
      <c r="Q6" s="3416"/>
      <c r="R6" s="3395"/>
      <c r="S6" s="3396"/>
      <c r="T6" s="3417"/>
      <c r="U6" s="3418"/>
      <c r="V6" s="3390"/>
      <c r="W6" s="3390"/>
      <c r="X6" s="1263"/>
      <c r="Y6" s="3417"/>
      <c r="Z6" s="3418"/>
      <c r="AA6" s="3389"/>
      <c r="AB6" s="3389"/>
      <c r="AC6" s="3471"/>
    </row>
    <row r="7" spans="1:29" s="102" customFormat="1" ht="15" thickBot="1">
      <c r="A7" s="352" t="s">
        <v>1679</v>
      </c>
      <c r="B7" s="353"/>
      <c r="C7" s="354">
        <f>'数据-取费表'!B2</f>
        <v>45799</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7"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7"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6"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6"/>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6"/>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6"/>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6"/>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6"/>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0" t="s">
        <v>1691</v>
      </c>
      <c r="Q15" s="1261" t="str">
        <f t="shared" si="6"/>
        <v>办公集聚程度</v>
      </c>
      <c r="R15" s="667" t="s">
        <v>14</v>
      </c>
      <c r="S15" s="668">
        <f t="shared" si="0"/>
        <v>100</v>
      </c>
      <c r="T15" s="667" t="s">
        <v>14</v>
      </c>
      <c r="U15" s="668">
        <f t="shared" si="1"/>
        <v>100</v>
      </c>
      <c r="V15" s="667" t="s">
        <v>14</v>
      </c>
      <c r="W15" s="668">
        <f t="shared" si="2"/>
        <v>100</v>
      </c>
      <c r="X15" s="1263"/>
      <c r="Y15" s="3422"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21"/>
      <c r="Q16" s="1261"/>
      <c r="R16" s="667"/>
      <c r="S16" s="668"/>
      <c r="T16" s="667"/>
      <c r="U16" s="668"/>
      <c r="V16" s="667"/>
      <c r="W16" s="668"/>
      <c r="X16" s="1263"/>
      <c r="Y16" s="3423"/>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1"/>
      <c r="Q17" s="1261" t="str">
        <f>B17</f>
        <v>交通便捷度</v>
      </c>
      <c r="R17" s="667" t="s">
        <v>14</v>
      </c>
      <c r="S17" s="668">
        <f>F17</f>
        <v>100</v>
      </c>
      <c r="T17" s="667" t="s">
        <v>14</v>
      </c>
      <c r="U17" s="668">
        <f>H17</f>
        <v>100</v>
      </c>
      <c r="V17" s="667" t="s">
        <v>14</v>
      </c>
      <c r="W17" s="668">
        <f>J17</f>
        <v>100</v>
      </c>
      <c r="X17" s="1263"/>
      <c r="Y17" s="3423"/>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21"/>
      <c r="Q18" s="1261"/>
      <c r="R18" s="667"/>
      <c r="S18" s="668"/>
      <c r="T18" s="667"/>
      <c r="U18" s="668"/>
      <c r="V18" s="667"/>
      <c r="W18" s="668"/>
      <c r="X18" s="1263"/>
      <c r="Y18" s="3423"/>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1"/>
      <c r="Q19" s="1261" t="str">
        <f>B19</f>
        <v>公共配套设施</v>
      </c>
      <c r="R19" s="667" t="s">
        <v>14</v>
      </c>
      <c r="S19" s="668">
        <f>F19</f>
        <v>100</v>
      </c>
      <c r="T19" s="667" t="s">
        <v>14</v>
      </c>
      <c r="U19" s="668">
        <f>H19</f>
        <v>100</v>
      </c>
      <c r="V19" s="667" t="s">
        <v>14</v>
      </c>
      <c r="W19" s="668">
        <f>J19</f>
        <v>100</v>
      </c>
      <c r="X19" s="1263"/>
      <c r="Y19" s="3423"/>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21"/>
      <c r="Q20" s="1261"/>
      <c r="R20" s="667"/>
      <c r="S20" s="668"/>
      <c r="T20" s="667"/>
      <c r="U20" s="668"/>
      <c r="V20" s="667"/>
      <c r="W20" s="668"/>
      <c r="X20" s="1263"/>
      <c r="Y20" s="3423"/>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1"/>
      <c r="Q21" s="1261" t="str">
        <f>B21</f>
        <v>基础设施水平</v>
      </c>
      <c r="R21" s="667" t="s">
        <v>14</v>
      </c>
      <c r="S21" s="668">
        <f>F21</f>
        <v>100</v>
      </c>
      <c r="T21" s="667" t="s">
        <v>14</v>
      </c>
      <c r="U21" s="668">
        <f>H21</f>
        <v>100</v>
      </c>
      <c r="V21" s="667" t="s">
        <v>14</v>
      </c>
      <c r="W21" s="668">
        <f>J21</f>
        <v>100</v>
      </c>
      <c r="X21" s="1263"/>
      <c r="Y21" s="3423"/>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21"/>
      <c r="Q22" s="1261"/>
      <c r="R22" s="667"/>
      <c r="S22" s="668"/>
      <c r="T22" s="667"/>
      <c r="U22" s="668"/>
      <c r="V22" s="667"/>
      <c r="W22" s="668"/>
      <c r="X22" s="1263"/>
      <c r="Y22" s="3423"/>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1"/>
      <c r="Q23" s="1261" t="str">
        <f>B23</f>
        <v>环境质量</v>
      </c>
      <c r="R23" s="667" t="s">
        <v>14</v>
      </c>
      <c r="S23" s="668">
        <f>F23</f>
        <v>100</v>
      </c>
      <c r="T23" s="667" t="s">
        <v>14</v>
      </c>
      <c r="U23" s="668">
        <f>H23</f>
        <v>100</v>
      </c>
      <c r="V23" s="667" t="s">
        <v>14</v>
      </c>
      <c r="W23" s="668">
        <f>J23</f>
        <v>100</v>
      </c>
      <c r="X23" s="1263"/>
      <c r="Y23" s="3423"/>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21"/>
      <c r="Q24" s="1261"/>
      <c r="R24" s="667"/>
      <c r="S24" s="668"/>
      <c r="T24" s="667"/>
      <c r="U24" s="668"/>
      <c r="V24" s="667"/>
      <c r="W24" s="668"/>
      <c r="X24" s="1263"/>
      <c r="Y24" s="3423"/>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21"/>
      <c r="Q25" s="1261" t="str">
        <f>B25</f>
        <v>毗邻道路的类型与等级</v>
      </c>
      <c r="R25" s="667" t="s">
        <v>14</v>
      </c>
      <c r="S25" s="668">
        <f>F25</f>
        <v>100</v>
      </c>
      <c r="T25" s="667" t="s">
        <v>14</v>
      </c>
      <c r="U25" s="668">
        <f>H25</f>
        <v>100</v>
      </c>
      <c r="V25" s="667" t="s">
        <v>14</v>
      </c>
      <c r="W25" s="668">
        <f>J25</f>
        <v>100</v>
      </c>
      <c r="X25" s="1263"/>
      <c r="Y25" s="3423"/>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21"/>
      <c r="Q26" s="1261"/>
      <c r="R26" s="667"/>
      <c r="S26" s="668"/>
      <c r="T26" s="667"/>
      <c r="U26" s="668"/>
      <c r="V26" s="667"/>
      <c r="W26" s="668"/>
      <c r="X26" s="1263"/>
      <c r="Y26" s="3423"/>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1"/>
      <c r="Q27" s="1261" t="str">
        <f t="shared" ref="Q27:Q47" si="11">B27</f>
        <v>楼层</v>
      </c>
      <c r="R27" s="667" t="s">
        <v>14</v>
      </c>
      <c r="S27" s="668">
        <f>F27</f>
        <v>100</v>
      </c>
      <c r="T27" s="667" t="s">
        <v>14</v>
      </c>
      <c r="U27" s="668">
        <f>H27</f>
        <v>100</v>
      </c>
      <c r="V27" s="667" t="s">
        <v>14</v>
      </c>
      <c r="W27" s="668">
        <f>J27</f>
        <v>100</v>
      </c>
      <c r="X27" s="1263"/>
      <c r="Y27" s="3423"/>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1"/>
      <c r="Q28" s="530" t="str">
        <f t="shared" si="11"/>
        <v>朝向</v>
      </c>
      <c r="R28" s="664" t="s">
        <v>14</v>
      </c>
      <c r="S28" s="665">
        <f>F28</f>
        <v>100</v>
      </c>
      <c r="T28" s="664" t="s">
        <v>14</v>
      </c>
      <c r="U28" s="665">
        <f>H28</f>
        <v>100</v>
      </c>
      <c r="V28" s="664" t="s">
        <v>14</v>
      </c>
      <c r="W28" s="665">
        <f>J28</f>
        <v>100</v>
      </c>
      <c r="X28" s="666"/>
      <c r="Y28" s="3423"/>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1"/>
      <c r="Q29" s="1261">
        <f t="shared" si="11"/>
        <v>111</v>
      </c>
      <c r="R29" s="667" t="s">
        <v>14</v>
      </c>
      <c r="S29" s="668">
        <f t="shared" ref="S29:S47" si="12">F29</f>
        <v>100</v>
      </c>
      <c r="T29" s="667" t="s">
        <v>14</v>
      </c>
      <c r="U29" s="668">
        <f t="shared" ref="U29:U47" si="13">H29</f>
        <v>100</v>
      </c>
      <c r="V29" s="667" t="s">
        <v>14</v>
      </c>
      <c r="W29" s="668">
        <f t="shared" ref="W29:W47" si="14">J29</f>
        <v>100</v>
      </c>
      <c r="X29" s="1263"/>
      <c r="Y29" s="3423"/>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1"/>
      <c r="Q30" s="1261">
        <f t="shared" si="11"/>
        <v>111</v>
      </c>
      <c r="R30" s="667" t="s">
        <v>14</v>
      </c>
      <c r="S30" s="668">
        <f t="shared" si="12"/>
        <v>100</v>
      </c>
      <c r="T30" s="667" t="s">
        <v>14</v>
      </c>
      <c r="U30" s="668">
        <f t="shared" si="13"/>
        <v>100</v>
      </c>
      <c r="V30" s="667" t="s">
        <v>14</v>
      </c>
      <c r="W30" s="668">
        <f t="shared" si="14"/>
        <v>100</v>
      </c>
      <c r="X30" s="1263"/>
      <c r="Y30" s="3423"/>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1"/>
      <c r="Q31" s="1261">
        <f t="shared" si="11"/>
        <v>111</v>
      </c>
      <c r="R31" s="667" t="s">
        <v>14</v>
      </c>
      <c r="S31" s="668">
        <f t="shared" si="12"/>
        <v>100</v>
      </c>
      <c r="T31" s="667" t="s">
        <v>14</v>
      </c>
      <c r="U31" s="668">
        <f t="shared" si="13"/>
        <v>100</v>
      </c>
      <c r="V31" s="667" t="s">
        <v>14</v>
      </c>
      <c r="W31" s="668">
        <f t="shared" si="14"/>
        <v>100</v>
      </c>
      <c r="X31" s="1263"/>
      <c r="Y31" s="3423"/>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1"/>
      <c r="Q32" s="1261">
        <f t="shared" si="11"/>
        <v>111</v>
      </c>
      <c r="R32" s="667" t="s">
        <v>14</v>
      </c>
      <c r="S32" s="668">
        <f t="shared" si="12"/>
        <v>100</v>
      </c>
      <c r="T32" s="667" t="s">
        <v>14</v>
      </c>
      <c r="U32" s="668">
        <f t="shared" si="13"/>
        <v>100</v>
      </c>
      <c r="V32" s="667" t="s">
        <v>14</v>
      </c>
      <c r="W32" s="668">
        <f t="shared" si="14"/>
        <v>100</v>
      </c>
      <c r="X32" s="1263"/>
      <c r="Y32" s="3423"/>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24" t="s">
        <v>1696</v>
      </c>
      <c r="Q33" s="1261" t="str">
        <f t="shared" si="11"/>
        <v>建筑类型</v>
      </c>
      <c r="R33" s="667" t="s">
        <v>14</v>
      </c>
      <c r="S33" s="668">
        <f t="shared" si="12"/>
        <v>100</v>
      </c>
      <c r="T33" s="667" t="s">
        <v>14</v>
      </c>
      <c r="U33" s="668">
        <f t="shared" si="13"/>
        <v>100</v>
      </c>
      <c r="V33" s="667" t="s">
        <v>14</v>
      </c>
      <c r="W33" s="668">
        <f t="shared" si="14"/>
        <v>100</v>
      </c>
      <c r="X33" s="1263"/>
      <c r="Y33" s="3427"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5"/>
      <c r="Q35" s="1261" t="str">
        <f t="shared" si="11"/>
        <v>建筑结构</v>
      </c>
      <c r="R35" s="667" t="s">
        <v>14</v>
      </c>
      <c r="S35" s="668">
        <f t="shared" si="12"/>
        <v>100</v>
      </c>
      <c r="T35" s="667" t="s">
        <v>14</v>
      </c>
      <c r="U35" s="668">
        <f t="shared" si="13"/>
        <v>100</v>
      </c>
      <c r="V35" s="667" t="s">
        <v>14</v>
      </c>
      <c r="W35" s="668">
        <f t="shared" si="14"/>
        <v>100</v>
      </c>
      <c r="X35" s="1263"/>
      <c r="Y35" s="3427"/>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5"/>
      <c r="Q36" s="1261" t="str">
        <f t="shared" si="11"/>
        <v>公共部分装修</v>
      </c>
      <c r="R36" s="667" t="s">
        <v>14</v>
      </c>
      <c r="S36" s="668">
        <f t="shared" si="12"/>
        <v>100</v>
      </c>
      <c r="T36" s="667" t="s">
        <v>14</v>
      </c>
      <c r="U36" s="668">
        <f t="shared" si="13"/>
        <v>100</v>
      </c>
      <c r="V36" s="667" t="s">
        <v>14</v>
      </c>
      <c r="W36" s="668">
        <f t="shared" si="14"/>
        <v>100</v>
      </c>
      <c r="X36" s="1263"/>
      <c r="Y36" s="3427"/>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5"/>
      <c r="Q37" s="1261" t="str">
        <f t="shared" si="11"/>
        <v>成新度</v>
      </c>
      <c r="R37" s="667" t="s">
        <v>14</v>
      </c>
      <c r="S37" s="668" t="e">
        <f t="shared" si="12"/>
        <v>#N/A</v>
      </c>
      <c r="T37" s="667" t="s">
        <v>14</v>
      </c>
      <c r="U37" s="668" t="e">
        <f t="shared" si="13"/>
        <v>#N/A</v>
      </c>
      <c r="V37" s="667" t="s">
        <v>14</v>
      </c>
      <c r="W37" s="668" t="e">
        <f t="shared" si="14"/>
        <v>#N/A</v>
      </c>
      <c r="X37" s="1263"/>
      <c r="Y37" s="3427"/>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5" t="s">
        <v>1696</v>
      </c>
      <c r="Q39" s="1261" t="str">
        <f t="shared" si="11"/>
        <v>物业管理</v>
      </c>
      <c r="R39" s="667" t="s">
        <v>14</v>
      </c>
      <c r="S39" s="668">
        <f t="shared" si="12"/>
        <v>100</v>
      </c>
      <c r="T39" s="667" t="s">
        <v>14</v>
      </c>
      <c r="U39" s="668">
        <f t="shared" si="13"/>
        <v>100</v>
      </c>
      <c r="V39" s="667" t="s">
        <v>14</v>
      </c>
      <c r="W39" s="668">
        <f t="shared" si="14"/>
        <v>100</v>
      </c>
      <c r="X39" s="1263"/>
      <c r="Y39" s="3427"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5"/>
      <c r="Q40" s="1261" t="str">
        <f t="shared" si="11"/>
        <v>市政基础设施</v>
      </c>
      <c r="R40" s="667" t="s">
        <v>14</v>
      </c>
      <c r="S40" s="668">
        <f t="shared" si="12"/>
        <v>100</v>
      </c>
      <c r="T40" s="667" t="s">
        <v>14</v>
      </c>
      <c r="U40" s="668">
        <f t="shared" si="13"/>
        <v>100</v>
      </c>
      <c r="V40" s="667" t="s">
        <v>14</v>
      </c>
      <c r="W40" s="668">
        <f t="shared" si="14"/>
        <v>100</v>
      </c>
      <c r="X40" s="1263"/>
      <c r="Y40" s="3427"/>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5"/>
      <c r="Q41" s="1261" t="str">
        <f t="shared" si="11"/>
        <v>层高</v>
      </c>
      <c r="R41" s="667" t="s">
        <v>14</v>
      </c>
      <c r="S41" s="668">
        <f t="shared" si="12"/>
        <v>100</v>
      </c>
      <c r="T41" s="667" t="s">
        <v>14</v>
      </c>
      <c r="U41" s="668">
        <f t="shared" si="13"/>
        <v>100</v>
      </c>
      <c r="V41" s="667" t="s">
        <v>14</v>
      </c>
      <c r="W41" s="668">
        <f t="shared" si="14"/>
        <v>100</v>
      </c>
      <c r="X41" s="1263"/>
      <c r="Y41" s="3427"/>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5"/>
      <c r="Q43" s="1261" t="str">
        <f t="shared" si="11"/>
        <v>内部装修</v>
      </c>
      <c r="R43" s="667" t="s">
        <v>14</v>
      </c>
      <c r="S43" s="668">
        <f t="shared" si="12"/>
        <v>100</v>
      </c>
      <c r="T43" s="667" t="s">
        <v>14</v>
      </c>
      <c r="U43" s="668">
        <f t="shared" si="13"/>
        <v>100</v>
      </c>
      <c r="V43" s="667" t="s">
        <v>14</v>
      </c>
      <c r="W43" s="668">
        <f t="shared" si="14"/>
        <v>100</v>
      </c>
      <c r="X43" s="1263"/>
      <c r="Y43" s="3427"/>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25"/>
      <c r="Q44" s="1261" t="str">
        <f t="shared" si="11"/>
        <v>内部装修维护情况</v>
      </c>
      <c r="R44" s="667" t="s">
        <v>14</v>
      </c>
      <c r="S44" s="668">
        <f t="shared" si="12"/>
        <v>100</v>
      </c>
      <c r="T44" s="667" t="s">
        <v>14</v>
      </c>
      <c r="U44" s="668">
        <f t="shared" si="13"/>
        <v>100</v>
      </c>
      <c r="V44" s="667" t="s">
        <v>14</v>
      </c>
      <c r="W44" s="668">
        <f t="shared" si="14"/>
        <v>100</v>
      </c>
      <c r="X44" s="1263"/>
      <c r="Y44" s="3427"/>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5"/>
      <c r="Q46" s="1261">
        <f t="shared" si="11"/>
        <v>111</v>
      </c>
      <c r="R46" s="667" t="s">
        <v>14</v>
      </c>
      <c r="S46" s="668">
        <f t="shared" si="12"/>
        <v>100</v>
      </c>
      <c r="T46" s="667" t="s">
        <v>14</v>
      </c>
      <c r="U46" s="668">
        <f t="shared" si="13"/>
        <v>100</v>
      </c>
      <c r="V46" s="667" t="s">
        <v>14</v>
      </c>
      <c r="W46" s="668">
        <f t="shared" si="14"/>
        <v>100</v>
      </c>
      <c r="X46" s="1263"/>
      <c r="Y46" s="3427"/>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26"/>
      <c r="Q47" s="1261">
        <f t="shared" si="11"/>
        <v>111</v>
      </c>
      <c r="R47" s="667" t="s">
        <v>14</v>
      </c>
      <c r="S47" s="668">
        <f t="shared" si="12"/>
        <v>100</v>
      </c>
      <c r="T47" s="667" t="s">
        <v>14</v>
      </c>
      <c r="U47" s="668">
        <f t="shared" si="13"/>
        <v>100</v>
      </c>
      <c r="V47" s="667" t="s">
        <v>14</v>
      </c>
      <c r="W47" s="668">
        <f t="shared" si="14"/>
        <v>100</v>
      </c>
      <c r="X47" s="1263"/>
      <c r="Y47" s="3428"/>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6" t="str">
        <f>A48</f>
        <v>成交单价（元/平方米）</v>
      </c>
      <c r="Q48" s="3429"/>
      <c r="R48" s="3390">
        <f>E48</f>
        <v>0</v>
      </c>
      <c r="S48" s="3390"/>
      <c r="T48" s="3390">
        <f>G48</f>
        <v>0</v>
      </c>
      <c r="U48" s="3390"/>
      <c r="V48" s="3390">
        <f>I48</f>
        <v>0</v>
      </c>
      <c r="W48" s="3390"/>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6" t="str">
        <f>A49</f>
        <v>比较价值（元/平方米）</v>
      </c>
      <c r="Q49" s="342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242.22</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58"/>
      <c r="M4" s="859"/>
      <c r="N4" s="859"/>
      <c r="O4" s="859"/>
      <c r="P4" s="3411" t="s">
        <v>1775</v>
      </c>
      <c r="Q4" s="3412"/>
      <c r="R4" s="3393" t="s">
        <v>1771</v>
      </c>
      <c r="S4" s="3394"/>
      <c r="T4" s="3393" t="s">
        <v>1772</v>
      </c>
      <c r="U4" s="3394"/>
      <c r="V4" s="3390" t="s">
        <v>1773</v>
      </c>
      <c r="W4" s="3390"/>
      <c r="X4" s="1263"/>
      <c r="Y4" s="3393" t="s">
        <v>1775</v>
      </c>
      <c r="Z4" s="3394"/>
      <c r="AA4" s="3387" t="s">
        <v>1771</v>
      </c>
      <c r="AB4" s="3388" t="s">
        <v>1772</v>
      </c>
      <c r="AC4" s="3387" t="s">
        <v>1773</v>
      </c>
    </row>
    <row r="5" spans="1:29">
      <c r="A5" s="348"/>
      <c r="B5" s="349"/>
      <c r="C5" s="3403" t="s">
        <v>1673</v>
      </c>
      <c r="D5" s="3400"/>
      <c r="E5" s="3397" t="s">
        <v>1674</v>
      </c>
      <c r="F5" s="3398"/>
      <c r="G5" s="3403" t="s">
        <v>1675</v>
      </c>
      <c r="H5" s="3400"/>
      <c r="I5" s="3403" t="s">
        <v>1676</v>
      </c>
      <c r="J5" s="3400"/>
      <c r="K5" s="537"/>
      <c r="L5" s="858"/>
      <c r="M5" s="859"/>
      <c r="N5" s="859"/>
      <c r="O5" s="859"/>
      <c r="P5" s="3413"/>
      <c r="Q5" s="3414"/>
      <c r="R5" s="3395"/>
      <c r="S5" s="3396"/>
      <c r="T5" s="3395"/>
      <c r="U5" s="3396"/>
      <c r="V5" s="3390"/>
      <c r="W5" s="3390"/>
      <c r="X5" s="1263"/>
      <c r="Y5" s="3395"/>
      <c r="Z5" s="3396"/>
      <c r="AA5" s="3388"/>
      <c r="AB5" s="3388"/>
      <c r="AC5" s="3388"/>
    </row>
    <row r="6" spans="1:29" ht="15" thickBot="1">
      <c r="A6" s="350"/>
      <c r="B6" s="351"/>
      <c r="C6" s="3401" t="s">
        <v>1677</v>
      </c>
      <c r="D6" s="3402"/>
      <c r="E6" s="3404" t="s">
        <v>1677</v>
      </c>
      <c r="F6" s="3405"/>
      <c r="G6" s="3401" t="s">
        <v>1677</v>
      </c>
      <c r="H6" s="3402"/>
      <c r="I6" s="3401" t="s">
        <v>1677</v>
      </c>
      <c r="J6" s="3402"/>
      <c r="K6" s="537" t="s">
        <v>1678</v>
      </c>
      <c r="L6" s="858"/>
      <c r="M6" s="859"/>
      <c r="N6" s="859"/>
      <c r="O6" s="859"/>
      <c r="P6" s="3415"/>
      <c r="Q6" s="3416"/>
      <c r="R6" s="3395"/>
      <c r="S6" s="3396"/>
      <c r="T6" s="3417"/>
      <c r="U6" s="3418"/>
      <c r="V6" s="3390"/>
      <c r="W6" s="3390"/>
      <c r="X6" s="1263"/>
      <c r="Y6" s="3417"/>
      <c r="Z6" s="3418"/>
      <c r="AA6" s="3389"/>
      <c r="AB6" s="3389"/>
      <c r="AC6" s="3389"/>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0"/>
      <c r="M7" s="861"/>
      <c r="N7" s="861"/>
      <c r="O7" s="861"/>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29"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429"/>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29"/>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29"/>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29"/>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29"/>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2" t="s">
        <v>1691</v>
      </c>
      <c r="Q15" s="1261" t="str">
        <f t="shared" si="6"/>
        <v>产业集聚程度</v>
      </c>
      <c r="R15" s="667" t="s">
        <v>14</v>
      </c>
      <c r="S15" s="668">
        <f t="shared" si="0"/>
        <v>100</v>
      </c>
      <c r="T15" s="667" t="s">
        <v>14</v>
      </c>
      <c r="U15" s="668">
        <f t="shared" si="1"/>
        <v>100</v>
      </c>
      <c r="V15" s="667" t="s">
        <v>14</v>
      </c>
      <c r="W15" s="668">
        <f t="shared" si="2"/>
        <v>100</v>
      </c>
      <c r="X15" s="1263"/>
      <c r="Y15" s="3422"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3"/>
      <c r="Q16" s="1261"/>
      <c r="R16" s="667"/>
      <c r="S16" s="668"/>
      <c r="T16" s="667"/>
      <c r="U16" s="668"/>
      <c r="V16" s="667"/>
      <c r="W16" s="668"/>
      <c r="X16" s="1263"/>
      <c r="Y16" s="3423"/>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3"/>
      <c r="Q17" s="1261" t="str">
        <f>B17</f>
        <v>交通便捷度</v>
      </c>
      <c r="R17" s="667" t="s">
        <v>14</v>
      </c>
      <c r="S17" s="668">
        <f>F17</f>
        <v>100</v>
      </c>
      <c r="T17" s="667" t="s">
        <v>14</v>
      </c>
      <c r="U17" s="668">
        <f>H17</f>
        <v>100</v>
      </c>
      <c r="V17" s="667" t="s">
        <v>14</v>
      </c>
      <c r="W17" s="668">
        <f>J17</f>
        <v>100</v>
      </c>
      <c r="X17" s="1263"/>
      <c r="Y17" s="342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3"/>
      <c r="Q18" s="1261"/>
      <c r="R18" s="667"/>
      <c r="S18" s="668"/>
      <c r="T18" s="667"/>
      <c r="U18" s="668"/>
      <c r="V18" s="667"/>
      <c r="W18" s="668"/>
      <c r="X18" s="1263"/>
      <c r="Y18" s="3423"/>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3"/>
      <c r="Q19" s="1261" t="str">
        <f>B19</f>
        <v>公共配套设施</v>
      </c>
      <c r="R19" s="667" t="s">
        <v>14</v>
      </c>
      <c r="S19" s="668">
        <f>F19</f>
        <v>100</v>
      </c>
      <c r="T19" s="667" t="s">
        <v>14</v>
      </c>
      <c r="U19" s="668">
        <f>H19</f>
        <v>100</v>
      </c>
      <c r="V19" s="667" t="s">
        <v>14</v>
      </c>
      <c r="W19" s="668">
        <f>J19</f>
        <v>100</v>
      </c>
      <c r="X19" s="1263"/>
      <c r="Y19" s="342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3"/>
      <c r="Q20" s="1261"/>
      <c r="R20" s="667"/>
      <c r="S20" s="668"/>
      <c r="T20" s="667"/>
      <c r="U20" s="668"/>
      <c r="V20" s="667"/>
      <c r="W20" s="668"/>
      <c r="X20" s="1263"/>
      <c r="Y20" s="3423"/>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3"/>
      <c r="Q21" s="1261" t="str">
        <f>B21</f>
        <v>基础设施水平</v>
      </c>
      <c r="R21" s="667" t="s">
        <v>14</v>
      </c>
      <c r="S21" s="668">
        <f>F21</f>
        <v>100</v>
      </c>
      <c r="T21" s="667" t="s">
        <v>14</v>
      </c>
      <c r="U21" s="668">
        <f>H21</f>
        <v>100</v>
      </c>
      <c r="V21" s="667" t="s">
        <v>14</v>
      </c>
      <c r="W21" s="668">
        <f>J21</f>
        <v>100</v>
      </c>
      <c r="X21" s="1263"/>
      <c r="Y21" s="342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3"/>
      <c r="Q22" s="1261"/>
      <c r="R22" s="667"/>
      <c r="S22" s="668"/>
      <c r="T22" s="667"/>
      <c r="U22" s="668"/>
      <c r="V22" s="667"/>
      <c r="W22" s="668"/>
      <c r="X22" s="1263"/>
      <c r="Y22" s="3423"/>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3"/>
      <c r="Q23" s="1261" t="str">
        <f>B23</f>
        <v>环境质量</v>
      </c>
      <c r="R23" s="667" t="s">
        <v>14</v>
      </c>
      <c r="S23" s="668">
        <f>F23</f>
        <v>100</v>
      </c>
      <c r="T23" s="667" t="s">
        <v>14</v>
      </c>
      <c r="U23" s="668">
        <f>H23</f>
        <v>100</v>
      </c>
      <c r="V23" s="667" t="s">
        <v>14</v>
      </c>
      <c r="W23" s="668">
        <f>J23</f>
        <v>100</v>
      </c>
      <c r="X23" s="1263"/>
      <c r="Y23" s="3423"/>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3"/>
      <c r="Q24" s="1261"/>
      <c r="R24" s="667"/>
      <c r="S24" s="668"/>
      <c r="T24" s="667"/>
      <c r="U24" s="668"/>
      <c r="V24" s="667"/>
      <c r="W24" s="668"/>
      <c r="X24" s="1263"/>
      <c r="Y24" s="3423"/>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3"/>
      <c r="Q25" s="1261">
        <f>B25</f>
        <v>111</v>
      </c>
      <c r="R25" s="667" t="s">
        <v>14</v>
      </c>
      <c r="S25" s="668">
        <f>F25</f>
        <v>100</v>
      </c>
      <c r="T25" s="667" t="s">
        <v>14</v>
      </c>
      <c r="U25" s="668">
        <f>H25</f>
        <v>100</v>
      </c>
      <c r="V25" s="667" t="s">
        <v>14</v>
      </c>
      <c r="W25" s="668">
        <f>J25</f>
        <v>100</v>
      </c>
      <c r="X25" s="1263"/>
      <c r="Y25" s="3423"/>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3"/>
      <c r="Q26" s="1261">
        <f t="shared" ref="Q26:Q40" si="11">B26</f>
        <v>111</v>
      </c>
      <c r="R26" s="667" t="s">
        <v>14</v>
      </c>
      <c r="S26" s="668">
        <f>F26</f>
        <v>100</v>
      </c>
      <c r="T26" s="667" t="s">
        <v>14</v>
      </c>
      <c r="U26" s="668">
        <f>H26</f>
        <v>100</v>
      </c>
      <c r="V26" s="667" t="s">
        <v>14</v>
      </c>
      <c r="W26" s="668">
        <f>J26</f>
        <v>100</v>
      </c>
      <c r="X26" s="1263"/>
      <c r="Y26" s="3423"/>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3"/>
      <c r="Q27" s="530">
        <f t="shared" si="11"/>
        <v>111</v>
      </c>
      <c r="R27" s="664" t="s">
        <v>14</v>
      </c>
      <c r="S27" s="665">
        <f>F27</f>
        <v>100</v>
      </c>
      <c r="T27" s="664" t="s">
        <v>14</v>
      </c>
      <c r="U27" s="665">
        <f>H27</f>
        <v>100</v>
      </c>
      <c r="V27" s="664" t="s">
        <v>14</v>
      </c>
      <c r="W27" s="665">
        <f>J27</f>
        <v>100</v>
      </c>
      <c r="X27" s="666"/>
      <c r="Y27" s="3423"/>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3"/>
      <c r="Q28" s="1261">
        <f t="shared" si="11"/>
        <v>111</v>
      </c>
      <c r="R28" s="667" t="s">
        <v>14</v>
      </c>
      <c r="S28" s="668">
        <f t="shared" ref="S28:S40" si="12">F28</f>
        <v>100</v>
      </c>
      <c r="T28" s="667" t="s">
        <v>14</v>
      </c>
      <c r="U28" s="668">
        <f t="shared" ref="U28:U40" si="13">H28</f>
        <v>100</v>
      </c>
      <c r="V28" s="667" t="s">
        <v>14</v>
      </c>
      <c r="W28" s="668">
        <f t="shared" ref="W28:W40" si="14">J28</f>
        <v>100</v>
      </c>
      <c r="X28" s="1263"/>
      <c r="Y28" s="3423"/>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1" t="s">
        <v>1696</v>
      </c>
      <c r="Q29" s="1261" t="str">
        <f t="shared" si="11"/>
        <v>建筑类型</v>
      </c>
      <c r="R29" s="667" t="s">
        <v>14</v>
      </c>
      <c r="S29" s="668">
        <f t="shared" si="12"/>
        <v>100</v>
      </c>
      <c r="T29" s="667" t="s">
        <v>14</v>
      </c>
      <c r="U29" s="668">
        <f t="shared" si="13"/>
        <v>100</v>
      </c>
      <c r="V29" s="667" t="s">
        <v>14</v>
      </c>
      <c r="W29" s="668">
        <f t="shared" si="14"/>
        <v>100</v>
      </c>
      <c r="X29" s="1263"/>
      <c r="Y29" s="3427"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27"/>
      <c r="Q31" s="1261" t="str">
        <f t="shared" si="11"/>
        <v>建筑结构</v>
      </c>
      <c r="R31" s="667" t="s">
        <v>14</v>
      </c>
      <c r="S31" s="668">
        <f t="shared" si="12"/>
        <v>100</v>
      </c>
      <c r="T31" s="667" t="s">
        <v>14</v>
      </c>
      <c r="U31" s="668">
        <f t="shared" si="13"/>
        <v>100</v>
      </c>
      <c r="V31" s="667" t="s">
        <v>14</v>
      </c>
      <c r="W31" s="668">
        <f t="shared" si="14"/>
        <v>100</v>
      </c>
      <c r="X31" s="1263"/>
      <c r="Y31" s="3427"/>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27"/>
      <c r="Q32" s="1261" t="str">
        <f t="shared" si="11"/>
        <v>公共部分装修</v>
      </c>
      <c r="R32" s="667" t="s">
        <v>14</v>
      </c>
      <c r="S32" s="668">
        <f t="shared" si="12"/>
        <v>100</v>
      </c>
      <c r="T32" s="667" t="s">
        <v>14</v>
      </c>
      <c r="U32" s="668">
        <f t="shared" si="13"/>
        <v>100</v>
      </c>
      <c r="V32" s="667" t="s">
        <v>14</v>
      </c>
      <c r="W32" s="668">
        <f t="shared" si="14"/>
        <v>100</v>
      </c>
      <c r="X32" s="1263"/>
      <c r="Y32" s="3427"/>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27"/>
      <c r="Q33" s="1261" t="str">
        <f t="shared" si="11"/>
        <v>成新度</v>
      </c>
      <c r="R33" s="667" t="s">
        <v>14</v>
      </c>
      <c r="S33" s="668" t="e">
        <f t="shared" si="12"/>
        <v>#N/A</v>
      </c>
      <c r="T33" s="667" t="s">
        <v>14</v>
      </c>
      <c r="U33" s="668" t="e">
        <f t="shared" si="13"/>
        <v>#N/A</v>
      </c>
      <c r="V33" s="667" t="s">
        <v>14</v>
      </c>
      <c r="W33" s="668" t="e">
        <f t="shared" si="14"/>
        <v>#N/A</v>
      </c>
      <c r="X33" s="1263"/>
      <c r="Y33" s="3427"/>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27" t="s">
        <v>1696</v>
      </c>
      <c r="Q35" s="1261" t="str">
        <f t="shared" si="11"/>
        <v>市政基础设施</v>
      </c>
      <c r="R35" s="667" t="s">
        <v>14</v>
      </c>
      <c r="S35" s="668">
        <f t="shared" si="12"/>
        <v>100</v>
      </c>
      <c r="T35" s="667" t="s">
        <v>14</v>
      </c>
      <c r="U35" s="668">
        <f t="shared" si="13"/>
        <v>100</v>
      </c>
      <c r="V35" s="667" t="s">
        <v>14</v>
      </c>
      <c r="W35" s="668">
        <f t="shared" si="14"/>
        <v>100</v>
      </c>
      <c r="X35" s="1263"/>
      <c r="Y35" s="3427"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27"/>
      <c r="Q36" s="1261" t="str">
        <f t="shared" si="11"/>
        <v>内部装修</v>
      </c>
      <c r="R36" s="667" t="s">
        <v>14</v>
      </c>
      <c r="S36" s="668">
        <f t="shared" si="12"/>
        <v>100</v>
      </c>
      <c r="T36" s="667" t="s">
        <v>14</v>
      </c>
      <c r="U36" s="668">
        <f t="shared" si="13"/>
        <v>100</v>
      </c>
      <c r="V36" s="667" t="s">
        <v>14</v>
      </c>
      <c r="W36" s="668">
        <f t="shared" si="14"/>
        <v>100</v>
      </c>
      <c r="X36" s="1263"/>
      <c r="Y36" s="3427"/>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27"/>
      <c r="Q37" s="1261" t="str">
        <f t="shared" si="11"/>
        <v>内部装修状况</v>
      </c>
      <c r="R37" s="667" t="s">
        <v>14</v>
      </c>
      <c r="S37" s="668">
        <f t="shared" si="12"/>
        <v>100</v>
      </c>
      <c r="T37" s="667" t="s">
        <v>14</v>
      </c>
      <c r="U37" s="668">
        <f t="shared" si="13"/>
        <v>100</v>
      </c>
      <c r="V37" s="667" t="s">
        <v>14</v>
      </c>
      <c r="W37" s="668">
        <f t="shared" si="14"/>
        <v>100</v>
      </c>
      <c r="X37" s="1263"/>
      <c r="Y37" s="3427"/>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27"/>
      <c r="Q39" s="1261">
        <f t="shared" si="11"/>
        <v>111</v>
      </c>
      <c r="R39" s="667" t="s">
        <v>14</v>
      </c>
      <c r="S39" s="668">
        <f t="shared" si="12"/>
        <v>100</v>
      </c>
      <c r="T39" s="667" t="s">
        <v>14</v>
      </c>
      <c r="U39" s="668">
        <f t="shared" si="13"/>
        <v>100</v>
      </c>
      <c r="V39" s="667" t="s">
        <v>14</v>
      </c>
      <c r="W39" s="668">
        <f t="shared" si="14"/>
        <v>100</v>
      </c>
      <c r="X39" s="1263"/>
      <c r="Y39" s="3427"/>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28"/>
      <c r="Q40" s="1261">
        <f t="shared" si="11"/>
        <v>111</v>
      </c>
      <c r="R40" s="667" t="s">
        <v>14</v>
      </c>
      <c r="S40" s="668">
        <f t="shared" si="12"/>
        <v>100</v>
      </c>
      <c r="T40" s="667" t="s">
        <v>14</v>
      </c>
      <c r="U40" s="668">
        <f t="shared" si="13"/>
        <v>100</v>
      </c>
      <c r="V40" s="667" t="s">
        <v>14</v>
      </c>
      <c r="W40" s="668">
        <f t="shared" si="14"/>
        <v>100</v>
      </c>
      <c r="X40" s="1263"/>
      <c r="Y40" s="3428"/>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29" t="str">
        <f>A41</f>
        <v>成交单价（元/平方米）</v>
      </c>
      <c r="Q41" s="3429"/>
      <c r="R41" s="3390">
        <f>E41</f>
        <v>0</v>
      </c>
      <c r="S41" s="3390"/>
      <c r="T41" s="3390">
        <f>G41</f>
        <v>0</v>
      </c>
      <c r="U41" s="3390"/>
      <c r="V41" s="3390">
        <f>I41</f>
        <v>0</v>
      </c>
      <c r="W41" s="3390"/>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29" t="str">
        <f>A42</f>
        <v>比较价值（元/平方米）</v>
      </c>
      <c r="Q42" s="342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393" t="s">
        <v>1771</v>
      </c>
      <c r="S4" s="3394"/>
      <c r="T4" s="3393" t="s">
        <v>1772</v>
      </c>
      <c r="U4" s="3394"/>
      <c r="V4" s="3390" t="s">
        <v>1773</v>
      </c>
      <c r="W4" s="3390"/>
      <c r="X4" s="1263"/>
      <c r="Y4" s="3393" t="s">
        <v>1775</v>
      </c>
      <c r="Z4" s="3394"/>
      <c r="AA4" s="3387" t="s">
        <v>1771</v>
      </c>
      <c r="AB4" s="3388" t="s">
        <v>1772</v>
      </c>
      <c r="AC4" s="3387" t="s">
        <v>1773</v>
      </c>
    </row>
    <row r="5" spans="1:29">
      <c r="A5" s="348"/>
      <c r="B5" s="349"/>
      <c r="C5" s="3403" t="s">
        <v>1673</v>
      </c>
      <c r="D5" s="3400"/>
      <c r="E5" s="3397" t="s">
        <v>1674</v>
      </c>
      <c r="F5" s="3398"/>
      <c r="G5" s="3403" t="s">
        <v>1675</v>
      </c>
      <c r="H5" s="3400"/>
      <c r="I5" s="3403" t="s">
        <v>1676</v>
      </c>
      <c r="J5" s="3400"/>
      <c r="K5" s="537"/>
      <c r="L5" s="2482"/>
      <c r="M5" s="2483"/>
      <c r="N5" s="2483"/>
      <c r="O5" s="2483"/>
      <c r="P5" s="3413"/>
      <c r="Q5" s="3414"/>
      <c r="R5" s="3395"/>
      <c r="S5" s="3396"/>
      <c r="T5" s="3395"/>
      <c r="U5" s="3396"/>
      <c r="V5" s="3390"/>
      <c r="W5" s="3390"/>
      <c r="X5" s="1263"/>
      <c r="Y5" s="3395"/>
      <c r="Z5" s="3396"/>
      <c r="AA5" s="3388"/>
      <c r="AB5" s="3388"/>
      <c r="AC5" s="3388"/>
    </row>
    <row r="6" spans="1:29" ht="15" thickBot="1">
      <c r="A6" s="350"/>
      <c r="B6" s="351"/>
      <c r="C6" s="3401" t="s">
        <v>1677</v>
      </c>
      <c r="D6" s="3402"/>
      <c r="E6" s="3404" t="s">
        <v>1677</v>
      </c>
      <c r="F6" s="3405"/>
      <c r="G6" s="3401" t="s">
        <v>1677</v>
      </c>
      <c r="H6" s="3402"/>
      <c r="I6" s="3401" t="s">
        <v>1677</v>
      </c>
      <c r="J6" s="3402"/>
      <c r="K6" s="537" t="s">
        <v>1678</v>
      </c>
      <c r="L6" s="2482"/>
      <c r="M6" s="2483"/>
      <c r="N6" s="2483"/>
      <c r="O6" s="2483"/>
      <c r="P6" s="3415"/>
      <c r="Q6" s="3416"/>
      <c r="R6" s="3395"/>
      <c r="S6" s="3396"/>
      <c r="T6" s="3417"/>
      <c r="U6" s="3418"/>
      <c r="V6" s="3390"/>
      <c r="W6" s="3390"/>
      <c r="X6" s="1263"/>
      <c r="Y6" s="3417"/>
      <c r="Z6" s="3418"/>
      <c r="AA6" s="3389"/>
      <c r="AB6" s="3389"/>
      <c r="AC6" s="3389"/>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29"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29"/>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29"/>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29"/>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29"/>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2" t="s">
        <v>1691</v>
      </c>
      <c r="Q14" s="1261" t="str">
        <f t="shared" si="6"/>
        <v>交通便捷度</v>
      </c>
      <c r="R14" s="667" t="s">
        <v>14</v>
      </c>
      <c r="S14" s="668">
        <f t="shared" si="0"/>
        <v>100</v>
      </c>
      <c r="T14" s="667" t="s">
        <v>14</v>
      </c>
      <c r="U14" s="668">
        <f t="shared" si="1"/>
        <v>100</v>
      </c>
      <c r="V14" s="667" t="s">
        <v>14</v>
      </c>
      <c r="W14" s="668">
        <f t="shared" si="2"/>
        <v>100</v>
      </c>
      <c r="X14" s="1263"/>
      <c r="Y14" s="3422"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23"/>
      <c r="Q15" s="1261"/>
      <c r="R15" s="667"/>
      <c r="S15" s="668"/>
      <c r="T15" s="667"/>
      <c r="U15" s="668"/>
      <c r="V15" s="667"/>
      <c r="W15" s="668"/>
      <c r="X15" s="1263"/>
      <c r="Y15" s="3423"/>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3"/>
      <c r="Q16" s="1261" t="str">
        <f>B16</f>
        <v>公共配套设施</v>
      </c>
      <c r="R16" s="667" t="s">
        <v>14</v>
      </c>
      <c r="S16" s="668">
        <f>F16</f>
        <v>100</v>
      </c>
      <c r="T16" s="667" t="s">
        <v>14</v>
      </c>
      <c r="U16" s="668">
        <f>H16</f>
        <v>100</v>
      </c>
      <c r="V16" s="667" t="s">
        <v>14</v>
      </c>
      <c r="W16" s="668">
        <f>J16</f>
        <v>100</v>
      </c>
      <c r="X16" s="1263"/>
      <c r="Y16" s="3423"/>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23"/>
      <c r="Q17" s="1261"/>
      <c r="R17" s="667"/>
      <c r="S17" s="668"/>
      <c r="T17" s="667"/>
      <c r="U17" s="668"/>
      <c r="V17" s="667"/>
      <c r="W17" s="668"/>
      <c r="X17" s="1263"/>
      <c r="Y17" s="3423"/>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3"/>
      <c r="Q18" s="1261" t="str">
        <f>B18</f>
        <v>基础设施水平</v>
      </c>
      <c r="R18" s="667" t="s">
        <v>14</v>
      </c>
      <c r="S18" s="668">
        <f>F18</f>
        <v>100</v>
      </c>
      <c r="T18" s="667" t="s">
        <v>14</v>
      </c>
      <c r="U18" s="668">
        <f>H18</f>
        <v>100</v>
      </c>
      <c r="V18" s="667" t="s">
        <v>14</v>
      </c>
      <c r="W18" s="668">
        <f>J18</f>
        <v>100</v>
      </c>
      <c r="X18" s="1263"/>
      <c r="Y18" s="3423"/>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23"/>
      <c r="Q19" s="1261"/>
      <c r="R19" s="667"/>
      <c r="S19" s="668"/>
      <c r="T19" s="667"/>
      <c r="U19" s="668"/>
      <c r="V19" s="667"/>
      <c r="W19" s="668"/>
      <c r="X19" s="1263"/>
      <c r="Y19" s="3423"/>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3"/>
      <c r="Q20" s="1261" t="str">
        <f>B20</f>
        <v>自然及人文环境</v>
      </c>
      <c r="R20" s="667" t="s">
        <v>14</v>
      </c>
      <c r="S20" s="668">
        <f>F20</f>
        <v>100</v>
      </c>
      <c r="T20" s="667" t="s">
        <v>14</v>
      </c>
      <c r="U20" s="668">
        <f>H20</f>
        <v>100</v>
      </c>
      <c r="V20" s="667" t="s">
        <v>14</v>
      </c>
      <c r="W20" s="668">
        <f>J20</f>
        <v>100</v>
      </c>
      <c r="X20" s="1263"/>
      <c r="Y20" s="3423"/>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23"/>
      <c r="Q21" s="1261"/>
      <c r="R21" s="667"/>
      <c r="S21" s="668"/>
      <c r="T21" s="667"/>
      <c r="U21" s="668"/>
      <c r="V21" s="667"/>
      <c r="W21" s="668"/>
      <c r="X21" s="1263"/>
      <c r="Y21" s="3423"/>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3"/>
      <c r="Q22" s="1261" t="str">
        <f>B22</f>
        <v>楼层</v>
      </c>
      <c r="R22" s="667" t="s">
        <v>14</v>
      </c>
      <c r="S22" s="668">
        <f>F22</f>
        <v>100</v>
      </c>
      <c r="T22" s="667" t="s">
        <v>14</v>
      </c>
      <c r="U22" s="668">
        <f>H22</f>
        <v>100</v>
      </c>
      <c r="V22" s="667" t="s">
        <v>14</v>
      </c>
      <c r="W22" s="668">
        <f>J22</f>
        <v>100</v>
      </c>
      <c r="X22" s="1263"/>
      <c r="Y22" s="3423"/>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3"/>
      <c r="Q23" s="1261">
        <f>B23</f>
        <v>111</v>
      </c>
      <c r="R23" s="667" t="s">
        <v>14</v>
      </c>
      <c r="S23" s="668">
        <f>F23</f>
        <v>100</v>
      </c>
      <c r="T23" s="667" t="s">
        <v>14</v>
      </c>
      <c r="U23" s="668">
        <f>H23</f>
        <v>100</v>
      </c>
      <c r="V23" s="667" t="s">
        <v>14</v>
      </c>
      <c r="W23" s="668">
        <f>J23</f>
        <v>100</v>
      </c>
      <c r="X23" s="1263"/>
      <c r="Y23" s="3423"/>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3"/>
      <c r="Q24" s="1261">
        <f t="shared" ref="Q24:Q36" si="11">B24</f>
        <v>111</v>
      </c>
      <c r="R24" s="667" t="s">
        <v>14</v>
      </c>
      <c r="S24" s="668">
        <f>F24</f>
        <v>100</v>
      </c>
      <c r="T24" s="667" t="s">
        <v>14</v>
      </c>
      <c r="U24" s="668">
        <f>H24</f>
        <v>100</v>
      </c>
      <c r="V24" s="667" t="s">
        <v>14</v>
      </c>
      <c r="W24" s="668">
        <f>J24</f>
        <v>100</v>
      </c>
      <c r="X24" s="1263"/>
      <c r="Y24" s="3423"/>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3"/>
      <c r="Q25" s="530">
        <f t="shared" si="11"/>
        <v>111</v>
      </c>
      <c r="R25" s="664" t="s">
        <v>14</v>
      </c>
      <c r="S25" s="665">
        <f>F25</f>
        <v>100</v>
      </c>
      <c r="T25" s="664" t="s">
        <v>14</v>
      </c>
      <c r="U25" s="665">
        <f>H25</f>
        <v>100</v>
      </c>
      <c r="V25" s="664" t="s">
        <v>14</v>
      </c>
      <c r="W25" s="665">
        <f>J25</f>
        <v>100</v>
      </c>
      <c r="X25" s="666"/>
      <c r="Y25" s="3423"/>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1"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27"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27"/>
      <c r="Q28" s="1261" t="str">
        <f t="shared" si="11"/>
        <v>公共部分装修</v>
      </c>
      <c r="R28" s="667" t="s">
        <v>14</v>
      </c>
      <c r="S28" s="668">
        <f t="shared" si="12"/>
        <v>100</v>
      </c>
      <c r="T28" s="667" t="s">
        <v>14</v>
      </c>
      <c r="U28" s="668">
        <f t="shared" si="13"/>
        <v>100</v>
      </c>
      <c r="V28" s="667" t="s">
        <v>14</v>
      </c>
      <c r="W28" s="668">
        <f t="shared" si="14"/>
        <v>100</v>
      </c>
      <c r="X28" s="1263"/>
      <c r="Y28" s="3427"/>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27"/>
      <c r="Q29" s="1261" t="str">
        <f t="shared" si="11"/>
        <v>成新率</v>
      </c>
      <c r="R29" s="667" t="s">
        <v>14</v>
      </c>
      <c r="S29" s="668" t="e">
        <f t="shared" si="12"/>
        <v>#N/A</v>
      </c>
      <c r="T29" s="667" t="s">
        <v>14</v>
      </c>
      <c r="U29" s="668" t="e">
        <f t="shared" si="13"/>
        <v>#N/A</v>
      </c>
      <c r="V29" s="667" t="s">
        <v>14</v>
      </c>
      <c r="W29" s="668" t="e">
        <f t="shared" si="14"/>
        <v>#N/A</v>
      </c>
      <c r="X29" s="1263"/>
      <c r="Y29" s="3427"/>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27"/>
      <c r="Q30" s="1261" t="str">
        <f t="shared" si="11"/>
        <v>物业等级</v>
      </c>
      <c r="R30" s="667" t="s">
        <v>14</v>
      </c>
      <c r="S30" s="668">
        <f t="shared" si="12"/>
        <v>100</v>
      </c>
      <c r="T30" s="667" t="s">
        <v>14</v>
      </c>
      <c r="U30" s="668">
        <f t="shared" si="13"/>
        <v>100</v>
      </c>
      <c r="V30" s="667" t="s">
        <v>14</v>
      </c>
      <c r="W30" s="668">
        <f t="shared" si="14"/>
        <v>100</v>
      </c>
      <c r="X30" s="1263"/>
      <c r="Y30" s="3427"/>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27" t="s">
        <v>1696</v>
      </c>
      <c r="Q32" s="1261" t="str">
        <f t="shared" si="11"/>
        <v>车位类型</v>
      </c>
      <c r="R32" s="667" t="s">
        <v>14</v>
      </c>
      <c r="S32" s="668">
        <f t="shared" si="12"/>
        <v>100</v>
      </c>
      <c r="T32" s="667" t="s">
        <v>14</v>
      </c>
      <c r="U32" s="668">
        <f t="shared" si="13"/>
        <v>100</v>
      </c>
      <c r="V32" s="667" t="s">
        <v>14</v>
      </c>
      <c r="W32" s="668">
        <f t="shared" si="14"/>
        <v>100</v>
      </c>
      <c r="X32" s="1263"/>
      <c r="Y32" s="3427"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27"/>
      <c r="Q33" s="1261" t="str">
        <f t="shared" si="11"/>
        <v>是否直接入户</v>
      </c>
      <c r="R33" s="667" t="s">
        <v>14</v>
      </c>
      <c r="S33" s="668">
        <f t="shared" si="12"/>
        <v>100</v>
      </c>
      <c r="T33" s="667" t="s">
        <v>14</v>
      </c>
      <c r="U33" s="668">
        <f t="shared" si="13"/>
        <v>100</v>
      </c>
      <c r="V33" s="667" t="s">
        <v>14</v>
      </c>
      <c r="W33" s="668">
        <f t="shared" si="14"/>
        <v>100</v>
      </c>
      <c r="X33" s="1263"/>
      <c r="Y33" s="3427"/>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27"/>
      <c r="Q34" s="1261">
        <f t="shared" si="11"/>
        <v>111</v>
      </c>
      <c r="R34" s="667" t="s">
        <v>14</v>
      </c>
      <c r="S34" s="668">
        <f t="shared" si="12"/>
        <v>100</v>
      </c>
      <c r="T34" s="667" t="s">
        <v>14</v>
      </c>
      <c r="U34" s="668">
        <f t="shared" si="13"/>
        <v>100</v>
      </c>
      <c r="V34" s="667" t="s">
        <v>14</v>
      </c>
      <c r="W34" s="668">
        <f t="shared" si="14"/>
        <v>100</v>
      </c>
      <c r="X34" s="1263"/>
      <c r="Y34" s="3427"/>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27"/>
      <c r="Q36" s="1261">
        <f t="shared" si="11"/>
        <v>111</v>
      </c>
      <c r="R36" s="667" t="s">
        <v>14</v>
      </c>
      <c r="S36" s="668">
        <f t="shared" si="12"/>
        <v>100</v>
      </c>
      <c r="T36" s="667" t="s">
        <v>14</v>
      </c>
      <c r="U36" s="668">
        <f t="shared" si="13"/>
        <v>100</v>
      </c>
      <c r="V36" s="667" t="s">
        <v>14</v>
      </c>
      <c r="W36" s="668">
        <f t="shared" si="14"/>
        <v>100</v>
      </c>
      <c r="X36" s="1263"/>
      <c r="Y36" s="3427"/>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429" t="str">
        <f>A37</f>
        <v>成交单价</v>
      </c>
      <c r="Q37" s="3429"/>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429" t="str">
        <f>A38</f>
        <v>比较价值（元/平方米）</v>
      </c>
      <c r="Q38" s="342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0" t="str">
        <f>A39</f>
        <v>估价对象XX用房的比较价值（楼面单价，元/平方米）</v>
      </c>
      <c r="Q39" s="3431"/>
      <c r="R39" s="3482" t="e">
        <f>IF(F1="售价",ROUND(IF(D38="简单平均",AVERAGE(R38:W38),R38*F38+T38*H38+V38*J38),0),ROUND(IF(D38="简单平均",AVERAGE(R38:V38),R38*F38+T38*H38+V38*J38),1))</f>
        <v>#DIV/0!</v>
      </c>
      <c r="S39" s="3482"/>
      <c r="T39" s="3482"/>
      <c r="U39" s="3482"/>
      <c r="V39" s="3482"/>
      <c r="W39" s="3482"/>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393" t="s">
        <v>1771</v>
      </c>
      <c r="S4" s="3394"/>
      <c r="T4" s="3393" t="s">
        <v>1772</v>
      </c>
      <c r="U4" s="3394"/>
      <c r="V4" s="3390" t="s">
        <v>1773</v>
      </c>
      <c r="W4" s="3390"/>
      <c r="X4" s="1263"/>
      <c r="Y4" s="3393" t="s">
        <v>1775</v>
      </c>
      <c r="Z4" s="3394"/>
      <c r="AA4" s="3387" t="s">
        <v>1771</v>
      </c>
      <c r="AB4" s="3388" t="s">
        <v>1772</v>
      </c>
      <c r="AC4" s="3387" t="s">
        <v>1773</v>
      </c>
    </row>
    <row r="5" spans="1:29">
      <c r="A5" s="348"/>
      <c r="B5" s="349"/>
      <c r="C5" s="3403" t="s">
        <v>1673</v>
      </c>
      <c r="D5" s="3400"/>
      <c r="E5" s="3397" t="s">
        <v>1674</v>
      </c>
      <c r="F5" s="3398"/>
      <c r="G5" s="3403" t="s">
        <v>1675</v>
      </c>
      <c r="H5" s="3400"/>
      <c r="I5" s="3403" t="s">
        <v>1676</v>
      </c>
      <c r="J5" s="3400"/>
      <c r="K5" s="537"/>
      <c r="L5" s="2482"/>
      <c r="M5" s="2483"/>
      <c r="N5" s="2483"/>
      <c r="O5" s="2483"/>
      <c r="P5" s="3413"/>
      <c r="Q5" s="3414"/>
      <c r="R5" s="3395"/>
      <c r="S5" s="3396"/>
      <c r="T5" s="3395"/>
      <c r="U5" s="3396"/>
      <c r="V5" s="3390"/>
      <c r="W5" s="3390"/>
      <c r="X5" s="1263"/>
      <c r="Y5" s="3395"/>
      <c r="Z5" s="3396"/>
      <c r="AA5" s="3388"/>
      <c r="AB5" s="3388"/>
      <c r="AC5" s="3388"/>
    </row>
    <row r="6" spans="1:29" ht="15" thickBot="1">
      <c r="A6" s="350"/>
      <c r="B6" s="351"/>
      <c r="C6" s="3401" t="s">
        <v>1677</v>
      </c>
      <c r="D6" s="3402"/>
      <c r="E6" s="3404" t="s">
        <v>1677</v>
      </c>
      <c r="F6" s="3405"/>
      <c r="G6" s="3401" t="s">
        <v>1677</v>
      </c>
      <c r="H6" s="3402"/>
      <c r="I6" s="3401" t="s">
        <v>1677</v>
      </c>
      <c r="J6" s="3402"/>
      <c r="K6" s="537" t="s">
        <v>1678</v>
      </c>
      <c r="L6" s="2482"/>
      <c r="M6" s="2483"/>
      <c r="N6" s="2483"/>
      <c r="O6" s="2483"/>
      <c r="P6" s="3415"/>
      <c r="Q6" s="3416"/>
      <c r="R6" s="3395"/>
      <c r="S6" s="3396"/>
      <c r="T6" s="3417"/>
      <c r="U6" s="3418"/>
      <c r="V6" s="3390"/>
      <c r="W6" s="3390"/>
      <c r="X6" s="1263"/>
      <c r="Y6" s="3417"/>
      <c r="Z6" s="3418"/>
      <c r="AA6" s="3389"/>
      <c r="AB6" s="3389"/>
      <c r="AC6" s="3389"/>
    </row>
    <row r="7" spans="1:29" s="102" customFormat="1" ht="15" thickBot="1">
      <c r="A7" s="352" t="s">
        <v>1679</v>
      </c>
      <c r="B7" s="353"/>
      <c r="C7" s="354">
        <f>'数据-取费表'!B2</f>
        <v>45799</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29"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29"/>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29"/>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29"/>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429"/>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2" t="s">
        <v>1691</v>
      </c>
      <c r="Q14" s="1261" t="str">
        <f t="shared" si="6"/>
        <v>交通便捷度</v>
      </c>
      <c r="R14" s="667" t="s">
        <v>14</v>
      </c>
      <c r="S14" s="668">
        <f t="shared" si="0"/>
        <v>100</v>
      </c>
      <c r="T14" s="667" t="s">
        <v>14</v>
      </c>
      <c r="U14" s="668">
        <f t="shared" si="1"/>
        <v>100</v>
      </c>
      <c r="V14" s="667" t="s">
        <v>14</v>
      </c>
      <c r="W14" s="668">
        <f t="shared" si="2"/>
        <v>100</v>
      </c>
      <c r="X14" s="1263"/>
      <c r="Y14" s="3422"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23"/>
      <c r="Q15" s="1261"/>
      <c r="R15" s="667"/>
      <c r="S15" s="668"/>
      <c r="T15" s="667"/>
      <c r="U15" s="668"/>
      <c r="V15" s="667"/>
      <c r="W15" s="668"/>
      <c r="X15" s="1263"/>
      <c r="Y15" s="3423"/>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3"/>
      <c r="Q16" s="1261" t="str">
        <f>B16</f>
        <v>公共配套设施</v>
      </c>
      <c r="R16" s="667" t="s">
        <v>14</v>
      </c>
      <c r="S16" s="668">
        <f>F16</f>
        <v>100</v>
      </c>
      <c r="T16" s="667" t="s">
        <v>14</v>
      </c>
      <c r="U16" s="668">
        <f>H16</f>
        <v>100</v>
      </c>
      <c r="V16" s="667" t="s">
        <v>14</v>
      </c>
      <c r="W16" s="668">
        <f>J16</f>
        <v>100</v>
      </c>
      <c r="X16" s="1263"/>
      <c r="Y16" s="3423"/>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23"/>
      <c r="Q17" s="1261"/>
      <c r="R17" s="667"/>
      <c r="S17" s="668"/>
      <c r="T17" s="667"/>
      <c r="U17" s="668"/>
      <c r="V17" s="667"/>
      <c r="W17" s="668"/>
      <c r="X17" s="1263"/>
      <c r="Y17" s="3423"/>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3"/>
      <c r="Q18" s="1261" t="str">
        <f>B18</f>
        <v>基础设施水平</v>
      </c>
      <c r="R18" s="667" t="s">
        <v>14</v>
      </c>
      <c r="S18" s="668">
        <f>F18</f>
        <v>100</v>
      </c>
      <c r="T18" s="667" t="s">
        <v>14</v>
      </c>
      <c r="U18" s="668">
        <f>H18</f>
        <v>100</v>
      </c>
      <c r="V18" s="667" t="s">
        <v>14</v>
      </c>
      <c r="W18" s="668">
        <f>J18</f>
        <v>100</v>
      </c>
      <c r="X18" s="1263"/>
      <c r="Y18" s="3423"/>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23"/>
      <c r="Q19" s="1261"/>
      <c r="R19" s="667"/>
      <c r="S19" s="668"/>
      <c r="T19" s="667"/>
      <c r="U19" s="668"/>
      <c r="V19" s="667"/>
      <c r="W19" s="668"/>
      <c r="X19" s="1263"/>
      <c r="Y19" s="3423"/>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3"/>
      <c r="Q20" s="1261" t="str">
        <f>B20</f>
        <v>自然及人文环境</v>
      </c>
      <c r="R20" s="667" t="s">
        <v>14</v>
      </c>
      <c r="S20" s="668">
        <f>F20</f>
        <v>100</v>
      </c>
      <c r="T20" s="667" t="s">
        <v>14</v>
      </c>
      <c r="U20" s="668">
        <f>H20</f>
        <v>100</v>
      </c>
      <c r="V20" s="667" t="s">
        <v>14</v>
      </c>
      <c r="W20" s="668">
        <f>J20</f>
        <v>100</v>
      </c>
      <c r="X20" s="1263"/>
      <c r="Y20" s="3423"/>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23"/>
      <c r="Q21" s="1261"/>
      <c r="R21" s="667"/>
      <c r="S21" s="668"/>
      <c r="T21" s="667"/>
      <c r="U21" s="668"/>
      <c r="V21" s="667"/>
      <c r="W21" s="668"/>
      <c r="X21" s="1263"/>
      <c r="Y21" s="3423"/>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3"/>
      <c r="Q22" s="1261" t="str">
        <f>B22</f>
        <v>楼层</v>
      </c>
      <c r="R22" s="667" t="s">
        <v>14</v>
      </c>
      <c r="S22" s="668">
        <f>F22</f>
        <v>100</v>
      </c>
      <c r="T22" s="667" t="s">
        <v>14</v>
      </c>
      <c r="U22" s="668">
        <f>H22</f>
        <v>100</v>
      </c>
      <c r="V22" s="667" t="s">
        <v>14</v>
      </c>
      <c r="W22" s="668">
        <f>J22</f>
        <v>100</v>
      </c>
      <c r="X22" s="1263"/>
      <c r="Y22" s="3423"/>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3"/>
      <c r="Q23" s="1261">
        <f>B23</f>
        <v>111</v>
      </c>
      <c r="R23" s="667" t="s">
        <v>14</v>
      </c>
      <c r="S23" s="668">
        <f>F23</f>
        <v>100</v>
      </c>
      <c r="T23" s="667" t="s">
        <v>14</v>
      </c>
      <c r="U23" s="668">
        <f>H23</f>
        <v>100</v>
      </c>
      <c r="V23" s="667" t="s">
        <v>14</v>
      </c>
      <c r="W23" s="668">
        <f>J23</f>
        <v>100</v>
      </c>
      <c r="X23" s="1263"/>
      <c r="Y23" s="3423"/>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3"/>
      <c r="Q24" s="1261">
        <f t="shared" ref="Q24:Q34" si="11">B24</f>
        <v>111</v>
      </c>
      <c r="R24" s="667" t="s">
        <v>14</v>
      </c>
      <c r="S24" s="668">
        <f>F24</f>
        <v>100</v>
      </c>
      <c r="T24" s="667" t="s">
        <v>14</v>
      </c>
      <c r="U24" s="668">
        <f>H24</f>
        <v>100</v>
      </c>
      <c r="V24" s="667" t="s">
        <v>14</v>
      </c>
      <c r="W24" s="668">
        <f>J24</f>
        <v>100</v>
      </c>
      <c r="X24" s="1263"/>
      <c r="Y24" s="3423"/>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23"/>
      <c r="Q25" s="530">
        <f t="shared" si="11"/>
        <v>111</v>
      </c>
      <c r="R25" s="664" t="s">
        <v>14</v>
      </c>
      <c r="S25" s="665">
        <f>F25</f>
        <v>100</v>
      </c>
      <c r="T25" s="664" t="s">
        <v>14</v>
      </c>
      <c r="U25" s="665">
        <f>H25</f>
        <v>100</v>
      </c>
      <c r="V25" s="664" t="s">
        <v>14</v>
      </c>
      <c r="W25" s="665">
        <f>J25</f>
        <v>100</v>
      </c>
      <c r="X25" s="666"/>
      <c r="Y25" s="3423"/>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1"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27"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27"/>
      <c r="Q28" s="1261" t="str">
        <f t="shared" si="11"/>
        <v>物业等级</v>
      </c>
      <c r="R28" s="667" t="s">
        <v>14</v>
      </c>
      <c r="S28" s="668">
        <f t="shared" si="12"/>
        <v>100</v>
      </c>
      <c r="T28" s="667" t="s">
        <v>14</v>
      </c>
      <c r="U28" s="668">
        <f t="shared" si="13"/>
        <v>100</v>
      </c>
      <c r="V28" s="667" t="s">
        <v>14</v>
      </c>
      <c r="W28" s="668">
        <f t="shared" si="14"/>
        <v>100</v>
      </c>
      <c r="X28" s="1263"/>
      <c r="Y28" s="3427"/>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27"/>
      <c r="Q29" s="1261" t="str">
        <f t="shared" si="11"/>
        <v>有无电梯</v>
      </c>
      <c r="R29" s="667" t="s">
        <v>14</v>
      </c>
      <c r="S29" s="668">
        <f t="shared" si="12"/>
        <v>100</v>
      </c>
      <c r="T29" s="667" t="s">
        <v>14</v>
      </c>
      <c r="U29" s="668">
        <f t="shared" si="13"/>
        <v>100</v>
      </c>
      <c r="V29" s="667" t="s">
        <v>14</v>
      </c>
      <c r="W29" s="668">
        <f t="shared" si="14"/>
        <v>100</v>
      </c>
      <c r="X29" s="1263"/>
      <c r="Y29" s="3427"/>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27"/>
      <c r="Q30" s="1261" t="str">
        <f t="shared" si="11"/>
        <v>建筑面积</v>
      </c>
      <c r="R30" s="667" t="s">
        <v>14</v>
      </c>
      <c r="S30" s="668" t="e">
        <f t="shared" si="12"/>
        <v>#N/A</v>
      </c>
      <c r="T30" s="667" t="s">
        <v>14</v>
      </c>
      <c r="U30" s="668" t="e">
        <f t="shared" si="13"/>
        <v>#N/A</v>
      </c>
      <c r="V30" s="667" t="s">
        <v>14</v>
      </c>
      <c r="W30" s="668" t="e">
        <f t="shared" si="14"/>
        <v>#N/A</v>
      </c>
      <c r="X30" s="1263"/>
      <c r="Y30" s="3427"/>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27" t="s">
        <v>1696</v>
      </c>
      <c r="Q32" s="1261">
        <f t="shared" si="11"/>
        <v>111</v>
      </c>
      <c r="R32" s="667" t="s">
        <v>14</v>
      </c>
      <c r="S32" s="668">
        <f t="shared" si="12"/>
        <v>100</v>
      </c>
      <c r="T32" s="667" t="s">
        <v>14</v>
      </c>
      <c r="U32" s="668">
        <f t="shared" si="13"/>
        <v>100</v>
      </c>
      <c r="V32" s="667" t="s">
        <v>14</v>
      </c>
      <c r="W32" s="668">
        <f t="shared" si="14"/>
        <v>100</v>
      </c>
      <c r="X32" s="1263"/>
      <c r="Y32" s="3427"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27"/>
      <c r="Q33" s="1261">
        <f t="shared" si="11"/>
        <v>111</v>
      </c>
      <c r="R33" s="667" t="s">
        <v>14</v>
      </c>
      <c r="S33" s="668">
        <f t="shared" si="12"/>
        <v>100</v>
      </c>
      <c r="T33" s="667" t="s">
        <v>14</v>
      </c>
      <c r="U33" s="668">
        <f t="shared" si="13"/>
        <v>100</v>
      </c>
      <c r="V33" s="667" t="s">
        <v>14</v>
      </c>
      <c r="W33" s="668">
        <f t="shared" si="14"/>
        <v>100</v>
      </c>
      <c r="X33" s="1263"/>
      <c r="Y33" s="3427"/>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27"/>
      <c r="Q34" s="1261">
        <f t="shared" si="11"/>
        <v>111</v>
      </c>
      <c r="R34" s="667" t="s">
        <v>14</v>
      </c>
      <c r="S34" s="668">
        <f t="shared" si="12"/>
        <v>100</v>
      </c>
      <c r="T34" s="667" t="s">
        <v>14</v>
      </c>
      <c r="U34" s="668">
        <f t="shared" si="13"/>
        <v>100</v>
      </c>
      <c r="V34" s="667" t="s">
        <v>14</v>
      </c>
      <c r="W34" s="668">
        <f t="shared" si="14"/>
        <v>100</v>
      </c>
      <c r="X34" s="1263"/>
      <c r="Y34" s="3427"/>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429" t="str">
        <f>A35</f>
        <v>成交单价（元/平方米）</v>
      </c>
      <c r="Q35" s="3429"/>
      <c r="R35" s="3390">
        <f>E35</f>
        <v>0</v>
      </c>
      <c r="S35" s="3390"/>
      <c r="T35" s="3390">
        <f>G35</f>
        <v>0</v>
      </c>
      <c r="U35" s="3390"/>
      <c r="V35" s="3390">
        <f>I35</f>
        <v>0</v>
      </c>
      <c r="W35" s="3390"/>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429" t="str">
        <f>A36</f>
        <v>比较价值（元/平方米）</v>
      </c>
      <c r="Q36" s="342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0" t="str">
        <f>A37</f>
        <v>估价对象XX用房的比较价值（楼面单价，元/平方米）</v>
      </c>
      <c r="Q37" s="3431"/>
      <c r="R37" s="3482" t="e">
        <f>IF(F1="售价",ROUND(IF(D36="简单平均",AVERAGE(R36:W36),R36*F36+T36*H36+V36*J36),0),ROUND(IF(D36="简单平均",AVERAGE(R36:V36),R36*F36+T36*H36+V36*J36),1))</f>
        <v>#DIV/0!</v>
      </c>
      <c r="S37" s="3482"/>
      <c r="T37" s="3482"/>
      <c r="U37" s="3482"/>
      <c r="V37" s="3482"/>
      <c r="W37" s="348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393" t="s">
        <v>1771</v>
      </c>
      <c r="S4" s="3394"/>
      <c r="T4" s="3393" t="s">
        <v>1772</v>
      </c>
      <c r="U4" s="3394"/>
      <c r="V4" s="3390" t="s">
        <v>1773</v>
      </c>
      <c r="W4" s="3390"/>
      <c r="X4" s="1263"/>
      <c r="Y4" s="3393" t="s">
        <v>1775</v>
      </c>
      <c r="Z4" s="3394"/>
      <c r="AA4" s="3387" t="s">
        <v>1771</v>
      </c>
      <c r="AB4" s="3388" t="s">
        <v>1772</v>
      </c>
      <c r="AC4" s="3387" t="s">
        <v>1773</v>
      </c>
    </row>
    <row r="5" spans="1:29">
      <c r="A5" s="348"/>
      <c r="B5" s="349"/>
      <c r="C5" s="3403" t="s">
        <v>1673</v>
      </c>
      <c r="D5" s="3400"/>
      <c r="E5" s="3397" t="s">
        <v>1674</v>
      </c>
      <c r="F5" s="3398"/>
      <c r="G5" s="3403" t="s">
        <v>1675</v>
      </c>
      <c r="H5" s="3400"/>
      <c r="I5" s="3403" t="s">
        <v>1676</v>
      </c>
      <c r="J5" s="3400"/>
      <c r="K5" s="537"/>
      <c r="L5" s="2482"/>
      <c r="M5" s="2483"/>
      <c r="N5" s="2483"/>
      <c r="O5" s="2483"/>
      <c r="P5" s="3413"/>
      <c r="Q5" s="3414"/>
      <c r="R5" s="3395"/>
      <c r="S5" s="3396"/>
      <c r="T5" s="3395"/>
      <c r="U5" s="3396"/>
      <c r="V5" s="3390"/>
      <c r="W5" s="3390"/>
      <c r="X5" s="1263"/>
      <c r="Y5" s="3395"/>
      <c r="Z5" s="3396"/>
      <c r="AA5" s="3388"/>
      <c r="AB5" s="3388"/>
      <c r="AC5" s="3388"/>
    </row>
    <row r="6" spans="1:29" ht="15" thickBot="1">
      <c r="A6" s="350"/>
      <c r="B6" s="351"/>
      <c r="C6" s="3401" t="s">
        <v>1677</v>
      </c>
      <c r="D6" s="3402"/>
      <c r="E6" s="3404" t="s">
        <v>1677</v>
      </c>
      <c r="F6" s="3405"/>
      <c r="G6" s="3401" t="s">
        <v>1677</v>
      </c>
      <c r="H6" s="3402"/>
      <c r="I6" s="3401" t="s">
        <v>1677</v>
      </c>
      <c r="J6" s="3402"/>
      <c r="K6" s="537" t="s">
        <v>1678</v>
      </c>
      <c r="L6" s="2482"/>
      <c r="M6" s="2483"/>
      <c r="N6" s="2483"/>
      <c r="O6" s="2483"/>
      <c r="P6" s="3415"/>
      <c r="Q6" s="3416"/>
      <c r="R6" s="3395"/>
      <c r="S6" s="3396"/>
      <c r="T6" s="3417"/>
      <c r="U6" s="3418"/>
      <c r="V6" s="3390"/>
      <c r="W6" s="3390"/>
      <c r="X6" s="1263"/>
      <c r="Y6" s="3417"/>
      <c r="Z6" s="3418"/>
      <c r="AA6" s="3389"/>
      <c r="AB6" s="3389"/>
      <c r="AC6" s="3389"/>
    </row>
    <row r="7" spans="1:29" s="102" customFormat="1" ht="15" thickBot="1">
      <c r="A7" s="352" t="s">
        <v>1679</v>
      </c>
      <c r="B7" s="353"/>
      <c r="C7" s="354">
        <f>'数据-取费表'!B2</f>
        <v>45799</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29"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429"/>
      <c r="Q10" s="530" t="str">
        <f t="shared" si="6"/>
        <v>土地使用年限（年）</v>
      </c>
      <c r="R10" s="664" t="s">
        <v>14</v>
      </c>
      <c r="S10" s="665" t="e">
        <f t="shared" si="0"/>
        <v>#DIV/0!</v>
      </c>
      <c r="T10" s="664" t="s">
        <v>14</v>
      </c>
      <c r="U10" s="665" t="e">
        <f t="shared" si="1"/>
        <v>#DIV/0!</v>
      </c>
      <c r="V10" s="664" t="s">
        <v>14</v>
      </c>
      <c r="W10" s="665" t="e">
        <f t="shared" si="2"/>
        <v>#DIV/0!</v>
      </c>
      <c r="X10" s="666"/>
      <c r="Y10" s="336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29"/>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29"/>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29"/>
      <c r="Q13" s="530">
        <f t="shared" si="6"/>
        <v>111</v>
      </c>
      <c r="R13" s="664" t="s">
        <v>14</v>
      </c>
      <c r="S13" s="665">
        <f t="shared" si="0"/>
        <v>100</v>
      </c>
      <c r="T13" s="664" t="s">
        <v>14</v>
      </c>
      <c r="U13" s="665">
        <f t="shared" si="1"/>
        <v>100</v>
      </c>
      <c r="V13" s="664" t="s">
        <v>14</v>
      </c>
      <c r="W13" s="665">
        <f t="shared" si="2"/>
        <v>100</v>
      </c>
      <c r="X13" s="666"/>
      <c r="Y13" s="3360"/>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29"/>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2" t="s">
        <v>1691</v>
      </c>
      <c r="Q15" s="1261" t="str">
        <f t="shared" si="6"/>
        <v>居住社区成熟度</v>
      </c>
      <c r="R15" s="667" t="s">
        <v>14</v>
      </c>
      <c r="S15" s="668">
        <f t="shared" si="0"/>
        <v>100</v>
      </c>
      <c r="T15" s="667" t="s">
        <v>14</v>
      </c>
      <c r="U15" s="668">
        <f t="shared" si="1"/>
        <v>100</v>
      </c>
      <c r="V15" s="667" t="s">
        <v>14</v>
      </c>
      <c r="W15" s="668">
        <f t="shared" si="2"/>
        <v>100</v>
      </c>
      <c r="X15" s="1263"/>
      <c r="Y15" s="3422"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23"/>
      <c r="Q16" s="1261"/>
      <c r="R16" s="667"/>
      <c r="S16" s="668"/>
      <c r="T16" s="667"/>
      <c r="U16" s="668"/>
      <c r="V16" s="667"/>
      <c r="W16" s="668"/>
      <c r="X16" s="1263"/>
      <c r="Y16" s="3423"/>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3"/>
      <c r="Q17" s="1261" t="str">
        <f>B17</f>
        <v>商业繁华度</v>
      </c>
      <c r="R17" s="667" t="s">
        <v>14</v>
      </c>
      <c r="S17" s="668">
        <f>F17</f>
        <v>100</v>
      </c>
      <c r="T17" s="667" t="s">
        <v>14</v>
      </c>
      <c r="U17" s="668">
        <f>H17</f>
        <v>100</v>
      </c>
      <c r="V17" s="667" t="s">
        <v>14</v>
      </c>
      <c r="W17" s="668">
        <f>J17</f>
        <v>100</v>
      </c>
      <c r="X17" s="1263"/>
      <c r="Y17" s="3423"/>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23"/>
      <c r="Q18" s="1261"/>
      <c r="R18" s="667"/>
      <c r="S18" s="668"/>
      <c r="T18" s="667"/>
      <c r="U18" s="668"/>
      <c r="V18" s="667"/>
      <c r="W18" s="668"/>
      <c r="X18" s="1263"/>
      <c r="Y18" s="3423"/>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3"/>
      <c r="Q19" s="1261" t="str">
        <f>B19</f>
        <v>办公集聚程度</v>
      </c>
      <c r="R19" s="667" t="s">
        <v>14</v>
      </c>
      <c r="S19" s="668">
        <f>F19</f>
        <v>100</v>
      </c>
      <c r="T19" s="667" t="s">
        <v>14</v>
      </c>
      <c r="U19" s="668">
        <f>H19</f>
        <v>100</v>
      </c>
      <c r="V19" s="667" t="s">
        <v>14</v>
      </c>
      <c r="W19" s="668">
        <f>J19</f>
        <v>100</v>
      </c>
      <c r="X19" s="1263"/>
      <c r="Y19" s="3423"/>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23"/>
      <c r="Q20" s="1261"/>
      <c r="R20" s="667"/>
      <c r="S20" s="668"/>
      <c r="T20" s="667"/>
      <c r="U20" s="668"/>
      <c r="V20" s="667"/>
      <c r="W20" s="668"/>
      <c r="X20" s="1263"/>
      <c r="Y20" s="3423"/>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3"/>
      <c r="Q21" s="1261" t="str">
        <f>B21</f>
        <v>交通便捷度</v>
      </c>
      <c r="R21" s="667" t="s">
        <v>14</v>
      </c>
      <c r="S21" s="668">
        <f>F21</f>
        <v>100</v>
      </c>
      <c r="T21" s="667" t="s">
        <v>14</v>
      </c>
      <c r="U21" s="668">
        <f>H21</f>
        <v>100</v>
      </c>
      <c r="V21" s="667" t="s">
        <v>14</v>
      </c>
      <c r="W21" s="668">
        <f>J21</f>
        <v>100</v>
      </c>
      <c r="X21" s="1263"/>
      <c r="Y21" s="3423"/>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23"/>
      <c r="Q22" s="1261"/>
      <c r="R22" s="667"/>
      <c r="S22" s="668"/>
      <c r="T22" s="667"/>
      <c r="U22" s="668"/>
      <c r="V22" s="667"/>
      <c r="W22" s="668"/>
      <c r="X22" s="1263"/>
      <c r="Y22" s="3423"/>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3"/>
      <c r="Q23" s="1261" t="str">
        <f t="shared" ref="Q23:Q37" si="8">B23</f>
        <v>区域土地利用方向</v>
      </c>
      <c r="R23" s="667" t="s">
        <v>14</v>
      </c>
      <c r="S23" s="668">
        <f>F23</f>
        <v>100</v>
      </c>
      <c r="T23" s="667" t="s">
        <v>14</v>
      </c>
      <c r="U23" s="668">
        <f>H23</f>
        <v>100</v>
      </c>
      <c r="V23" s="667" t="s">
        <v>14</v>
      </c>
      <c r="W23" s="668">
        <f>J23</f>
        <v>100</v>
      </c>
      <c r="X23" s="1263"/>
      <c r="Y23" s="3423"/>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23"/>
      <c r="Q24" s="1261"/>
      <c r="R24" s="667"/>
      <c r="S24" s="668"/>
      <c r="T24" s="667"/>
      <c r="U24" s="668"/>
      <c r="V24" s="667"/>
      <c r="W24" s="668"/>
      <c r="X24" s="1263"/>
      <c r="Y24" s="3423"/>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3"/>
      <c r="Q25" s="1261" t="str">
        <f t="shared" si="8"/>
        <v>自然及人文环境状况</v>
      </c>
      <c r="R25" s="667" t="s">
        <v>14</v>
      </c>
      <c r="S25" s="668">
        <f>F25</f>
        <v>100</v>
      </c>
      <c r="T25" s="667" t="s">
        <v>14</v>
      </c>
      <c r="U25" s="668">
        <f>H25</f>
        <v>100</v>
      </c>
      <c r="V25" s="667" t="s">
        <v>14</v>
      </c>
      <c r="W25" s="668">
        <f>J25</f>
        <v>100</v>
      </c>
      <c r="X25" s="1263"/>
      <c r="Y25" s="3423"/>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23"/>
      <c r="Q26" s="1261"/>
      <c r="R26" s="667"/>
      <c r="S26" s="668"/>
      <c r="T26" s="667"/>
      <c r="U26" s="668"/>
      <c r="V26" s="667"/>
      <c r="W26" s="668"/>
      <c r="X26" s="1263"/>
      <c r="Y26" s="3423"/>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23"/>
      <c r="Q28" s="530"/>
      <c r="R28" s="664"/>
      <c r="S28" s="665"/>
      <c r="T28" s="664"/>
      <c r="U28" s="665"/>
      <c r="V28" s="664"/>
      <c r="W28" s="665"/>
      <c r="X28" s="666"/>
      <c r="Y28" s="3423"/>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23"/>
      <c r="Q30" s="530"/>
      <c r="R30" s="664"/>
      <c r="S30" s="665"/>
      <c r="T30" s="664"/>
      <c r="U30" s="665"/>
      <c r="V30" s="664"/>
      <c r="W30" s="665"/>
      <c r="X30" s="666"/>
      <c r="Y30" s="3423"/>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3"/>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3"/>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3"/>
      <c r="Q32" s="1261" t="str">
        <f t="shared" si="8"/>
        <v>毗邻道路的类型与等级</v>
      </c>
      <c r="R32" s="667" t="s">
        <v>14</v>
      </c>
      <c r="S32" s="668">
        <f t="shared" si="10"/>
        <v>100</v>
      </c>
      <c r="T32" s="667" t="s">
        <v>14</v>
      </c>
      <c r="U32" s="668">
        <f t="shared" si="11"/>
        <v>100</v>
      </c>
      <c r="V32" s="667" t="s">
        <v>14</v>
      </c>
      <c r="W32" s="668">
        <f t="shared" si="12"/>
        <v>100</v>
      </c>
      <c r="X32" s="1263"/>
      <c r="Y32" s="3423"/>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23"/>
      <c r="Q33" s="1261"/>
      <c r="R33" s="667"/>
      <c r="S33" s="668"/>
      <c r="T33" s="667"/>
      <c r="U33" s="668"/>
      <c r="V33" s="667"/>
      <c r="W33" s="668"/>
      <c r="X33" s="1263"/>
      <c r="Y33" s="3423"/>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3"/>
      <c r="Q34" s="1261" t="str">
        <f t="shared" si="8"/>
        <v>土地级别</v>
      </c>
      <c r="R34" s="667" t="s">
        <v>14</v>
      </c>
      <c r="S34" s="668">
        <f t="shared" si="10"/>
        <v>100</v>
      </c>
      <c r="T34" s="667" t="s">
        <v>14</v>
      </c>
      <c r="U34" s="668">
        <f t="shared" si="11"/>
        <v>100</v>
      </c>
      <c r="V34" s="667" t="s">
        <v>14</v>
      </c>
      <c r="W34" s="668">
        <f t="shared" si="12"/>
        <v>100</v>
      </c>
      <c r="X34" s="1263"/>
      <c r="Y34" s="3423"/>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3"/>
      <c r="Q35" s="1261">
        <f t="shared" si="8"/>
        <v>111</v>
      </c>
      <c r="R35" s="667" t="s">
        <v>14</v>
      </c>
      <c r="S35" s="668">
        <f t="shared" si="10"/>
        <v>100</v>
      </c>
      <c r="T35" s="667" t="s">
        <v>14</v>
      </c>
      <c r="U35" s="668">
        <f t="shared" si="11"/>
        <v>100</v>
      </c>
      <c r="V35" s="667" t="s">
        <v>14</v>
      </c>
      <c r="W35" s="668">
        <f t="shared" si="12"/>
        <v>100</v>
      </c>
      <c r="X35" s="1263"/>
      <c r="Y35" s="3423"/>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1" t="s">
        <v>1696</v>
      </c>
      <c r="Q36" s="1261">
        <f t="shared" si="8"/>
        <v>111</v>
      </c>
      <c r="R36" s="667" t="s">
        <v>14</v>
      </c>
      <c r="S36" s="668">
        <f t="shared" si="10"/>
        <v>100</v>
      </c>
      <c r="T36" s="667" t="s">
        <v>14</v>
      </c>
      <c r="U36" s="668">
        <f t="shared" si="11"/>
        <v>100</v>
      </c>
      <c r="V36" s="667" t="s">
        <v>14</v>
      </c>
      <c r="W36" s="668">
        <f t="shared" si="12"/>
        <v>100</v>
      </c>
      <c r="X36" s="1263"/>
      <c r="Y36" s="3427"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27"/>
      <c r="Q37" s="1261">
        <f t="shared" si="8"/>
        <v>111</v>
      </c>
      <c r="R37" s="669" t="s">
        <v>14</v>
      </c>
      <c r="S37" s="670">
        <f t="shared" si="10"/>
        <v>100</v>
      </c>
      <c r="T37" s="669" t="s">
        <v>14</v>
      </c>
      <c r="U37" s="670">
        <f t="shared" si="11"/>
        <v>100</v>
      </c>
      <c r="V37" s="669" t="s">
        <v>14</v>
      </c>
      <c r="W37" s="670">
        <f t="shared" si="12"/>
        <v>100</v>
      </c>
      <c r="X37" s="671"/>
      <c r="Y37" s="3427"/>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27"/>
      <c r="Q38" s="1261" t="str">
        <f>B38</f>
        <v>宗地面积</v>
      </c>
      <c r="R38" s="667" t="s">
        <v>14</v>
      </c>
      <c r="S38" s="668" t="e">
        <f t="shared" si="10"/>
        <v>#N/A</v>
      </c>
      <c r="T38" s="667" t="s">
        <v>14</v>
      </c>
      <c r="U38" s="668" t="e">
        <f t="shared" si="11"/>
        <v>#N/A</v>
      </c>
      <c r="V38" s="667" t="s">
        <v>14</v>
      </c>
      <c r="W38" s="668" t="e">
        <f t="shared" si="12"/>
        <v>#N/A</v>
      </c>
      <c r="X38" s="1263"/>
      <c r="Y38" s="3427"/>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27"/>
      <c r="Q39" s="1261" t="str">
        <f t="shared" ref="Q39:Q45" si="14">B39</f>
        <v>宗地形状</v>
      </c>
      <c r="R39" s="667" t="s">
        <v>14</v>
      </c>
      <c r="S39" s="668">
        <f t="shared" si="10"/>
        <v>100</v>
      </c>
      <c r="T39" s="667" t="s">
        <v>14</v>
      </c>
      <c r="U39" s="668">
        <f t="shared" si="11"/>
        <v>100</v>
      </c>
      <c r="V39" s="667" t="s">
        <v>14</v>
      </c>
      <c r="W39" s="668">
        <f t="shared" si="12"/>
        <v>100</v>
      </c>
      <c r="X39" s="1263"/>
      <c r="Y39" s="3427"/>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27"/>
      <c r="Q40" s="1261" t="str">
        <f t="shared" si="14"/>
        <v>临街宽度及深度</v>
      </c>
      <c r="R40" s="667" t="s">
        <v>14</v>
      </c>
      <c r="S40" s="668">
        <f t="shared" si="10"/>
        <v>100</v>
      </c>
      <c r="T40" s="667" t="s">
        <v>14</v>
      </c>
      <c r="U40" s="668">
        <f t="shared" si="11"/>
        <v>100</v>
      </c>
      <c r="V40" s="667" t="s">
        <v>14</v>
      </c>
      <c r="W40" s="668">
        <f t="shared" si="12"/>
        <v>100</v>
      </c>
      <c r="X40" s="1263"/>
      <c r="Y40" s="3427"/>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27"/>
      <c r="Q41" s="1261"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27" t="s">
        <v>1696</v>
      </c>
      <c r="Q42" s="1261" t="str">
        <f t="shared" si="14"/>
        <v>工程地质条件</v>
      </c>
      <c r="R42" s="667" t="s">
        <v>14</v>
      </c>
      <c r="S42" s="668">
        <f t="shared" si="10"/>
        <v>100</v>
      </c>
      <c r="T42" s="667" t="s">
        <v>14</v>
      </c>
      <c r="U42" s="668">
        <f t="shared" si="11"/>
        <v>100</v>
      </c>
      <c r="V42" s="667" t="s">
        <v>14</v>
      </c>
      <c r="W42" s="668">
        <f t="shared" si="12"/>
        <v>100</v>
      </c>
      <c r="X42" s="1263"/>
      <c r="Y42" s="3427"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27"/>
      <c r="Q43" s="1261">
        <f t="shared" si="14"/>
        <v>111</v>
      </c>
      <c r="R43" s="667" t="s">
        <v>14</v>
      </c>
      <c r="S43" s="668">
        <f t="shared" si="10"/>
        <v>100</v>
      </c>
      <c r="T43" s="667" t="s">
        <v>14</v>
      </c>
      <c r="U43" s="668">
        <f t="shared" si="11"/>
        <v>100</v>
      </c>
      <c r="V43" s="667" t="s">
        <v>14</v>
      </c>
      <c r="W43" s="668">
        <f t="shared" si="12"/>
        <v>100</v>
      </c>
      <c r="X43" s="1263"/>
      <c r="Y43" s="3427"/>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27"/>
      <c r="Q44" s="1261">
        <f t="shared" si="14"/>
        <v>111</v>
      </c>
      <c r="R44" s="667" t="s">
        <v>14</v>
      </c>
      <c r="S44" s="668">
        <f t="shared" si="10"/>
        <v>100</v>
      </c>
      <c r="T44" s="667" t="s">
        <v>14</v>
      </c>
      <c r="U44" s="668">
        <f t="shared" si="11"/>
        <v>100</v>
      </c>
      <c r="V44" s="667" t="s">
        <v>14</v>
      </c>
      <c r="W44" s="668">
        <f t="shared" si="12"/>
        <v>100</v>
      </c>
      <c r="X44" s="1263"/>
      <c r="Y44" s="3427"/>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27"/>
      <c r="Q45" s="1261">
        <f t="shared" si="14"/>
        <v>111</v>
      </c>
      <c r="R45" s="669" t="s">
        <v>14</v>
      </c>
      <c r="S45" s="670">
        <f t="shared" si="10"/>
        <v>100</v>
      </c>
      <c r="T45" s="669" t="s">
        <v>14</v>
      </c>
      <c r="U45" s="670">
        <f t="shared" si="11"/>
        <v>100</v>
      </c>
      <c r="V45" s="669" t="s">
        <v>14</v>
      </c>
      <c r="W45" s="670">
        <f t="shared" si="12"/>
        <v>100</v>
      </c>
      <c r="X45" s="671"/>
      <c r="Y45" s="3427"/>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429" t="str">
        <f>A46</f>
        <v>成交单价</v>
      </c>
      <c r="Q46" s="3429"/>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429" t="str">
        <f>A47</f>
        <v>比较价值（元/平方米）</v>
      </c>
      <c r="Q47" s="3429"/>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0" t="str">
        <f>A48</f>
        <v>估价对象XX用房的比较价值（楼面单价，元/平方米）</v>
      </c>
      <c r="Q48" s="3431"/>
      <c r="R48" s="3484" t="e">
        <f>ROUND(IF(D47="简单平均",AVERAGE(R47:W47),R47*F47+T47*H47+V47*J47),0)</f>
        <v>#DIV/0!</v>
      </c>
      <c r="S48" s="3484"/>
      <c r="T48" s="3484"/>
      <c r="U48" s="3484"/>
      <c r="V48" s="3484"/>
      <c r="W48" s="348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07" t="s">
        <v>1887</v>
      </c>
      <c r="H55" s="3485"/>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242.22</v>
      </c>
      <c r="F56" s="833" t="e">
        <f t="shared" ref="F56:F64" si="15">ROUND(B56*E56/10000,0)</f>
        <v>#DIV/0!</v>
      </c>
      <c r="G56" s="3406"/>
      <c r="H56" s="342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242.22</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393" t="s">
        <v>1771</v>
      </c>
      <c r="S4" s="3394"/>
      <c r="T4" s="3393" t="s">
        <v>1772</v>
      </c>
      <c r="U4" s="3394"/>
      <c r="V4" s="3390" t="s">
        <v>1773</v>
      </c>
      <c r="W4" s="3390"/>
      <c r="X4" s="1263"/>
      <c r="Y4" s="3393" t="s">
        <v>1775</v>
      </c>
      <c r="Z4" s="3394"/>
      <c r="AA4" s="3387" t="s">
        <v>1771</v>
      </c>
      <c r="AB4" s="3388" t="s">
        <v>1772</v>
      </c>
      <c r="AC4" s="3387" t="s">
        <v>1773</v>
      </c>
    </row>
    <row r="5" spans="1:29">
      <c r="A5" s="348"/>
      <c r="B5" s="349"/>
      <c r="C5" s="3403" t="s">
        <v>1673</v>
      </c>
      <c r="D5" s="3400"/>
      <c r="E5" s="3397" t="s">
        <v>1674</v>
      </c>
      <c r="F5" s="3398"/>
      <c r="G5" s="3403" t="s">
        <v>1675</v>
      </c>
      <c r="H5" s="3400"/>
      <c r="I5" s="3403" t="s">
        <v>1676</v>
      </c>
      <c r="J5" s="3400"/>
      <c r="K5" s="537"/>
      <c r="L5" s="2482"/>
      <c r="M5" s="2483"/>
      <c r="N5" s="2483"/>
      <c r="O5" s="2483"/>
      <c r="P5" s="3413"/>
      <c r="Q5" s="3414"/>
      <c r="R5" s="3395"/>
      <c r="S5" s="3396"/>
      <c r="T5" s="3395"/>
      <c r="U5" s="3396"/>
      <c r="V5" s="3390"/>
      <c r="W5" s="3390"/>
      <c r="X5" s="1263"/>
      <c r="Y5" s="3395"/>
      <c r="Z5" s="3396"/>
      <c r="AA5" s="3388"/>
      <c r="AB5" s="3388"/>
      <c r="AC5" s="3388"/>
    </row>
    <row r="6" spans="1:29" ht="15" thickBot="1">
      <c r="A6" s="350"/>
      <c r="B6" s="351"/>
      <c r="C6" s="3486" t="s">
        <v>1919</v>
      </c>
      <c r="D6" s="3487"/>
      <c r="E6" s="3488" t="s">
        <v>1919</v>
      </c>
      <c r="F6" s="3489"/>
      <c r="G6" s="3486" t="s">
        <v>1919</v>
      </c>
      <c r="H6" s="3487"/>
      <c r="I6" s="3486" t="s">
        <v>1919</v>
      </c>
      <c r="J6" s="3487"/>
      <c r="K6" s="537" t="s">
        <v>1678</v>
      </c>
      <c r="L6" s="2482"/>
      <c r="M6" s="2483"/>
      <c r="N6" s="2483"/>
      <c r="O6" s="2483"/>
      <c r="P6" s="3415"/>
      <c r="Q6" s="3416"/>
      <c r="R6" s="3395"/>
      <c r="S6" s="3396"/>
      <c r="T6" s="3417"/>
      <c r="U6" s="3418"/>
      <c r="V6" s="3390"/>
      <c r="W6" s="3390"/>
      <c r="X6" s="1263"/>
      <c r="Y6" s="3417"/>
      <c r="Z6" s="3418"/>
      <c r="AA6" s="3389"/>
      <c r="AB6" s="3389"/>
      <c r="AC6" s="3389"/>
    </row>
    <row r="7" spans="1:29" s="102" customFormat="1" ht="15" thickBot="1">
      <c r="A7" s="352" t="s">
        <v>1679</v>
      </c>
      <c r="B7" s="353"/>
      <c r="C7" s="354">
        <f>'数据-取费表'!B2</f>
        <v>45799</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29"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429"/>
      <c r="Q10" s="530" t="str">
        <f t="shared" si="6"/>
        <v>土地使用年限（年）</v>
      </c>
      <c r="R10" s="664" t="s">
        <v>14</v>
      </c>
      <c r="S10" s="665" t="e">
        <f t="shared" si="0"/>
        <v>#DIV/0!</v>
      </c>
      <c r="T10" s="664" t="s">
        <v>14</v>
      </c>
      <c r="U10" s="665" t="e">
        <f t="shared" si="1"/>
        <v>#DIV/0!</v>
      </c>
      <c r="V10" s="664" t="s">
        <v>14</v>
      </c>
      <c r="W10" s="665" t="e">
        <f t="shared" si="2"/>
        <v>#DIV/0!</v>
      </c>
      <c r="X10" s="666"/>
      <c r="Y10" s="336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29"/>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29"/>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29"/>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29"/>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2" t="s">
        <v>1691</v>
      </c>
      <c r="Q15" s="1261" t="str">
        <f t="shared" si="6"/>
        <v>产业集聚程度</v>
      </c>
      <c r="R15" s="667" t="s">
        <v>14</v>
      </c>
      <c r="S15" s="668">
        <f t="shared" si="0"/>
        <v>100</v>
      </c>
      <c r="T15" s="667" t="s">
        <v>14</v>
      </c>
      <c r="U15" s="668">
        <f t="shared" si="1"/>
        <v>100</v>
      </c>
      <c r="V15" s="667" t="s">
        <v>14</v>
      </c>
      <c r="W15" s="668">
        <f t="shared" si="2"/>
        <v>100</v>
      </c>
      <c r="X15" s="1263"/>
      <c r="Y15" s="3422"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23"/>
      <c r="Q16" s="1261"/>
      <c r="R16" s="667"/>
      <c r="S16" s="668"/>
      <c r="T16" s="667"/>
      <c r="U16" s="668"/>
      <c r="V16" s="667"/>
      <c r="W16" s="668"/>
      <c r="X16" s="1263"/>
      <c r="Y16" s="3423"/>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23"/>
      <c r="Q17" s="1261" t="str">
        <f>B17</f>
        <v>交通便捷度</v>
      </c>
      <c r="R17" s="667" t="s">
        <v>14</v>
      </c>
      <c r="S17" s="668">
        <f>F17</f>
        <v>100</v>
      </c>
      <c r="T17" s="667" t="s">
        <v>14</v>
      </c>
      <c r="U17" s="668">
        <f>H17</f>
        <v>100</v>
      </c>
      <c r="V17" s="667" t="s">
        <v>14</v>
      </c>
      <c r="W17" s="668">
        <f>J17</f>
        <v>100</v>
      </c>
      <c r="X17" s="1263"/>
      <c r="Y17" s="3423"/>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23"/>
      <c r="Q18" s="1261"/>
      <c r="R18" s="667"/>
      <c r="S18" s="668"/>
      <c r="T18" s="667"/>
      <c r="U18" s="668"/>
      <c r="V18" s="667"/>
      <c r="W18" s="668"/>
      <c r="X18" s="1263"/>
      <c r="Y18" s="3423"/>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23"/>
      <c r="Q19" s="1261" t="str">
        <f t="shared" ref="Q19:Q33" si="8">B19</f>
        <v>区域土地利用方向</v>
      </c>
      <c r="R19" s="667" t="s">
        <v>14</v>
      </c>
      <c r="S19" s="668">
        <f>F19</f>
        <v>100</v>
      </c>
      <c r="T19" s="667" t="s">
        <v>14</v>
      </c>
      <c r="U19" s="668">
        <f>H19</f>
        <v>100</v>
      </c>
      <c r="V19" s="667" t="s">
        <v>14</v>
      </c>
      <c r="W19" s="668">
        <f>J19</f>
        <v>100</v>
      </c>
      <c r="X19" s="1263"/>
      <c r="Y19" s="3423"/>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23"/>
      <c r="Q20" s="1261"/>
      <c r="R20" s="667"/>
      <c r="S20" s="668"/>
      <c r="T20" s="667"/>
      <c r="U20" s="668"/>
      <c r="V20" s="667"/>
      <c r="W20" s="668"/>
      <c r="X20" s="1263"/>
      <c r="Y20" s="3423"/>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23"/>
      <c r="Q21" s="1261" t="str">
        <f t="shared" si="8"/>
        <v>环境状况</v>
      </c>
      <c r="R21" s="667" t="s">
        <v>14</v>
      </c>
      <c r="S21" s="668">
        <f>F21</f>
        <v>100</v>
      </c>
      <c r="T21" s="667" t="s">
        <v>14</v>
      </c>
      <c r="U21" s="668">
        <f>H21</f>
        <v>100</v>
      </c>
      <c r="V21" s="667" t="s">
        <v>14</v>
      </c>
      <c r="W21" s="668">
        <f>J21</f>
        <v>100</v>
      </c>
      <c r="X21" s="1263"/>
      <c r="Y21" s="3423"/>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23"/>
      <c r="Q22" s="1261"/>
      <c r="R22" s="667"/>
      <c r="S22" s="668"/>
      <c r="T22" s="667"/>
      <c r="U22" s="668"/>
      <c r="V22" s="667"/>
      <c r="W22" s="668"/>
      <c r="X22" s="1263"/>
      <c r="Y22" s="3423"/>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23"/>
      <c r="Q24" s="530"/>
      <c r="R24" s="664"/>
      <c r="S24" s="665"/>
      <c r="T24" s="664"/>
      <c r="U24" s="665"/>
      <c r="V24" s="664"/>
      <c r="W24" s="665"/>
      <c r="X24" s="666"/>
      <c r="Y24" s="3423"/>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3"/>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3"/>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3"/>
      <c r="Q28" s="1261" t="str">
        <f t="shared" si="8"/>
        <v>毗邻道路的类型与等级</v>
      </c>
      <c r="R28" s="667" t="s">
        <v>14</v>
      </c>
      <c r="S28" s="668">
        <f t="shared" si="10"/>
        <v>100</v>
      </c>
      <c r="T28" s="667" t="s">
        <v>14</v>
      </c>
      <c r="U28" s="668">
        <f t="shared" si="11"/>
        <v>100</v>
      </c>
      <c r="V28" s="667" t="s">
        <v>14</v>
      </c>
      <c r="W28" s="668">
        <f t="shared" si="12"/>
        <v>100</v>
      </c>
      <c r="X28" s="1263"/>
      <c r="Y28" s="3423"/>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23"/>
      <c r="Q29" s="1261"/>
      <c r="R29" s="667"/>
      <c r="S29" s="668"/>
      <c r="T29" s="667"/>
      <c r="U29" s="668"/>
      <c r="V29" s="667"/>
      <c r="W29" s="668"/>
      <c r="X29" s="1263"/>
      <c r="Y29" s="3423"/>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23"/>
      <c r="Q30" s="1261" t="str">
        <f t="shared" si="8"/>
        <v>土地级别</v>
      </c>
      <c r="R30" s="667" t="s">
        <v>14</v>
      </c>
      <c r="S30" s="668">
        <f t="shared" si="10"/>
        <v>100</v>
      </c>
      <c r="T30" s="667" t="s">
        <v>14</v>
      </c>
      <c r="U30" s="668">
        <f t="shared" si="11"/>
        <v>100</v>
      </c>
      <c r="V30" s="667" t="s">
        <v>14</v>
      </c>
      <c r="W30" s="668">
        <f t="shared" si="12"/>
        <v>100</v>
      </c>
      <c r="X30" s="1263"/>
      <c r="Y30" s="3423"/>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3"/>
      <c r="Q31" s="1261">
        <f t="shared" si="8"/>
        <v>111</v>
      </c>
      <c r="R31" s="667" t="s">
        <v>14</v>
      </c>
      <c r="S31" s="668">
        <f t="shared" si="10"/>
        <v>100</v>
      </c>
      <c r="T31" s="667" t="s">
        <v>14</v>
      </c>
      <c r="U31" s="668">
        <f t="shared" si="11"/>
        <v>100</v>
      </c>
      <c r="V31" s="667" t="s">
        <v>14</v>
      </c>
      <c r="W31" s="668">
        <f t="shared" si="12"/>
        <v>100</v>
      </c>
      <c r="X31" s="1263"/>
      <c r="Y31" s="3423"/>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1" t="s">
        <v>1696</v>
      </c>
      <c r="Q32" s="1261">
        <f t="shared" si="8"/>
        <v>111</v>
      </c>
      <c r="R32" s="667" t="s">
        <v>14</v>
      </c>
      <c r="S32" s="668">
        <f t="shared" si="10"/>
        <v>100</v>
      </c>
      <c r="T32" s="667" t="s">
        <v>14</v>
      </c>
      <c r="U32" s="668">
        <f t="shared" si="11"/>
        <v>100</v>
      </c>
      <c r="V32" s="667" t="s">
        <v>14</v>
      </c>
      <c r="W32" s="668">
        <f t="shared" si="12"/>
        <v>100</v>
      </c>
      <c r="X32" s="1263"/>
      <c r="Y32" s="3427"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27"/>
      <c r="Q33" s="1261">
        <f t="shared" si="8"/>
        <v>111</v>
      </c>
      <c r="R33" s="669" t="s">
        <v>14</v>
      </c>
      <c r="S33" s="670">
        <f t="shared" si="10"/>
        <v>100</v>
      </c>
      <c r="T33" s="669" t="s">
        <v>14</v>
      </c>
      <c r="U33" s="670">
        <f t="shared" si="11"/>
        <v>100</v>
      </c>
      <c r="V33" s="669" t="s">
        <v>14</v>
      </c>
      <c r="W33" s="670">
        <f t="shared" si="12"/>
        <v>100</v>
      </c>
      <c r="X33" s="671"/>
      <c r="Y33" s="3427"/>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27"/>
      <c r="Q34" s="1261" t="str">
        <f>B34</f>
        <v>宗地面积</v>
      </c>
      <c r="R34" s="667" t="s">
        <v>14</v>
      </c>
      <c r="S34" s="668" t="e">
        <f t="shared" si="10"/>
        <v>#N/A</v>
      </c>
      <c r="T34" s="667" t="s">
        <v>14</v>
      </c>
      <c r="U34" s="668" t="e">
        <f t="shared" si="11"/>
        <v>#N/A</v>
      </c>
      <c r="V34" s="667" t="s">
        <v>14</v>
      </c>
      <c r="W34" s="668" t="e">
        <f t="shared" si="12"/>
        <v>#N/A</v>
      </c>
      <c r="X34" s="1263"/>
      <c r="Y34" s="3427"/>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27"/>
      <c r="Q35" s="1261" t="str">
        <f t="shared" ref="Q35:Q40" si="14">B35</f>
        <v>宗地形状</v>
      </c>
      <c r="R35" s="667" t="s">
        <v>14</v>
      </c>
      <c r="S35" s="668">
        <f t="shared" si="10"/>
        <v>100</v>
      </c>
      <c r="T35" s="667" t="s">
        <v>14</v>
      </c>
      <c r="U35" s="668">
        <f t="shared" si="11"/>
        <v>100</v>
      </c>
      <c r="V35" s="667" t="s">
        <v>14</v>
      </c>
      <c r="W35" s="668">
        <f t="shared" si="12"/>
        <v>100</v>
      </c>
      <c r="X35" s="1263"/>
      <c r="Y35" s="3427"/>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27"/>
      <c r="Q36" s="1261"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27" t="s">
        <v>1696</v>
      </c>
      <c r="Q37" s="1261" t="str">
        <f t="shared" si="14"/>
        <v>工程地质条件</v>
      </c>
      <c r="R37" s="667" t="s">
        <v>14</v>
      </c>
      <c r="S37" s="668">
        <f t="shared" si="10"/>
        <v>100</v>
      </c>
      <c r="T37" s="667" t="s">
        <v>14</v>
      </c>
      <c r="U37" s="668">
        <f t="shared" si="11"/>
        <v>100</v>
      </c>
      <c r="V37" s="667" t="s">
        <v>14</v>
      </c>
      <c r="W37" s="668">
        <f t="shared" si="12"/>
        <v>100</v>
      </c>
      <c r="X37" s="1263"/>
      <c r="Y37" s="3427"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27"/>
      <c r="Q38" s="1261">
        <f t="shared" si="14"/>
        <v>111</v>
      </c>
      <c r="R38" s="667" t="s">
        <v>14</v>
      </c>
      <c r="S38" s="668">
        <f t="shared" si="10"/>
        <v>100</v>
      </c>
      <c r="T38" s="667" t="s">
        <v>14</v>
      </c>
      <c r="U38" s="668">
        <f t="shared" si="11"/>
        <v>100</v>
      </c>
      <c r="V38" s="667" t="s">
        <v>14</v>
      </c>
      <c r="W38" s="668">
        <f t="shared" si="12"/>
        <v>100</v>
      </c>
      <c r="X38" s="1263"/>
      <c r="Y38" s="3427"/>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27"/>
      <c r="Q39" s="1261">
        <f t="shared" si="14"/>
        <v>111</v>
      </c>
      <c r="R39" s="667" t="s">
        <v>14</v>
      </c>
      <c r="S39" s="668">
        <f t="shared" si="10"/>
        <v>100</v>
      </c>
      <c r="T39" s="667" t="s">
        <v>14</v>
      </c>
      <c r="U39" s="668">
        <f t="shared" si="11"/>
        <v>100</v>
      </c>
      <c r="V39" s="667" t="s">
        <v>14</v>
      </c>
      <c r="W39" s="668">
        <f t="shared" si="12"/>
        <v>100</v>
      </c>
      <c r="X39" s="1263"/>
      <c r="Y39" s="3427"/>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27"/>
      <c r="Q40" s="1261">
        <f t="shared" si="14"/>
        <v>111</v>
      </c>
      <c r="R40" s="669" t="s">
        <v>14</v>
      </c>
      <c r="S40" s="670">
        <f t="shared" si="10"/>
        <v>100</v>
      </c>
      <c r="T40" s="669" t="s">
        <v>14</v>
      </c>
      <c r="U40" s="670">
        <f t="shared" si="11"/>
        <v>100</v>
      </c>
      <c r="V40" s="669" t="s">
        <v>14</v>
      </c>
      <c r="W40" s="670">
        <f t="shared" si="12"/>
        <v>100</v>
      </c>
      <c r="X40" s="671"/>
      <c r="Y40" s="3427"/>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429" t="str">
        <f>A41</f>
        <v>成交单价</v>
      </c>
      <c r="Q41" s="3429"/>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429" t="str">
        <f>A42</f>
        <v>比较价值（元/平方米）</v>
      </c>
      <c r="Q42" s="3429"/>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0" t="str">
        <f>A43</f>
        <v>估价对象XX用房的比较价值（楼面单价，元/平方米）</v>
      </c>
      <c r="Q43" s="3431"/>
      <c r="R43" s="3484" t="e">
        <f>ROUND(IF(D42="简单平均",AVERAGE(R42:W42),R42*F42+T42*H42+V42*J42),0)</f>
        <v>#DIV/0!</v>
      </c>
      <c r="S43" s="3484"/>
      <c r="T43" s="3484"/>
      <c r="U43" s="3484"/>
      <c r="V43" s="3484"/>
      <c r="W43" s="348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07" t="s">
        <v>1887</v>
      </c>
      <c r="H50" s="3485"/>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242.22</v>
      </c>
      <c r="F51" s="611" t="e">
        <f t="shared" ref="F51:F60" si="15">ROUND(B51*E51/10000,0)</f>
        <v>#DIV/0!</v>
      </c>
      <c r="G51" s="3406"/>
      <c r="H51" s="342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7.399999999999999">
      <c r="A3" s="3208" t="str">
        <f>IF(项目基本情况!B9="房地产市场价值","估价结果一览表（市场价值不需“结果表-1”）","估价结果一览表")</f>
        <v>估价结果一览表</v>
      </c>
      <c r="B3" s="3208"/>
      <c r="C3" s="3208"/>
      <c r="D3" s="3208"/>
      <c r="E3" s="3208"/>
    </row>
    <row r="4" spans="1:5" ht="18" thickBot="1">
      <c r="A4" s="1389"/>
      <c r="B4" s="3206" t="s">
        <v>917</v>
      </c>
      <c r="C4" s="3206"/>
      <c r="D4" s="3206"/>
      <c r="E4" s="1389"/>
    </row>
    <row r="5" spans="1:5" ht="16.2" thickTop="1">
      <c r="B5" s="3204" t="s">
        <v>909</v>
      </c>
      <c r="C5" s="1390" t="s">
        <v>910</v>
      </c>
      <c r="D5" s="797">
        <f ca="1">结果表!H101</f>
        <v>803</v>
      </c>
    </row>
    <row r="6" spans="1:5" ht="15.6">
      <c r="B6" s="3204"/>
      <c r="C6" s="1390" t="s">
        <v>911</v>
      </c>
      <c r="D6" s="797" t="str">
        <f ca="1">NUMBERSTRING(INT(D5*10000),2)&amp;"元整"</f>
        <v>捌佰零叁万元整</v>
      </c>
    </row>
    <row r="7" spans="1:5" ht="15.6">
      <c r="B7" s="3209"/>
      <c r="C7" s="1391" t="s">
        <v>912</v>
      </c>
      <c r="D7" s="798">
        <f ca="1">结果表!H102</f>
        <v>33133</v>
      </c>
    </row>
    <row r="8" spans="1:5" ht="15.6">
      <c r="B8" s="3210" t="str">
        <f>结果表!E103</f>
        <v>2.估价师知悉的法定优先受偿款</v>
      </c>
      <c r="C8" s="1392" t="s">
        <v>913</v>
      </c>
      <c r="D8" s="798">
        <f>结果表!H103</f>
        <v>0</v>
      </c>
    </row>
    <row r="9" spans="1:5" ht="15.6">
      <c r="B9" s="3212"/>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3" t="str">
        <f>结果表!E107</f>
        <v>3.房地产抵押价值</v>
      </c>
      <c r="C13" s="1395" t="s">
        <v>910</v>
      </c>
      <c r="D13" s="800">
        <f ca="1">结果表!H107</f>
        <v>803</v>
      </c>
    </row>
    <row r="14" spans="1:5" ht="15.6">
      <c r="B14" s="3204"/>
      <c r="C14" s="1390" t="s">
        <v>911</v>
      </c>
      <c r="D14" s="797" t="str">
        <f ca="1">NUMBERSTRING(INT(D13*10000),2)&amp;"元整"</f>
        <v>捌佰零叁万元整</v>
      </c>
    </row>
    <row r="15" spans="1:5" ht="15.6">
      <c r="B15" s="3209"/>
      <c r="C15" s="1391" t="s">
        <v>921</v>
      </c>
      <c r="D15" s="806">
        <f ca="1">结果表!H108</f>
        <v>33133</v>
      </c>
    </row>
    <row r="16" spans="1:5" ht="15.6">
      <c r="B16" s="3210" t="str">
        <f>结果表!E109</f>
        <v>——</v>
      </c>
      <c r="C16" s="1395" t="s">
        <v>922</v>
      </c>
      <c r="D16" s="1396" t="str">
        <f>结果表!H109</f>
        <v>——</v>
      </c>
    </row>
    <row r="17" spans="1:5" ht="15.6">
      <c r="B17" s="3211"/>
      <c r="C17" s="1390" t="s">
        <v>923</v>
      </c>
      <c r="D17" s="797" t="e">
        <f>NUMBERSTRING(INT(D16*10000),2)&amp;"元整"</f>
        <v>#VALUE!</v>
      </c>
    </row>
    <row r="18" spans="1:5" ht="15.6">
      <c r="B18" s="3212"/>
      <c r="C18" s="1391" t="s">
        <v>912</v>
      </c>
      <c r="D18" s="806" t="str">
        <f>结果表!H110</f>
        <v>——</v>
      </c>
    </row>
    <row r="19" spans="1:5" ht="15.6">
      <c r="B19" s="3203" t="str">
        <f>结果表!E111</f>
        <v>——</v>
      </c>
      <c r="C19" s="1395" t="s">
        <v>910</v>
      </c>
      <c r="D19" s="798" t="str">
        <f>结果表!H111</f>
        <v>——</v>
      </c>
    </row>
    <row r="20" spans="1:5" ht="15.6">
      <c r="B20" s="3204"/>
      <c r="C20" s="1390" t="s">
        <v>923</v>
      </c>
      <c r="D20" s="797" t="e">
        <f>NUMBERSTRING(INT(D19*10000),2)&amp;"元整"</f>
        <v>#VALUE!</v>
      </c>
    </row>
    <row r="21" spans="1:5" ht="16.2" thickBot="1">
      <c r="B21" s="3205"/>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t="e">
        <f>MATCH(B1,'数据-取费表'!A6:A16,0)+5</f>
        <v>#N/A</v>
      </c>
      <c r="H1" s="996" t="str">
        <f>IF(ISERROR(FIND("住宅",B1)),"非住宅","住宅")</f>
        <v>非住宅</v>
      </c>
    </row>
    <row r="2" spans="1:8" s="192" customFormat="1" ht="18" customHeight="1">
      <c r="A2" s="193" t="s">
        <v>1462</v>
      </c>
      <c r="B2" s="3118" t="e">
        <f ca="1">ROUND(IF(D2="——",C52/10000,C52/10000-E2),4)</f>
        <v>#N/A</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3367141</v>
      </c>
      <c r="D6" s="209"/>
      <c r="E6" s="210"/>
      <c r="F6" s="210"/>
      <c r="G6" s="211"/>
    </row>
    <row r="7" spans="1:8" s="206" customFormat="1" ht="13.5" customHeight="1">
      <c r="A7" s="732" t="s">
        <v>1474</v>
      </c>
      <c r="B7" s="207" t="s">
        <v>1475</v>
      </c>
      <c r="C7" s="212">
        <f>ROUND(C6*F7,0)</f>
        <v>102698</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3450</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3451</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4" t="s">
        <v>1591</v>
      </c>
    </row>
    <row r="43" spans="1:7" ht="13.5" customHeight="1">
      <c r="A43" s="734" t="s">
        <v>347</v>
      </c>
      <c r="B43" s="207" t="s">
        <v>1545</v>
      </c>
      <c r="C43" s="230" t="e">
        <f ca="1">ROUND(IF('数据-取费表'!B22&lt;=1,C39*F22*'数据-取费表'!B20/2,C39*(POWER((1+F22),'数据-取费表'!B20/2)-1)),0)</f>
        <v>#N/A</v>
      </c>
      <c r="D43" s="230"/>
      <c r="E43" s="230"/>
      <c r="F43" s="231"/>
      <c r="G43" s="3385"/>
    </row>
    <row r="44" spans="1:7" ht="13.5" customHeight="1">
      <c r="A44" s="734" t="s">
        <v>348</v>
      </c>
      <c r="B44" s="207" t="s">
        <v>1546</v>
      </c>
      <c r="C44" s="230">
        <f ca="1">ROUND(IF('数据-取费表'!B22&lt;=1,C40*F22*'数据-取费表'!B20/2,C40*(POWER((1+F22),'数据-取费表'!B20/2)-1)),4)</f>
        <v>5.9999999999999995E-4</v>
      </c>
      <c r="D44" s="230"/>
      <c r="E44" s="230"/>
      <c r="F44" s="231"/>
      <c r="G44" s="3386"/>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2" xr:uid="{00000000-0002-0000-2800-000003000000}">
      <formula1>估价方法</formula1>
    </dataValidation>
    <dataValidation type="list" allowBlank="1" showInputMessage="1" showErrorMessage="1" sqref="D2" xr:uid="{00000000-0002-0000-2800-000004000000}">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14931</v>
      </c>
      <c r="U2" s="3167">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11769</v>
      </c>
      <c r="U3" s="3167">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497"/>
      <c r="B4" s="3498"/>
      <c r="C4" s="3498"/>
      <c r="D4" s="3499"/>
      <c r="E4" s="3499"/>
      <c r="F4" s="3499"/>
      <c r="G4" s="3499"/>
      <c r="H4" s="3499"/>
      <c r="I4" s="3499"/>
      <c r="J4" s="3500"/>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9946</v>
      </c>
      <c r="U4" s="3167"/>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8772</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8430</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3443</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4" t="s">
        <v>1960</v>
      </c>
      <c r="X8" s="3495"/>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96"/>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9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1" t="s">
        <v>3249</v>
      </c>
      <c r="B20" s="159" t="s">
        <v>1994</v>
      </c>
      <c r="C20" s="3027">
        <f>ROUND(IF(F21="与级别开发程度一致",0,(G21-E21)/C21),0)</f>
        <v>0</v>
      </c>
      <c r="D20" s="3042" t="s">
        <v>1998</v>
      </c>
      <c r="E20" s="3043"/>
      <c r="F20" s="3507" t="s">
        <v>1995</v>
      </c>
      <c r="G20" s="3508"/>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2"/>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5"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45799</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0.85829999999999995</v>
      </c>
      <c r="D24" s="1900" t="s">
        <v>2007</v>
      </c>
      <c r="E24" s="1246">
        <f>存贷款利率!E27/100</f>
        <v>4.3499999999999997E-2</v>
      </c>
      <c r="F24" s="1900" t="s">
        <v>1999</v>
      </c>
      <c r="G24" s="724">
        <f>SUMIF(M30:Q30,E2,M33:Q33)</f>
        <v>5.5E-2</v>
      </c>
      <c r="H24" s="1900" t="s">
        <v>2008</v>
      </c>
      <c r="I24" s="725">
        <f>SUMIF('数据-取费表'!C6:C15,E2,'数据-取费表'!F6:F15)/COUNTIF('数据-取费表'!C6:C15,E2)</f>
        <v>26.46</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3445</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5"/>
      <c r="B37" s="1953" t="s">
        <v>2036</v>
      </c>
      <c r="C37" s="167">
        <f>ROUND(D5*C22*C23*C24*C28*F37,0)</f>
        <v>5965</v>
      </c>
      <c r="D37" s="1938"/>
      <c r="E37" s="163">
        <f>ROUND(C37*D37/10000,0)</f>
        <v>0</v>
      </c>
      <c r="F37" s="163">
        <f>SUMIF(修正!A57:A68,G2,修正!B57:B68)</f>
        <v>0.6</v>
      </c>
      <c r="G37" s="163">
        <f>ROUND(IF(E2="工业",C37*$M$42,C37*$M$41),0)</f>
        <v>1491</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6"/>
      <c r="B38" s="1882" t="s">
        <v>2037</v>
      </c>
      <c r="C38" s="167">
        <f>ROUND(D5*C22*C23*C24*C28*F38,0)</f>
        <v>2982</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6"/>
      <c r="B39" s="1882" t="s">
        <v>3254</v>
      </c>
      <c r="C39" s="167">
        <f>ROUND(D5*C22*C23*C24*C28*F39,0)</f>
        <v>2485</v>
      </c>
      <c r="D39" s="1938"/>
      <c r="E39" s="163">
        <f t="shared" si="4"/>
        <v>0</v>
      </c>
      <c r="F39" s="163">
        <f>SUMIF(修正!A57:A68,G2,修正!D57:D68)</f>
        <v>0.25</v>
      </c>
      <c r="G39" s="163">
        <f>ROUND(IF(E2="工业",C39*$M$42,C39*$M$41),0)</f>
        <v>621</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2485</v>
      </c>
      <c r="D40" s="1938"/>
      <c r="E40" s="163">
        <f t="shared" si="4"/>
        <v>0</v>
      </c>
      <c r="F40" s="167">
        <f>SUMIF(修正!A57:A68,G2,修正!E57:E68)</f>
        <v>0.25</v>
      </c>
      <c r="G40" s="163">
        <f>ROUND(IF(E2="工业",C40*$M$42,C40*$M$41),0)</f>
        <v>621</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3446</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3447</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3447</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3447</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3448</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3447</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3447</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3449</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3447</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3" t="s">
        <v>3289</v>
      </c>
      <c r="B103" s="3503"/>
      <c r="C103" s="3503"/>
      <c r="D103" s="3503"/>
      <c r="E103" s="3503"/>
      <c r="F103" s="3503"/>
      <c r="G103" s="3503"/>
      <c r="H103" s="3503"/>
      <c r="I103" s="3503"/>
      <c r="J103" s="3503"/>
      <c r="K103" s="1665"/>
      <c r="L103" s="1665"/>
      <c r="M103" s="1665"/>
      <c r="N103" s="1665"/>
    </row>
    <row r="104" spans="1:14">
      <c r="A104" s="3504" t="s">
        <v>3290</v>
      </c>
      <c r="B104" s="3504" t="s">
        <v>3291</v>
      </c>
      <c r="C104" s="3086" t="s">
        <v>3292</v>
      </c>
      <c r="D104" s="3087"/>
      <c r="E104" s="3087"/>
      <c r="F104" s="3087"/>
      <c r="G104" s="3087"/>
      <c r="H104" s="3087"/>
      <c r="I104" s="3087"/>
      <c r="J104" s="3088"/>
      <c r="K104" s="3089"/>
      <c r="L104" s="3089"/>
      <c r="M104" s="3089"/>
      <c r="N104" s="3089"/>
    </row>
    <row r="105" spans="1:14">
      <c r="A105" s="3504"/>
      <c r="B105" s="3504"/>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0"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1"/>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3" t="s">
        <v>3306</v>
      </c>
      <c r="B113" s="3493"/>
      <c r="C113" s="3493"/>
      <c r="D113" s="3493"/>
      <c r="E113" s="3493"/>
      <c r="F113" s="3493"/>
      <c r="G113" s="3493"/>
      <c r="H113" s="3493"/>
      <c r="I113" s="3493"/>
      <c r="J113" s="3493"/>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900-000000000000}">
      <formula1>"500米范围内,500-1000米,1000米以外"</formula1>
    </dataValidation>
    <dataValidation type="list" allowBlank="1" showInputMessage="1" showErrorMessage="1" sqref="C15:D15" xr:uid="{00000000-0002-0000-2900-000001000000}">
      <formula1>"有,无"</formula1>
    </dataValidation>
    <dataValidation type="list" allowBlank="1" showInputMessage="1" showErrorMessage="1" sqref="B25" xr:uid="{00000000-0002-0000-2900-000002000000}">
      <formula1>"容积率修正,楼层修正"</formula1>
    </dataValidation>
    <dataValidation type="list" allowBlank="1" showInputMessage="1" showErrorMessage="1" sqref="F21" xr:uid="{00000000-0002-0000-2900-000003000000}">
      <formula1>"与级别开发程度一致,与级别开发程度不一致"</formula1>
    </dataValidation>
    <dataValidation type="list" allowBlank="1" showInputMessage="1" showErrorMessage="1" sqref="E2" xr:uid="{00000000-0002-0000-2900-000004000000}">
      <formula1>"商业,办公,住宅,工业,公共服务"</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61:C69 C72:C80 C50:C58 C83:C91 C93:C101" xr:uid="{00000000-0002-0000-2900-000008000000}">
      <formula1>五等判定</formula1>
    </dataValidation>
    <dataValidation type="list" allowBlank="1" showInputMessage="1" showErrorMessage="1" sqref="H23" xr:uid="{00000000-0002-0000-2900-000009000000}">
      <formula1>"地价指数,季度增幅（自定义）,按公示增长率计算"</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16" t="s">
        <v>2602</v>
      </c>
      <c r="B20" s="3509" t="s">
        <v>2623</v>
      </c>
      <c r="C20" s="2838" t="s">
        <v>2434</v>
      </c>
      <c r="D20" s="2839"/>
      <c r="E20" s="2840">
        <v>1</v>
      </c>
      <c r="F20" s="2841" t="s">
        <v>2435</v>
      </c>
      <c r="G20" s="2841"/>
    </row>
    <row r="21" spans="1:13" ht="19.5" customHeight="1">
      <c r="A21" s="3517"/>
      <c r="B21" s="3510"/>
      <c r="C21" s="2842" t="s">
        <v>2436</v>
      </c>
      <c r="D21" s="2843"/>
      <c r="E21" s="2844">
        <v>1</v>
      </c>
      <c r="F21" s="2841" t="s">
        <v>2437</v>
      </c>
      <c r="G21" s="2841"/>
    </row>
    <row r="22" spans="1:13" ht="19.5" customHeight="1">
      <c r="A22" s="3517"/>
      <c r="B22" s="3510"/>
      <c r="C22" s="2842" t="s">
        <v>2438</v>
      </c>
      <c r="D22" s="2843"/>
      <c r="E22" s="2844">
        <v>0.9</v>
      </c>
      <c r="F22" s="2841" t="s">
        <v>2439</v>
      </c>
      <c r="G22" s="2841"/>
    </row>
    <row r="23" spans="1:13" ht="19.5" customHeight="1">
      <c r="A23" s="3517"/>
      <c r="B23" s="3510"/>
      <c r="C23" s="2842" t="s">
        <v>2440</v>
      </c>
      <c r="D23" s="2843"/>
      <c r="E23" s="2844">
        <v>0.9</v>
      </c>
      <c r="F23" s="2841" t="s">
        <v>2441</v>
      </c>
      <c r="G23" s="2841"/>
    </row>
    <row r="24" spans="1:13" ht="19.5" customHeight="1">
      <c r="A24" s="3517"/>
      <c r="B24" s="3510"/>
      <c r="C24" s="2842" t="s">
        <v>2442</v>
      </c>
      <c r="D24" s="2843"/>
      <c r="E24" s="2844">
        <v>0.8</v>
      </c>
      <c r="F24" s="2841" t="s">
        <v>2443</v>
      </c>
      <c r="G24" s="2841"/>
    </row>
    <row r="25" spans="1:13" ht="19.5" customHeight="1" thickBot="1">
      <c r="A25" s="3518"/>
      <c r="B25" s="3511"/>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2" t="s">
        <v>2626</v>
      </c>
      <c r="B27" s="3509" t="s">
        <v>2607</v>
      </c>
      <c r="C27" s="2838" t="s">
        <v>2447</v>
      </c>
      <c r="D27" s="2839"/>
      <c r="E27" s="2840">
        <v>1</v>
      </c>
      <c r="F27" s="2841" t="s">
        <v>2448</v>
      </c>
      <c r="G27" s="2841"/>
    </row>
    <row r="28" spans="1:13" ht="19.5" customHeight="1">
      <c r="A28" s="3513"/>
      <c r="B28" s="3510"/>
      <c r="C28" s="2842" t="s">
        <v>2449</v>
      </c>
      <c r="D28" s="2843"/>
      <c r="E28" s="2844">
        <v>1</v>
      </c>
      <c r="F28" s="2841" t="s">
        <v>2450</v>
      </c>
      <c r="G28" s="2841"/>
    </row>
    <row r="29" spans="1:13" ht="19.5" customHeight="1">
      <c r="A29" s="3513"/>
      <c r="B29" s="3510"/>
      <c r="C29" s="2842" t="s">
        <v>2451</v>
      </c>
      <c r="D29" s="2843"/>
      <c r="E29" s="2844">
        <v>0.8</v>
      </c>
      <c r="F29" s="2841" t="s">
        <v>2452</v>
      </c>
      <c r="G29" s="2841"/>
    </row>
    <row r="30" spans="1:13" ht="19.5" customHeight="1">
      <c r="A30" s="3513"/>
      <c r="B30" s="3510"/>
      <c r="C30" s="2842" t="s">
        <v>2453</v>
      </c>
      <c r="D30" s="2843"/>
      <c r="E30" s="2844">
        <v>0.8</v>
      </c>
      <c r="F30" s="2841" t="s">
        <v>2454</v>
      </c>
      <c r="G30" s="2841"/>
    </row>
    <row r="31" spans="1:13" ht="19.5" customHeight="1">
      <c r="A31" s="3513"/>
      <c r="B31" s="3510"/>
      <c r="C31" s="2842" t="s">
        <v>2455</v>
      </c>
      <c r="D31" s="2843"/>
      <c r="E31" s="2844">
        <v>0.8</v>
      </c>
      <c r="F31" s="2841" t="s">
        <v>2456</v>
      </c>
      <c r="G31" s="2841"/>
    </row>
    <row r="32" spans="1:13" ht="19.5" customHeight="1">
      <c r="A32" s="3513"/>
      <c r="B32" s="3510"/>
      <c r="C32" s="2842" t="s">
        <v>2457</v>
      </c>
      <c r="D32" s="2843"/>
      <c r="E32" s="2844">
        <v>0.7</v>
      </c>
      <c r="F32" s="2841" t="s">
        <v>2458</v>
      </c>
      <c r="G32" s="2841"/>
    </row>
    <row r="33" spans="1:7" ht="19.5" customHeight="1">
      <c r="A33" s="3513"/>
      <c r="B33" s="3510"/>
      <c r="C33" s="2842" t="s">
        <v>2459</v>
      </c>
      <c r="D33" s="2843"/>
      <c r="E33" s="2844">
        <v>0.8</v>
      </c>
      <c r="F33" s="2841" t="s">
        <v>2460</v>
      </c>
      <c r="G33" s="2841"/>
    </row>
    <row r="34" spans="1:7" ht="19.5" customHeight="1">
      <c r="A34" s="3513"/>
      <c r="B34" s="3510"/>
      <c r="C34" s="2842" t="s">
        <v>2461</v>
      </c>
      <c r="D34" s="2843"/>
      <c r="E34" s="2844">
        <v>0.6</v>
      </c>
      <c r="F34" s="2841" t="s">
        <v>2462</v>
      </c>
      <c r="G34" s="2841"/>
    </row>
    <row r="35" spans="1:7" ht="19.5" customHeight="1">
      <c r="A35" s="3513"/>
      <c r="B35" s="3510"/>
      <c r="C35" s="2842" t="s">
        <v>2463</v>
      </c>
      <c r="D35" s="2843"/>
      <c r="E35" s="2844">
        <v>0.2</v>
      </c>
      <c r="F35" s="2841" t="s">
        <v>2464</v>
      </c>
      <c r="G35" s="2841"/>
    </row>
    <row r="36" spans="1:7" ht="19.5" customHeight="1">
      <c r="A36" s="3513"/>
      <c r="B36" s="3510"/>
      <c r="C36" s="2842" t="s">
        <v>2465</v>
      </c>
      <c r="D36" s="2843"/>
      <c r="E36" s="2844">
        <v>0.2</v>
      </c>
      <c r="F36" s="2841" t="s">
        <v>2466</v>
      </c>
      <c r="G36" s="2841"/>
    </row>
    <row r="37" spans="1:7" ht="19.5" customHeight="1">
      <c r="A37" s="3513"/>
      <c r="B37" s="3515" t="s">
        <v>2627</v>
      </c>
      <c r="C37" s="2842" t="s">
        <v>2467</v>
      </c>
      <c r="D37" s="2843"/>
      <c r="E37" s="2844">
        <v>0.6</v>
      </c>
      <c r="F37" s="2841" t="s">
        <v>2468</v>
      </c>
      <c r="G37" s="2841"/>
    </row>
    <row r="38" spans="1:7" ht="19.5" customHeight="1">
      <c r="A38" s="3513"/>
      <c r="B38" s="3510"/>
      <c r="C38" s="2842" t="s">
        <v>2469</v>
      </c>
      <c r="D38" s="2843"/>
      <c r="E38" s="2844">
        <v>0.6</v>
      </c>
      <c r="F38" s="2841" t="s">
        <v>2470</v>
      </c>
      <c r="G38" s="2841"/>
    </row>
    <row r="39" spans="1:7" ht="19.5" customHeight="1" thickBot="1">
      <c r="A39" s="3514"/>
      <c r="B39" s="3511"/>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16" t="s">
        <v>2605</v>
      </c>
      <c r="B41" s="3509" t="s">
        <v>2629</v>
      </c>
      <c r="C41" s="2838" t="s">
        <v>2474</v>
      </c>
      <c r="D41" s="2839"/>
      <c r="E41" s="2840">
        <v>1</v>
      </c>
      <c r="F41" s="2841" t="s">
        <v>2475</v>
      </c>
      <c r="G41" s="2841"/>
    </row>
    <row r="42" spans="1:7" ht="19.5" customHeight="1">
      <c r="A42" s="3517"/>
      <c r="B42" s="3510"/>
      <c r="C42" s="2842" t="s">
        <v>2476</v>
      </c>
      <c r="D42" s="2843"/>
      <c r="E42" s="2844">
        <v>1</v>
      </c>
      <c r="F42" s="2841" t="s">
        <v>2477</v>
      </c>
      <c r="G42" s="2841"/>
    </row>
    <row r="43" spans="1:7" ht="19.5" customHeight="1">
      <c r="A43" s="3517"/>
      <c r="B43" s="3519"/>
      <c r="C43" s="2842" t="s">
        <v>2478</v>
      </c>
      <c r="D43" s="2843"/>
      <c r="E43" s="2844">
        <v>1.5</v>
      </c>
      <c r="F43" s="2841" t="s">
        <v>2479</v>
      </c>
      <c r="G43" s="2841"/>
    </row>
    <row r="44" spans="1:7" ht="19.5" customHeight="1">
      <c r="A44" s="3517"/>
      <c r="B44" s="2853" t="s">
        <v>2630</v>
      </c>
      <c r="C44" s="2842" t="s">
        <v>2631</v>
      </c>
      <c r="D44" s="2843"/>
      <c r="E44" s="2844">
        <v>2</v>
      </c>
      <c r="F44" s="2841" t="s">
        <v>2480</v>
      </c>
      <c r="G44" s="2841"/>
    </row>
    <row r="45" spans="1:7" ht="19.5" customHeight="1">
      <c r="A45" s="3517"/>
      <c r="B45" s="3515" t="s">
        <v>2632</v>
      </c>
      <c r="C45" s="2842" t="s">
        <v>2481</v>
      </c>
      <c r="D45" s="2843"/>
      <c r="E45" s="2844">
        <v>1</v>
      </c>
      <c r="F45" s="2841" t="s">
        <v>2482</v>
      </c>
      <c r="G45" s="2841"/>
    </row>
    <row r="46" spans="1:7" ht="19.5" customHeight="1">
      <c r="A46" s="3517"/>
      <c r="B46" s="3510"/>
      <c r="C46" s="2842" t="s">
        <v>2483</v>
      </c>
      <c r="D46" s="2843"/>
      <c r="E46" s="2844">
        <v>1</v>
      </c>
      <c r="F46" s="2841" t="s">
        <v>2484</v>
      </c>
      <c r="G46" s="2841"/>
    </row>
    <row r="47" spans="1:7" ht="19.5" customHeight="1">
      <c r="A47" s="3517"/>
      <c r="B47" s="3510"/>
      <c r="C47" s="2842" t="s">
        <v>2485</v>
      </c>
      <c r="D47" s="2843"/>
      <c r="E47" s="2844">
        <v>1</v>
      </c>
      <c r="F47" s="2841" t="s">
        <v>2486</v>
      </c>
      <c r="G47" s="2841"/>
    </row>
    <row r="48" spans="1:7" ht="19.5" customHeight="1">
      <c r="A48" s="3517"/>
      <c r="B48" s="3510"/>
      <c r="C48" s="2842" t="s">
        <v>2487</v>
      </c>
      <c r="D48" s="2843"/>
      <c r="E48" s="2844">
        <v>1</v>
      </c>
      <c r="F48" s="2841" t="s">
        <v>2488</v>
      </c>
      <c r="G48" s="2841"/>
    </row>
    <row r="49" spans="1:7" ht="19.5" customHeight="1">
      <c r="A49" s="3517"/>
      <c r="B49" s="3510"/>
      <c r="C49" s="2842" t="s">
        <v>2489</v>
      </c>
      <c r="D49" s="2843"/>
      <c r="E49" s="2844">
        <v>1</v>
      </c>
      <c r="F49" s="2841" t="s">
        <v>2490</v>
      </c>
      <c r="G49" s="2841"/>
    </row>
    <row r="50" spans="1:7" ht="19.5" customHeight="1">
      <c r="A50" s="3517"/>
      <c r="B50" s="3510"/>
      <c r="C50" s="2842" t="s">
        <v>2491</v>
      </c>
      <c r="D50" s="2843"/>
      <c r="E50" s="2844">
        <v>1</v>
      </c>
      <c r="F50" s="2841" t="s">
        <v>2492</v>
      </c>
      <c r="G50" s="2841"/>
    </row>
    <row r="51" spans="1:7" ht="19.5" customHeight="1" thickBot="1">
      <c r="A51" s="3518"/>
      <c r="B51" s="3511"/>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5" t="s">
        <v>2646</v>
      </c>
      <c r="C73" s="2827" t="s">
        <v>2647</v>
      </c>
      <c r="D73" s="2827" t="s">
        <v>2648</v>
      </c>
      <c r="E73" s="2853">
        <v>0.2</v>
      </c>
      <c r="F73" s="2853">
        <v>25</v>
      </c>
    </row>
    <row r="74" spans="1:7" ht="24">
      <c r="A74" s="2853">
        <v>2</v>
      </c>
      <c r="B74" s="3510"/>
      <c r="C74" s="2827" t="s">
        <v>2649</v>
      </c>
      <c r="D74" s="2827" t="s">
        <v>2650</v>
      </c>
      <c r="E74" s="2853">
        <v>0.2</v>
      </c>
      <c r="F74" s="2853">
        <v>25</v>
      </c>
    </row>
    <row r="75" spans="1:7" ht="24">
      <c r="A75" s="2853">
        <v>3</v>
      </c>
      <c r="B75" s="3510"/>
      <c r="C75" s="2827" t="s">
        <v>2651</v>
      </c>
      <c r="D75" s="2827" t="s">
        <v>2652</v>
      </c>
      <c r="E75" s="2853">
        <v>0.2</v>
      </c>
      <c r="F75" s="2853">
        <v>25</v>
      </c>
    </row>
    <row r="76" spans="1:7" ht="14.4">
      <c r="A76" s="2853">
        <v>4</v>
      </c>
      <c r="B76" s="3510"/>
      <c r="C76" s="2827" t="s">
        <v>2653</v>
      </c>
      <c r="D76" s="2827" t="s">
        <v>2654</v>
      </c>
      <c r="E76" s="2853">
        <v>0.15</v>
      </c>
      <c r="F76" s="2853">
        <v>20</v>
      </c>
    </row>
    <row r="77" spans="1:7" ht="24">
      <c r="A77" s="2853">
        <v>5</v>
      </c>
      <c r="B77" s="3510"/>
      <c r="C77" s="2827" t="s">
        <v>2655</v>
      </c>
      <c r="D77" s="2827" t="s">
        <v>2656</v>
      </c>
      <c r="E77" s="2853">
        <v>0.15</v>
      </c>
      <c r="F77" s="2853">
        <v>20</v>
      </c>
    </row>
    <row r="78" spans="1:7" ht="24">
      <c r="A78" s="2853">
        <v>6</v>
      </c>
      <c r="B78" s="3510"/>
      <c r="C78" s="2827" t="s">
        <v>2657</v>
      </c>
      <c r="D78" s="2827" t="s">
        <v>2658</v>
      </c>
      <c r="E78" s="2853">
        <v>0.15</v>
      </c>
      <c r="F78" s="2853">
        <v>20</v>
      </c>
    </row>
    <row r="79" spans="1:7" ht="24">
      <c r="A79" s="2853">
        <v>7</v>
      </c>
      <c r="B79" s="3510"/>
      <c r="C79" s="2827" t="s">
        <v>2659</v>
      </c>
      <c r="D79" s="2827" t="s">
        <v>2660</v>
      </c>
      <c r="E79" s="2853">
        <v>0.15</v>
      </c>
      <c r="F79" s="2853">
        <v>20</v>
      </c>
    </row>
    <row r="80" spans="1:7" ht="24">
      <c r="A80" s="2853">
        <v>8</v>
      </c>
      <c r="B80" s="3510"/>
      <c r="C80" s="2827" t="s">
        <v>2661</v>
      </c>
      <c r="D80" s="2827" t="s">
        <v>2662</v>
      </c>
      <c r="E80" s="2853">
        <v>0.1</v>
      </c>
      <c r="F80" s="2853">
        <v>15</v>
      </c>
    </row>
    <row r="81" spans="1:6" ht="24">
      <c r="A81" s="2853">
        <v>9</v>
      </c>
      <c r="B81" s="3510"/>
      <c r="C81" s="2827" t="s">
        <v>2663</v>
      </c>
      <c r="D81" s="2827" t="s">
        <v>2664</v>
      </c>
      <c r="E81" s="2853">
        <v>0.1</v>
      </c>
      <c r="F81" s="2853">
        <v>15</v>
      </c>
    </row>
    <row r="82" spans="1:6" ht="24">
      <c r="A82" s="2853">
        <v>10</v>
      </c>
      <c r="B82" s="3510"/>
      <c r="C82" s="2827" t="s">
        <v>2665</v>
      </c>
      <c r="D82" s="2827" t="s">
        <v>2666</v>
      </c>
      <c r="E82" s="2853">
        <v>0.1</v>
      </c>
      <c r="F82" s="2853">
        <v>15</v>
      </c>
    </row>
    <row r="83" spans="1:6" ht="24">
      <c r="A83" s="2853">
        <v>11</v>
      </c>
      <c r="B83" s="3510"/>
      <c r="C83" s="2827" t="s">
        <v>2667</v>
      </c>
      <c r="D83" s="2827" t="s">
        <v>2668</v>
      </c>
      <c r="E83" s="2853">
        <v>0.1</v>
      </c>
      <c r="F83" s="2853">
        <v>15</v>
      </c>
    </row>
    <row r="84" spans="1:6" ht="24">
      <c r="A84" s="2853">
        <v>12</v>
      </c>
      <c r="B84" s="3510"/>
      <c r="C84" s="2827" t="s">
        <v>2669</v>
      </c>
      <c r="D84" s="2827" t="s">
        <v>2670</v>
      </c>
      <c r="E84" s="2853">
        <v>0.1</v>
      </c>
      <c r="F84" s="2853">
        <v>15</v>
      </c>
    </row>
    <row r="85" spans="1:6" ht="24">
      <c r="A85" s="2853">
        <v>13</v>
      </c>
      <c r="B85" s="3510"/>
      <c r="C85" s="2827" t="s">
        <v>2671</v>
      </c>
      <c r="D85" s="2827" t="s">
        <v>2672</v>
      </c>
      <c r="E85" s="2853">
        <v>0.1</v>
      </c>
      <c r="F85" s="2853">
        <v>15</v>
      </c>
    </row>
    <row r="86" spans="1:6" ht="24">
      <c r="A86" s="2853">
        <v>14</v>
      </c>
      <c r="B86" s="3510"/>
      <c r="C86" s="2827" t="s">
        <v>2673</v>
      </c>
      <c r="D86" s="2827" t="s">
        <v>2674</v>
      </c>
      <c r="E86" s="2853">
        <v>0.1</v>
      </c>
      <c r="F86" s="2853">
        <v>15</v>
      </c>
    </row>
    <row r="87" spans="1:6" ht="24">
      <c r="A87" s="2853">
        <v>15</v>
      </c>
      <c r="B87" s="3510"/>
      <c r="C87" s="2827" t="s">
        <v>2675</v>
      </c>
      <c r="D87" s="2827" t="s">
        <v>2676</v>
      </c>
      <c r="E87" s="2853">
        <v>0.1</v>
      </c>
      <c r="F87" s="2853">
        <v>15</v>
      </c>
    </row>
    <row r="88" spans="1:6" ht="24">
      <c r="A88" s="2853">
        <v>16</v>
      </c>
      <c r="B88" s="3510"/>
      <c r="C88" s="2827" t="s">
        <v>2677</v>
      </c>
      <c r="D88" s="2827" t="s">
        <v>2678</v>
      </c>
      <c r="E88" s="2853">
        <v>0.1</v>
      </c>
      <c r="F88" s="2853">
        <v>15</v>
      </c>
    </row>
    <row r="89" spans="1:6" ht="24">
      <c r="A89" s="2853">
        <v>17</v>
      </c>
      <c r="B89" s="3519"/>
      <c r="C89" s="2827" t="s">
        <v>2679</v>
      </c>
      <c r="D89" s="2827" t="s">
        <v>2680</v>
      </c>
      <c r="E89" s="2853">
        <v>0.1</v>
      </c>
      <c r="F89" s="2853">
        <v>15</v>
      </c>
    </row>
    <row r="90" spans="1:6" ht="14.4">
      <c r="A90" s="2853">
        <v>18</v>
      </c>
      <c r="B90" s="3515" t="s">
        <v>2681</v>
      </c>
      <c r="C90" s="2827" t="s">
        <v>2682</v>
      </c>
      <c r="D90" s="2827" t="s">
        <v>2683</v>
      </c>
      <c r="E90" s="2853">
        <v>0.2</v>
      </c>
      <c r="F90" s="2853">
        <v>25</v>
      </c>
    </row>
    <row r="91" spans="1:6" ht="24">
      <c r="A91" s="2853">
        <v>19</v>
      </c>
      <c r="B91" s="3510"/>
      <c r="C91" s="2827" t="s">
        <v>2684</v>
      </c>
      <c r="D91" s="2827" t="s">
        <v>2685</v>
      </c>
      <c r="E91" s="2853">
        <v>0.2</v>
      </c>
      <c r="F91" s="2853">
        <v>25</v>
      </c>
    </row>
    <row r="92" spans="1:6" ht="14.4">
      <c r="A92" s="2853">
        <v>20</v>
      </c>
      <c r="B92" s="3510"/>
      <c r="C92" s="2827" t="s">
        <v>2686</v>
      </c>
      <c r="D92" s="2827" t="s">
        <v>2687</v>
      </c>
      <c r="E92" s="2853">
        <v>0.15</v>
      </c>
      <c r="F92" s="2853">
        <v>20</v>
      </c>
    </row>
    <row r="93" spans="1:6" ht="24">
      <c r="A93" s="2853">
        <v>21</v>
      </c>
      <c r="B93" s="3510"/>
      <c r="C93" s="2827" t="s">
        <v>2688</v>
      </c>
      <c r="D93" s="2827" t="s">
        <v>2689</v>
      </c>
      <c r="E93" s="2853">
        <v>0.15</v>
      </c>
      <c r="F93" s="2853">
        <v>20</v>
      </c>
    </row>
    <row r="94" spans="1:6" ht="24">
      <c r="A94" s="2853">
        <v>22</v>
      </c>
      <c r="B94" s="3510"/>
      <c r="C94" s="2827" t="s">
        <v>2690</v>
      </c>
      <c r="D94" s="2827" t="s">
        <v>2691</v>
      </c>
      <c r="E94" s="2853">
        <v>0.15</v>
      </c>
      <c r="F94" s="2853">
        <v>20</v>
      </c>
    </row>
    <row r="95" spans="1:6" ht="36">
      <c r="A95" s="2853">
        <v>23</v>
      </c>
      <c r="B95" s="3510"/>
      <c r="C95" s="2827" t="s">
        <v>2692</v>
      </c>
      <c r="D95" s="2827" t="s">
        <v>2693</v>
      </c>
      <c r="E95" s="2853">
        <v>0.15</v>
      </c>
      <c r="F95" s="2853">
        <v>20</v>
      </c>
    </row>
    <row r="96" spans="1:6" ht="24">
      <c r="A96" s="2853">
        <v>24</v>
      </c>
      <c r="B96" s="3510"/>
      <c r="C96" s="2827" t="s">
        <v>2694</v>
      </c>
      <c r="D96" s="2827" t="s">
        <v>2695</v>
      </c>
      <c r="E96" s="2853">
        <v>0.1</v>
      </c>
      <c r="F96" s="2853">
        <v>15</v>
      </c>
    </row>
    <row r="97" spans="1:6" ht="24">
      <c r="A97" s="2853">
        <v>25</v>
      </c>
      <c r="B97" s="3510"/>
      <c r="C97" s="2827" t="s">
        <v>2696</v>
      </c>
      <c r="D97" s="2827" t="s">
        <v>2697</v>
      </c>
      <c r="E97" s="2853">
        <v>0.1</v>
      </c>
      <c r="F97" s="2853">
        <v>15</v>
      </c>
    </row>
    <row r="98" spans="1:6" ht="24">
      <c r="A98" s="2853">
        <v>26</v>
      </c>
      <c r="B98" s="3510"/>
      <c r="C98" s="2827" t="s">
        <v>2698</v>
      </c>
      <c r="D98" s="2827" t="s">
        <v>2699</v>
      </c>
      <c r="E98" s="2853">
        <v>0.1</v>
      </c>
      <c r="F98" s="2853">
        <v>15</v>
      </c>
    </row>
    <row r="99" spans="1:6" ht="24">
      <c r="A99" s="2853">
        <v>27</v>
      </c>
      <c r="B99" s="3510"/>
      <c r="C99" s="2827" t="s">
        <v>2700</v>
      </c>
      <c r="D99" s="2827" t="s">
        <v>2701</v>
      </c>
      <c r="E99" s="2853">
        <v>0.1</v>
      </c>
      <c r="F99" s="2853">
        <v>15</v>
      </c>
    </row>
    <row r="100" spans="1:6" ht="24">
      <c r="A100" s="2853">
        <v>28</v>
      </c>
      <c r="B100" s="3510"/>
      <c r="C100" s="2827" t="s">
        <v>2702</v>
      </c>
      <c r="D100" s="2827" t="s">
        <v>2703</v>
      </c>
      <c r="E100" s="2853">
        <v>0.1</v>
      </c>
      <c r="F100" s="2853">
        <v>15</v>
      </c>
    </row>
    <row r="101" spans="1:6" ht="24">
      <c r="A101" s="2853">
        <v>29</v>
      </c>
      <c r="B101" s="3510"/>
      <c r="C101" s="2827" t="s">
        <v>2704</v>
      </c>
      <c r="D101" s="2827" t="s">
        <v>2705</v>
      </c>
      <c r="E101" s="2853">
        <v>0.1</v>
      </c>
      <c r="F101" s="2853">
        <v>15</v>
      </c>
    </row>
    <row r="102" spans="1:6" ht="24">
      <c r="A102" s="2853">
        <v>30</v>
      </c>
      <c r="B102" s="3510"/>
      <c r="C102" s="2827" t="s">
        <v>2706</v>
      </c>
      <c r="D102" s="2827" t="s">
        <v>2707</v>
      </c>
      <c r="E102" s="2853">
        <v>0.1</v>
      </c>
      <c r="F102" s="2853">
        <v>15</v>
      </c>
    </row>
    <row r="103" spans="1:6" ht="24">
      <c r="A103" s="2853">
        <v>31</v>
      </c>
      <c r="B103" s="3510"/>
      <c r="C103" s="2827" t="s">
        <v>2708</v>
      </c>
      <c r="D103" s="2827" t="s">
        <v>2709</v>
      </c>
      <c r="E103" s="2853">
        <v>0.1</v>
      </c>
      <c r="F103" s="2853">
        <v>15</v>
      </c>
    </row>
    <row r="104" spans="1:6" ht="24">
      <c r="A104" s="2853">
        <v>32</v>
      </c>
      <c r="B104" s="3510"/>
      <c r="C104" s="2827" t="s">
        <v>2710</v>
      </c>
      <c r="D104" s="2827" t="s">
        <v>2711</v>
      </c>
      <c r="E104" s="2853">
        <v>0.1</v>
      </c>
      <c r="F104" s="2853">
        <v>15</v>
      </c>
    </row>
    <row r="105" spans="1:6" ht="24">
      <c r="A105" s="2853">
        <v>33</v>
      </c>
      <c r="B105" s="3510"/>
      <c r="C105" s="2827" t="s">
        <v>2712</v>
      </c>
      <c r="D105" s="2827" t="s">
        <v>2713</v>
      </c>
      <c r="E105" s="2853">
        <v>0.1</v>
      </c>
      <c r="F105" s="2853">
        <v>15</v>
      </c>
    </row>
    <row r="106" spans="1:6" ht="24">
      <c r="A106" s="2853">
        <v>34</v>
      </c>
      <c r="B106" s="3519"/>
      <c r="C106" s="2827" t="s">
        <v>2714</v>
      </c>
      <c r="D106" s="2827" t="s">
        <v>2715</v>
      </c>
      <c r="E106" s="2853">
        <v>0.1</v>
      </c>
      <c r="F106" s="2853">
        <v>15</v>
      </c>
    </row>
    <row r="107" spans="1:6" ht="36">
      <c r="A107" s="2853">
        <v>35</v>
      </c>
      <c r="B107" s="3515" t="s">
        <v>2716</v>
      </c>
      <c r="C107" s="2853" t="s">
        <v>2717</v>
      </c>
      <c r="D107" s="2827" t="s">
        <v>2718</v>
      </c>
      <c r="E107" s="2853">
        <v>0.15</v>
      </c>
      <c r="F107" s="2853">
        <v>20</v>
      </c>
    </row>
    <row r="108" spans="1:6" ht="24">
      <c r="A108" s="2853">
        <v>36</v>
      </c>
      <c r="B108" s="3510"/>
      <c r="C108" s="2853" t="s">
        <v>2719</v>
      </c>
      <c r="D108" s="2827" t="s">
        <v>2720</v>
      </c>
      <c r="E108" s="2853">
        <v>0.15</v>
      </c>
      <c r="F108" s="2853">
        <v>20</v>
      </c>
    </row>
    <row r="109" spans="1:6" ht="24">
      <c r="A109" s="2853">
        <v>37</v>
      </c>
      <c r="B109" s="3510"/>
      <c r="C109" s="2853" t="s">
        <v>2721</v>
      </c>
      <c r="D109" s="2827" t="s">
        <v>2722</v>
      </c>
      <c r="E109" s="2853">
        <v>0.15</v>
      </c>
      <c r="F109" s="2853">
        <v>20</v>
      </c>
    </row>
    <row r="110" spans="1:6" ht="24">
      <c r="A110" s="2853">
        <v>38</v>
      </c>
      <c r="B110" s="3510"/>
      <c r="C110" s="2853" t="s">
        <v>2723</v>
      </c>
      <c r="D110" s="2827" t="s">
        <v>2724</v>
      </c>
      <c r="E110" s="2853">
        <v>0.1</v>
      </c>
      <c r="F110" s="2853">
        <v>15</v>
      </c>
    </row>
    <row r="111" spans="1:6" ht="24">
      <c r="A111" s="2853">
        <v>39</v>
      </c>
      <c r="B111" s="3510"/>
      <c r="C111" s="2853" t="s">
        <v>2725</v>
      </c>
      <c r="D111" s="2827" t="s">
        <v>2726</v>
      </c>
      <c r="E111" s="2853">
        <v>0.1</v>
      </c>
      <c r="F111" s="2853">
        <v>15</v>
      </c>
    </row>
    <row r="112" spans="1:6" ht="24">
      <c r="A112" s="2853">
        <v>40</v>
      </c>
      <c r="B112" s="3519"/>
      <c r="C112" s="2853" t="s">
        <v>2727</v>
      </c>
      <c r="D112" s="2827" t="s">
        <v>2728</v>
      </c>
      <c r="E112" s="2853">
        <v>0.1</v>
      </c>
      <c r="F112" s="2853">
        <v>15</v>
      </c>
    </row>
    <row r="113" spans="1:6" ht="24">
      <c r="A113" s="2853">
        <v>41</v>
      </c>
      <c r="B113" s="3520" t="s">
        <v>2729</v>
      </c>
      <c r="C113" s="2853" t="s">
        <v>2730</v>
      </c>
      <c r="D113" s="2827" t="s">
        <v>2731</v>
      </c>
      <c r="E113" s="2853">
        <v>0.1</v>
      </c>
      <c r="F113" s="2853">
        <v>15</v>
      </c>
    </row>
    <row r="114" spans="1:6" ht="24">
      <c r="A114" s="2853">
        <v>42</v>
      </c>
      <c r="B114" s="3520"/>
      <c r="C114" s="2853" t="s">
        <v>2732</v>
      </c>
      <c r="D114" s="2827" t="s">
        <v>2733</v>
      </c>
      <c r="E114" s="2853">
        <v>0.1</v>
      </c>
      <c r="F114" s="2853">
        <v>15</v>
      </c>
    </row>
    <row r="115" spans="1:6" ht="24">
      <c r="A115" s="2853">
        <v>43</v>
      </c>
      <c r="B115" s="3520"/>
      <c r="C115" s="2853" t="s">
        <v>2734</v>
      </c>
      <c r="D115" s="2827" t="s">
        <v>2735</v>
      </c>
      <c r="E115" s="2853">
        <v>0.1</v>
      </c>
      <c r="F115" s="2853">
        <v>15</v>
      </c>
    </row>
    <row r="116" spans="1:6" ht="24">
      <c r="A116" s="2853">
        <v>44</v>
      </c>
      <c r="B116" s="3515" t="s">
        <v>2736</v>
      </c>
      <c r="C116" s="2853" t="s">
        <v>2737</v>
      </c>
      <c r="D116" s="2827" t="s">
        <v>2738</v>
      </c>
      <c r="E116" s="2853">
        <v>0.1</v>
      </c>
      <c r="F116" s="2853">
        <v>15</v>
      </c>
    </row>
    <row r="117" spans="1:6" ht="24">
      <c r="A117" s="2853">
        <v>45</v>
      </c>
      <c r="B117" s="3519"/>
      <c r="C117" s="2827" t="s">
        <v>2739</v>
      </c>
      <c r="D117" s="2827" t="s">
        <v>2740</v>
      </c>
      <c r="E117" s="2853">
        <v>0.1</v>
      </c>
      <c r="F117" s="2853">
        <v>15</v>
      </c>
    </row>
    <row r="118" spans="1:6" ht="24">
      <c r="A118" s="2853">
        <v>46</v>
      </c>
      <c r="B118" s="3515" t="s">
        <v>2741</v>
      </c>
      <c r="C118" s="2853" t="s">
        <v>2742</v>
      </c>
      <c r="D118" s="2827" t="s">
        <v>2743</v>
      </c>
      <c r="E118" s="2853">
        <v>0.1</v>
      </c>
      <c r="F118" s="2853">
        <v>15</v>
      </c>
    </row>
    <row r="119" spans="1:6" ht="24">
      <c r="A119" s="2853">
        <v>47</v>
      </c>
      <c r="B119" s="3519"/>
      <c r="C119" s="2853" t="s">
        <v>2744</v>
      </c>
      <c r="D119" s="2827" t="s">
        <v>2745</v>
      </c>
      <c r="E119" s="2853">
        <v>0.1</v>
      </c>
      <c r="F119" s="2853">
        <v>15</v>
      </c>
    </row>
    <row r="120" spans="1:6" ht="24">
      <c r="A120" s="2853">
        <v>48</v>
      </c>
      <c r="B120" s="3515" t="s">
        <v>2746</v>
      </c>
      <c r="C120" s="2853" t="s">
        <v>2747</v>
      </c>
      <c r="D120" s="2827" t="s">
        <v>2748</v>
      </c>
      <c r="E120" s="2853">
        <v>0.1</v>
      </c>
      <c r="F120" s="2853">
        <v>15</v>
      </c>
    </row>
    <row r="121" spans="1:6" ht="24">
      <c r="A121" s="2853">
        <v>49</v>
      </c>
      <c r="B121" s="3519"/>
      <c r="C121" s="2853" t="s">
        <v>2749</v>
      </c>
      <c r="D121" s="2827" t="s">
        <v>2750</v>
      </c>
      <c r="E121" s="2853">
        <v>0.1</v>
      </c>
      <c r="F121" s="2853">
        <v>15</v>
      </c>
    </row>
    <row r="122" spans="1:6" ht="24">
      <c r="A122" s="2853">
        <v>50</v>
      </c>
      <c r="B122" s="3520" t="s">
        <v>2751</v>
      </c>
      <c r="C122" s="2853" t="s">
        <v>2752</v>
      </c>
      <c r="D122" s="2827" t="s">
        <v>2753</v>
      </c>
      <c r="E122" s="2853">
        <v>0.1</v>
      </c>
      <c r="F122" s="2853">
        <v>15</v>
      </c>
    </row>
    <row r="123" spans="1:6" ht="24">
      <c r="A123" s="2853">
        <v>51</v>
      </c>
      <c r="B123" s="3520"/>
      <c r="C123" s="2853" t="s">
        <v>2754</v>
      </c>
      <c r="D123" s="2827" t="s">
        <v>2755</v>
      </c>
      <c r="E123" s="2853">
        <v>0.1</v>
      </c>
      <c r="F123" s="2853">
        <v>15</v>
      </c>
    </row>
    <row r="124" spans="1:6" ht="24">
      <c r="A124" s="2853">
        <v>52</v>
      </c>
      <c r="B124" s="3520" t="s">
        <v>2756</v>
      </c>
      <c r="C124" s="2853" t="s">
        <v>2757</v>
      </c>
      <c r="D124" s="2827" t="s">
        <v>2758</v>
      </c>
      <c r="E124" s="2853">
        <v>0.1</v>
      </c>
      <c r="F124" s="2853">
        <v>15</v>
      </c>
    </row>
    <row r="125" spans="1:6" ht="24">
      <c r="A125" s="2853">
        <v>53</v>
      </c>
      <c r="B125" s="3520"/>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20" t="s">
        <v>2764</v>
      </c>
      <c r="C127" s="2853" t="s">
        <v>2765</v>
      </c>
      <c r="D127" s="2827" t="s">
        <v>2766</v>
      </c>
      <c r="E127" s="2853">
        <v>0.1</v>
      </c>
      <c r="F127" s="2853">
        <v>15</v>
      </c>
    </row>
    <row r="128" spans="1:6" ht="24">
      <c r="A128" s="2853">
        <v>56</v>
      </c>
      <c r="B128" s="3520"/>
      <c r="C128" s="2853" t="s">
        <v>2767</v>
      </c>
      <c r="D128" s="2827" t="s">
        <v>2768</v>
      </c>
      <c r="E128" s="2853">
        <v>0.1</v>
      </c>
      <c r="F128" s="2853">
        <v>15</v>
      </c>
    </row>
    <row r="129" spans="1:6" ht="24">
      <c r="A129" s="2853">
        <v>57</v>
      </c>
      <c r="B129" s="3520"/>
      <c r="C129" s="2853" t="s">
        <v>2769</v>
      </c>
      <c r="D129" s="2827" t="s">
        <v>2770</v>
      </c>
      <c r="E129" s="2853">
        <v>0.1</v>
      </c>
      <c r="F129" s="2853">
        <v>15</v>
      </c>
    </row>
    <row r="130" spans="1:6" ht="24">
      <c r="A130" s="2853">
        <v>58</v>
      </c>
      <c r="B130" s="3520" t="s">
        <v>2771</v>
      </c>
      <c r="C130" s="2853" t="s">
        <v>2772</v>
      </c>
      <c r="D130" s="2827" t="s">
        <v>2773</v>
      </c>
      <c r="E130" s="2853">
        <v>0.1</v>
      </c>
      <c r="F130" s="2853">
        <v>15</v>
      </c>
    </row>
    <row r="131" spans="1:6" ht="24">
      <c r="A131" s="2853">
        <v>59</v>
      </c>
      <c r="B131" s="3520"/>
      <c r="C131" s="2853" t="s">
        <v>2774</v>
      </c>
      <c r="D131" s="2827" t="s">
        <v>2775</v>
      </c>
      <c r="E131" s="2853">
        <v>0.1</v>
      </c>
      <c r="F131" s="2853">
        <v>15</v>
      </c>
    </row>
    <row r="132" spans="1:6" ht="24">
      <c r="A132" s="2853">
        <v>60</v>
      </c>
      <c r="B132" s="3515" t="s">
        <v>2776</v>
      </c>
      <c r="C132" s="2853" t="s">
        <v>2777</v>
      </c>
      <c r="D132" s="2827" t="s">
        <v>2778</v>
      </c>
      <c r="E132" s="2853">
        <v>0.1</v>
      </c>
      <c r="F132" s="2853">
        <v>15</v>
      </c>
    </row>
    <row r="133" spans="1:6" ht="24">
      <c r="A133" s="2853">
        <v>61</v>
      </c>
      <c r="B133" s="3519"/>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20" t="s">
        <v>2784</v>
      </c>
      <c r="C135" s="2853" t="s">
        <v>2785</v>
      </c>
      <c r="D135" s="2827" t="s">
        <v>2786</v>
      </c>
      <c r="E135" s="2853">
        <v>0.1</v>
      </c>
      <c r="F135" s="2853">
        <v>15</v>
      </c>
    </row>
    <row r="136" spans="1:6" ht="24">
      <c r="A136" s="2853">
        <v>64</v>
      </c>
      <c r="B136" s="3520"/>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1144951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242.22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242.22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242.22</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4" t="s">
        <v>94</v>
      </c>
    </row>
    <row r="43" spans="1:7" ht="13.5" customHeight="1">
      <c r="A43" s="734" t="s">
        <v>347</v>
      </c>
      <c r="B43" s="207" t="s">
        <v>426</v>
      </c>
      <c r="C43" s="230">
        <f ca="1">ROUND(IF('数据-取费表'!B22&lt;=1,C39*F22*'数据-取费表'!B21/2,C39*(POWER((1+F22),'数据-取费表'!B21/2)-1)),0)</f>
        <v>0</v>
      </c>
      <c r="D43" s="230"/>
      <c r="E43" s="230"/>
      <c r="F43" s="231"/>
      <c r="G43" s="3385"/>
    </row>
    <row r="44" spans="1:7" ht="13.5" customHeight="1">
      <c r="A44" s="734" t="s">
        <v>348</v>
      </c>
      <c r="B44" s="207" t="s">
        <v>428</v>
      </c>
      <c r="C44" s="230">
        <f ca="1">ROUND(IF('数据-取费表'!B22&lt;=1,C40*F22*'数据-取费表'!B21/2,C40*(POWER((1+F22),'数据-取费表'!B21/2)-1)),4)</f>
        <v>5.9999999999999995E-4</v>
      </c>
      <c r="D44" s="230"/>
      <c r="E44" s="230"/>
      <c r="F44" s="231"/>
      <c r="G44" s="3386"/>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1" t="s">
        <v>3176</v>
      </c>
      <c r="B1" s="3521"/>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1875" defaultRowHeight="14.4"/>
  <cols>
    <col min="1" max="16384" width="13.21875" style="2809"/>
  </cols>
  <sheetData>
    <row r="1" spans="1:6">
      <c r="A1" s="3522" t="s">
        <v>3227</v>
      </c>
      <c r="B1" s="3522"/>
      <c r="C1" s="3522"/>
      <c r="D1" s="3522"/>
      <c r="E1" s="3522"/>
      <c r="F1" s="3523"/>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45799</v>
      </c>
      <c r="B1" s="2925" t="s">
        <v>3372</v>
      </c>
      <c r="C1" s="2926"/>
      <c r="D1" s="2926"/>
      <c r="E1" s="2926"/>
      <c r="F1" s="2926"/>
      <c r="G1" s="2926"/>
      <c r="H1" s="2926"/>
      <c r="I1" s="2926"/>
      <c r="J1" s="2892"/>
      <c r="K1" s="2926" t="s">
        <v>454</v>
      </c>
      <c r="L1" s="2926"/>
      <c r="M1" s="2926"/>
      <c r="N1" s="2926"/>
      <c r="O1" s="2926"/>
      <c r="P1" s="2926"/>
      <c r="Q1" s="2892"/>
      <c r="R1" s="3524" t="s">
        <v>456</v>
      </c>
      <c r="S1" s="3525"/>
      <c r="T1" s="3525"/>
      <c r="U1" s="3525"/>
      <c r="V1" s="3525"/>
      <c r="W1" s="3525"/>
      <c r="X1" s="2892"/>
      <c r="Y1" s="3524" t="s">
        <v>457</v>
      </c>
      <c r="Z1" s="3525"/>
      <c r="AA1" s="3525"/>
      <c r="AB1" s="3525"/>
      <c r="AC1" s="3525"/>
      <c r="AD1" s="3525"/>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4" t="s">
        <v>2822</v>
      </c>
      <c r="S29" s="3525"/>
      <c r="T29" s="3525"/>
      <c r="U29" s="3525"/>
      <c r="V29" s="3525"/>
      <c r="W29" s="3525"/>
      <c r="X29" s="2892"/>
      <c r="Y29" s="3524" t="s">
        <v>2823</v>
      </c>
      <c r="Z29" s="3525"/>
      <c r="AA29" s="3525"/>
      <c r="AB29" s="3525"/>
      <c r="AC29" s="3525"/>
      <c r="AD29" s="3525"/>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2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7">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28">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7">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28">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3" t="str">
        <f>IF(项目基本情况!B9="房地产市场价值","估价结果一览表","结果表-2")</f>
        <v>结果表-2</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6">
      <c r="A3" s="3215"/>
      <c r="B3" s="3215"/>
      <c r="C3" s="3215"/>
      <c r="D3" s="801" t="s">
        <v>925</v>
      </c>
      <c r="E3" s="801" t="s">
        <v>931</v>
      </c>
      <c r="F3" s="801" t="s">
        <v>925</v>
      </c>
      <c r="G3" s="801" t="s">
        <v>926</v>
      </c>
      <c r="H3" s="801" t="s">
        <v>925</v>
      </c>
      <c r="I3" s="801" t="s">
        <v>926</v>
      </c>
    </row>
    <row r="4" spans="1:9" ht="45">
      <c r="A4" s="1401" t="str">
        <f>项目基本情况!S2</f>
        <v>北京市石景山区古城西路66号院1号楼1至2层103房地产</v>
      </c>
      <c r="B4" s="801">
        <f>项目基本情况!C17</f>
        <v>242.22</v>
      </c>
      <c r="C4" s="801">
        <f>项目基本情况!C18</f>
        <v>0</v>
      </c>
      <c r="D4" s="801">
        <f>结果表!D118</f>
        <v>0</v>
      </c>
      <c r="E4" s="801">
        <f>结果表!E118</f>
        <v>0</v>
      </c>
      <c r="F4" s="801">
        <f>结果表!F118</f>
        <v>0</v>
      </c>
      <c r="G4" s="801">
        <f>结果表!G118</f>
        <v>0</v>
      </c>
      <c r="H4" s="801">
        <f ca="1">结果表!H118</f>
        <v>803</v>
      </c>
      <c r="I4" s="801">
        <f ca="1">结果表!I118</f>
        <v>33133</v>
      </c>
    </row>
    <row r="5" spans="1:9" ht="30" customHeight="1">
      <c r="A5" s="3215" t="s">
        <v>927</v>
      </c>
      <c r="B5" s="3215"/>
      <c r="C5" s="3215"/>
      <c r="D5" s="3215" t="str">
        <f>结果表!D119</f>
        <v>零元整</v>
      </c>
      <c r="E5" s="3215"/>
      <c r="F5" s="3215" t="str">
        <f>结果表!F119</f>
        <v>零元整</v>
      </c>
      <c r="G5" s="3215"/>
      <c r="H5" s="3215" t="str">
        <f ca="1">结果表!H119</f>
        <v>捌佰零叁万元整</v>
      </c>
      <c r="I5" s="3215"/>
    </row>
    <row r="6" spans="1:9" ht="15.6">
      <c r="A6" s="3216" t="str">
        <f>结果表!A120</f>
        <v>估价师知悉的法定优先受偿款</v>
      </c>
      <c r="B6" s="3216"/>
      <c r="C6" s="3216"/>
      <c r="D6" s="3216">
        <f>结果表!D120</f>
        <v>0</v>
      </c>
      <c r="E6" s="3216"/>
      <c r="F6" s="3216"/>
      <c r="G6" s="3216"/>
      <c r="H6" s="3216"/>
      <c r="I6" s="3216"/>
    </row>
    <row r="7" spans="1:9" ht="15">
      <c r="A7" s="3215" t="s">
        <v>927</v>
      </c>
      <c r="B7" s="3215"/>
      <c r="C7" s="3215"/>
      <c r="D7" s="3217" t="str">
        <f>结果表!D121</f>
        <v>零元整</v>
      </c>
      <c r="E7" s="3218"/>
      <c r="F7" s="3218"/>
      <c r="G7" s="3218"/>
      <c r="H7" s="3218"/>
      <c r="I7" s="3219"/>
    </row>
    <row r="8" spans="1:9" ht="15.6">
      <c r="A8" s="3216" t="str">
        <f>结果表!A122</f>
        <v>房地产抵押价值</v>
      </c>
      <c r="B8" s="3216"/>
      <c r="C8" s="3216"/>
      <c r="D8" s="3216">
        <f ca="1">结果表!D122</f>
        <v>803</v>
      </c>
      <c r="E8" s="3216"/>
      <c r="F8" s="3216"/>
      <c r="G8" s="3216"/>
      <c r="H8" s="3216"/>
      <c r="I8" s="3216"/>
    </row>
    <row r="9" spans="1:9" ht="15">
      <c r="A9" s="3215" t="s">
        <v>927</v>
      </c>
      <c r="B9" s="3215"/>
      <c r="C9" s="3215"/>
      <c r="D9" s="3215" t="str">
        <f ca="1">结果表!D123</f>
        <v>捌佰零叁万元整</v>
      </c>
      <c r="E9" s="3215"/>
      <c r="F9" s="3215"/>
      <c r="G9" s="3215"/>
      <c r="H9" s="3215"/>
      <c r="I9" s="3215"/>
    </row>
    <row r="10" spans="1:9" ht="15.6">
      <c r="A10" s="3216" t="str">
        <f>结果表!A124</f>
        <v/>
      </c>
      <c r="B10" s="3216"/>
      <c r="C10" s="3216"/>
      <c r="D10" s="3216" t="str">
        <f>结果表!D124</f>
        <v>——</v>
      </c>
      <c r="E10" s="3216"/>
      <c r="F10" s="3216"/>
      <c r="G10" s="3216"/>
      <c r="H10" s="3216"/>
      <c r="I10" s="3216"/>
    </row>
    <row r="11" spans="1:9" ht="15">
      <c r="A11" s="3215" t="s">
        <v>927</v>
      </c>
      <c r="B11" s="3215"/>
      <c r="C11" s="3215"/>
      <c r="D11" s="3215" t="e">
        <f>结果表!D125</f>
        <v>#VALUE!</v>
      </c>
      <c r="E11" s="3215"/>
      <c r="F11" s="3215"/>
      <c r="G11" s="3215"/>
      <c r="H11" s="3215"/>
      <c r="I11" s="3215"/>
    </row>
    <row r="12" spans="1:9" ht="15.6">
      <c r="A12" s="3216" t="str">
        <f>结果表!A126</f>
        <v/>
      </c>
      <c r="B12" s="3216"/>
      <c r="C12" s="3216"/>
      <c r="D12" s="3216" t="str">
        <f>结果表!D126</f>
        <v>——</v>
      </c>
      <c r="E12" s="3216"/>
      <c r="F12" s="3216"/>
      <c r="G12" s="3216"/>
      <c r="H12" s="3216"/>
      <c r="I12" s="3216"/>
    </row>
    <row r="13" spans="1:9" ht="15.6" thickBot="1">
      <c r="A13" s="3220" t="s">
        <v>927</v>
      </c>
      <c r="B13" s="3220"/>
      <c r="C13" s="3220"/>
      <c r="D13" s="3220" t="e">
        <f>结果表!D127</f>
        <v>#VALUE!</v>
      </c>
      <c r="E13" s="3220"/>
      <c r="F13" s="3220"/>
      <c r="G13" s="3220"/>
      <c r="H13" s="3220"/>
      <c r="I13" s="3220"/>
    </row>
    <row r="14" spans="1:9" ht="14.4" thickTop="1">
      <c r="A14" s="3221" t="s">
        <v>932</v>
      </c>
      <c r="B14" s="3221"/>
      <c r="C14" s="3221"/>
      <c r="D14" s="3221"/>
      <c r="E14" s="3221"/>
      <c r="F14" s="3221"/>
      <c r="G14" s="3221"/>
      <c r="H14" s="3221"/>
      <c r="I14" s="3221"/>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37" t="s">
        <v>2834</v>
      </c>
      <c r="B1" s="3537"/>
      <c r="C1" s="3537"/>
      <c r="D1" s="3537"/>
      <c r="E1" s="3537"/>
      <c r="F1" s="3537"/>
      <c r="G1" s="3538"/>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5"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36"/>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2" t="s">
        <v>949</v>
      </c>
      <c r="B1" s="3222"/>
      <c r="C1" s="3222"/>
      <c r="D1" s="3222"/>
    </row>
    <row r="2" spans="1:4" ht="17.399999999999999">
      <c r="A2" s="3223" t="s">
        <v>933</v>
      </c>
      <c r="B2" s="3223"/>
      <c r="C2" s="3223"/>
      <c r="D2" s="3223"/>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23" t="s">
        <v>939</v>
      </c>
      <c r="B6" s="3223"/>
      <c r="C6" s="3223"/>
      <c r="D6" s="3223"/>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4" t="s">
        <v>942</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8" t="s">
        <v>943</v>
      </c>
      <c r="B16" s="3228"/>
      <c r="C16" s="3228"/>
      <c r="D16" s="3228"/>
    </row>
    <row r="17" spans="1:4" ht="144" customHeight="1">
      <c r="A17" s="3228" t="s">
        <v>944</v>
      </c>
      <c r="B17" s="3228"/>
      <c r="C17" s="3228"/>
      <c r="D17" s="3228"/>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945</v>
      </c>
      <c r="B22" s="3230"/>
      <c r="C22" s="3230"/>
      <c r="D22" s="3230"/>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27">
        <v>42551</v>
      </c>
      <c r="D31" s="32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6" t="s">
        <v>956</v>
      </c>
      <c r="B15" s="3231" t="s">
        <v>109</v>
      </c>
      <c r="C15" s="3232"/>
    </row>
    <row r="16" spans="1:7" ht="14.4">
      <c r="A16" s="3237"/>
      <c r="B16" s="3231" t="s">
        <v>42</v>
      </c>
      <c r="C16" s="3232"/>
    </row>
    <row r="17" spans="1:3" ht="14.4">
      <c r="A17" s="3237"/>
      <c r="B17" s="3234" t="s">
        <v>957</v>
      </c>
      <c r="C17" s="1427" t="s">
        <v>956</v>
      </c>
    </row>
    <row r="18" spans="1:3" ht="14.4">
      <c r="A18" s="3237"/>
      <c r="B18" s="3234"/>
      <c r="C18" s="1427" t="s">
        <v>958</v>
      </c>
    </row>
    <row r="19" spans="1:3" ht="14.4">
      <c r="A19" s="3237"/>
      <c r="B19" s="3234"/>
      <c r="C19" s="1427" t="s">
        <v>959</v>
      </c>
    </row>
    <row r="20" spans="1:3" ht="14.4">
      <c r="A20" s="3238"/>
      <c r="B20" s="3233" t="s">
        <v>960</v>
      </c>
      <c r="C20" s="3232"/>
    </row>
    <row r="21" spans="1:3" ht="14.4">
      <c r="A21" s="1428" t="s">
        <v>961</v>
      </c>
      <c r="B21" s="1429"/>
      <c r="C21" s="1430"/>
    </row>
    <row r="22" spans="1:3" ht="14.4">
      <c r="A22" s="3235" t="s">
        <v>962</v>
      </c>
      <c r="B22" s="3233" t="s">
        <v>963</v>
      </c>
      <c r="C22" s="3232"/>
    </row>
    <row r="23" spans="1:3" ht="14.4">
      <c r="A23" s="3235"/>
      <c r="B23" s="3233" t="s">
        <v>964</v>
      </c>
      <c r="C23" s="3232"/>
    </row>
    <row r="24" spans="1:3" ht="14.4">
      <c r="A24" s="3235"/>
      <c r="B24" s="3233" t="s">
        <v>965</v>
      </c>
      <c r="C24" s="3232"/>
    </row>
    <row r="25" spans="1:3" ht="14.4">
      <c r="A25" s="3235"/>
      <c r="B25" s="3234" t="s">
        <v>966</v>
      </c>
      <c r="C25" s="1427" t="s">
        <v>967</v>
      </c>
    </row>
    <row r="26" spans="1:3" ht="14.4">
      <c r="A26" s="3235"/>
      <c r="B26" s="3234"/>
      <c r="C26" s="1427" t="s">
        <v>968</v>
      </c>
    </row>
    <row r="27" spans="1:3" ht="14.4">
      <c r="A27" s="3235"/>
      <c r="B27" s="3234"/>
      <c r="C27" s="1427" t="s">
        <v>969</v>
      </c>
    </row>
    <row r="28" spans="1:3" ht="14.4">
      <c r="A28" s="3235"/>
      <c r="B28" s="3234"/>
      <c r="C28" s="1427" t="s">
        <v>970</v>
      </c>
    </row>
    <row r="29" spans="1:3" ht="14.4">
      <c r="A29" s="3235"/>
      <c r="B29" s="3234"/>
      <c r="C29" s="1427" t="s">
        <v>971</v>
      </c>
    </row>
    <row r="30" spans="1:3" ht="14.4">
      <c r="A30" s="3235"/>
      <c r="B30" s="3234"/>
      <c r="C30" s="1427" t="s">
        <v>972</v>
      </c>
    </row>
    <row r="31" spans="1:3" ht="14.4">
      <c r="A31" s="3235"/>
      <c r="B31" s="3234"/>
      <c r="C31" s="1427" t="s">
        <v>973</v>
      </c>
    </row>
    <row r="32" spans="1:3" ht="14.4">
      <c r="A32" s="3235"/>
      <c r="B32" s="3234"/>
      <c r="C32" s="1427" t="s">
        <v>974</v>
      </c>
    </row>
    <row r="33" spans="1:3" ht="14.4">
      <c r="A33" s="3235"/>
      <c r="B33" s="3234"/>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39" t="s">
        <v>2155</v>
      </c>
      <c r="B17" s="3239"/>
      <c r="C17" s="3239"/>
      <c r="D17" s="3239"/>
      <c r="E17" s="3239"/>
      <c r="F17" s="3239"/>
      <c r="G17" s="3239"/>
      <c r="H17" s="3239"/>
    </row>
    <row r="18" spans="1:8" ht="24" customHeight="1">
      <c r="A18" s="3240" t="s">
        <v>2156</v>
      </c>
      <c r="B18" s="3240"/>
      <c r="C18" s="3240"/>
      <c r="D18" s="2157"/>
      <c r="E18" s="3241" t="s">
        <v>2157</v>
      </c>
      <c r="F18" s="3240"/>
      <c r="G18" s="3240"/>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(元)1层</vt:lpstr>
      <vt:lpstr>典型户型修正</vt:lpstr>
      <vt:lpstr>收益法2层</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(元)1层'!Print_Area</vt:lpstr>
      <vt:lpstr>'收益法（汇总）'!Print_Area</vt:lpstr>
      <vt:lpstr>收益法2层!Print_Area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2025-05-22T05:34:08Z</dcterms:modified>
</cp:coreProperties>
</file>