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510" windowWidth="11565" windowHeight="9135" tabRatio="875" firstSheet="12"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建安汇总" sheetId="69" r:id="rId17"/>
    <sheet name="结果汇总表" sheetId="68" state="hidden" r:id="rId18"/>
    <sheet name="商住比" sheetId="77" r:id="rId19"/>
    <sheet name="汇总表" sheetId="71" r:id="rId20"/>
    <sheet name="结果初审" sheetId="72" r:id="rId21"/>
    <sheet name="2019.1.15示例" sheetId="74" r:id="rId22"/>
    <sheet name="结果表" sheetId="9" r:id="rId23"/>
    <sheet name="基准地价" sheetId="46" r:id="rId24"/>
    <sheet name="剩余法-待开发" sheetId="12" r:id="rId25"/>
    <sheet name="剩余法-现房" sheetId="43" state="hidden" r:id="rId26"/>
    <sheet name="比较法-住宅、综合" sheetId="39" state="hidden" r:id="rId27"/>
    <sheet name="比较法-工业" sheetId="40" state="hidden" r:id="rId28"/>
    <sheet name="不动产比较法-住宅" sheetId="21" r:id="rId29"/>
    <sheet name="修正" sheetId="49" state="hidden" r:id="rId30"/>
    <sheet name="区片价" sheetId="48" state="hidden" r:id="rId31"/>
    <sheet name="容积率修正" sheetId="45" state="hidden" r:id="rId32"/>
    <sheet name="因素修正幅度" sheetId="56" state="hidden" r:id="rId33"/>
    <sheet name="地价" sheetId="59" r:id="rId34"/>
    <sheet name="基准地价（汇总）" sheetId="67" state="hidden" r:id="rId35"/>
    <sheet name="收益还原法" sheetId="44" state="hidden" r:id="rId36"/>
    <sheet name="不动产收益法"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住宅销售案例" sheetId="73" r:id="rId47"/>
    <sheet name="Sheet1" sheetId="75" r:id="rId48"/>
    <sheet name="Sheet2" sheetId="7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27" hidden="1">'比较法-工业'!$A$1:$L$45</definedName>
    <definedName name="_xlnm._FilterDatabase" localSheetId="26"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'2019.1.15示例'!$A$1:$W$5</definedName>
    <definedName name="_xlnm.Print_Area" localSheetId="19">汇总表!$A$1:$D$15</definedName>
    <definedName name="_xlnm.Print_Titles" localSheetId="21">'2019.1.15示例'!$2:$3</definedName>
    <definedName name="八级">区片价!$P$1:$P$40</definedName>
    <definedName name="办公层高" localSheetId="19">'[1]不动产比较法（办公）'!$B$119:$M$119</definedName>
    <definedName name="办公层高" localSheetId="20">'[1]不动产比较法（办公）'!$B$119:$M$119</definedName>
    <definedName name="办公层高" localSheetId="18">'[2]不动产比较法-办公'!$B$119:$M$119</definedName>
    <definedName name="办公层高">'不动产比较法-办公'!$B$119:$M$119</definedName>
    <definedName name="办公朝向" localSheetId="19">'[1]不动产比较法（办公）'!$B$91:$M$91</definedName>
    <definedName name="办公朝向" localSheetId="20">'[1]不动产比较法（办公）'!$B$91:$M$91</definedName>
    <definedName name="办公朝向" localSheetId="18">'[2]不动产比较法-办公'!$B$91:$M$91</definedName>
    <definedName name="办公朝向">'不动产比较法-办公'!$B$91:$M$91</definedName>
    <definedName name="办公道路级别" localSheetId="19">'[1]不动产比较法（办公）'!$B$87:$M$87</definedName>
    <definedName name="办公道路级别" localSheetId="20">'[1]不动产比较法（办公）'!$B$87:$M$87</definedName>
    <definedName name="办公道路级别" localSheetId="18">'[2]不动产比较法-办公'!$B$87:$M$87</definedName>
    <definedName name="办公道路级别">'不动产比较法-办公'!$B$87:$M$87</definedName>
    <definedName name="办公公共部分装修" localSheetId="19">'[1]不动产比较法（办公）'!$B$108:$M$108</definedName>
    <definedName name="办公公共部分装修" localSheetId="20">'[1]不动产比较法（办公）'!$B$108:$M$108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0">'[1]不动产比较法（办公）'!$B$117:$M$117</definedName>
    <definedName name="办公基础设施水平" localSheetId="18">'[2]不动产比较法-办公'!$B$117:$M$117</definedName>
    <definedName name="办公基础设施水平">'不动产比较法-办公'!$B$117:$M$117</definedName>
    <definedName name="办公集聚程度" localSheetId="19">[1]定义!$M$1:$M$6</definedName>
    <definedName name="办公集聚程度" localSheetId="20">[1]定义!$M$1:$M$6</definedName>
    <definedName name="办公集聚程度" localSheetId="18">[2]定义!$M$1:$M$6</definedName>
    <definedName name="办公集聚程度">定义!$M$1:$M$6</definedName>
    <definedName name="办公建筑结构" localSheetId="19">'[1]不动产比较法（办公）'!$B$106:$M$106</definedName>
    <definedName name="办公建筑结构" localSheetId="20">'[1]不动产比较法（办公）'!$B$106:$M$106</definedName>
    <definedName name="办公建筑结构" localSheetId="18">'[2]不动产比较法-办公'!$B$106:$M$106</definedName>
    <definedName name="办公建筑结构">'不动产比较法-办公'!$B$106:$M$106</definedName>
    <definedName name="办公建筑类型" localSheetId="19">'[1]不动产比较法（办公）'!$B$101:$M$101</definedName>
    <definedName name="办公建筑类型" localSheetId="20">'[1]不动产比较法（办公）'!$B$101:$M$101</definedName>
    <definedName name="办公建筑类型" localSheetId="18">'[2]不动产比较法-办公'!$B$101:$M$101</definedName>
    <definedName name="办公建筑类型">'不动产比较法-办公'!$B$101:$M$101</definedName>
    <definedName name="办公交易情况" localSheetId="19">'[1]不动产比较法（办公）'!$A$62:$M$62</definedName>
    <definedName name="办公交易情况" localSheetId="20">'[1]不动产比较法（办公）'!$A$62:$M$62</definedName>
    <definedName name="办公交易情况" localSheetId="18">'[2]不动产比较法-办公'!$A$62:$M$62</definedName>
    <definedName name="办公交易情况">'不动产比较法-办公'!$A$62:$M$62</definedName>
    <definedName name="办公楼层" localSheetId="19">'[1]不动产比较法（办公）'!$B$89:$M$89</definedName>
    <definedName name="办公楼层" localSheetId="20">'[1]不动产比较法（办公）'!$B$89:$M$89</definedName>
    <definedName name="办公楼层" localSheetId="18">'[2]不动产比较法-办公'!$B$89:$M$89</definedName>
    <definedName name="办公楼层">'不动产比较法-办公'!$B$89:$M$89</definedName>
    <definedName name="办公内部装修" localSheetId="19">'[1]不动产比较法（办公）'!$B$123:$M$123</definedName>
    <definedName name="办公内部装修" localSheetId="20">'[1]不动产比较法（办公）'!$B$123:$M$123</definedName>
    <definedName name="办公内部装修" localSheetId="18">'[2]不动产比较法-办公'!$B$123:$M$123</definedName>
    <definedName name="办公内部装修">'不动产比较法-办公'!$B$123:$M$123</definedName>
    <definedName name="办公物业管理" localSheetId="19">'[1]不动产比较法（办公）'!$B$115:$M$115</definedName>
    <definedName name="办公物业管理" localSheetId="20">'[1]不动产比较法（办公）'!$B$115:$M$115</definedName>
    <definedName name="办公物业管理" localSheetId="18">'[2]不动产比较法-办公'!$B$115:$M$115</definedName>
    <definedName name="办公物业管理">'不动产比较法-办公'!$B$115:$M$115</definedName>
    <definedName name="办公用途" localSheetId="19">'[1]不动产比较法（办公）'!$B$64:$M$64</definedName>
    <definedName name="办公用途" localSheetId="20">'[1]不动产比较法（办公）'!$B$64:$M$64</definedName>
    <definedName name="办公用途" localSheetId="18">'[2]不动产比较法-办公'!$B$64:$M$64</definedName>
    <definedName name="办公用途">'不动产比较法-办公'!$B$64:$M$64</definedName>
    <definedName name="仓储公共部分装修" localSheetId="19">'[1]不动产比较法-仓储'!$B$77:$M$77</definedName>
    <definedName name="仓储公共部分装修" localSheetId="20">'[1]不动产比较法-仓储'!$B$77:$M$77</definedName>
    <definedName name="仓储公共部分装修" localSheetId="18">'[2]不动产比较法-仓储'!$B$77:$M$77</definedName>
    <definedName name="仓储公共部分装修">'不动产比较法-仓储'!$B$77:$M$77</definedName>
    <definedName name="仓储交易情况" localSheetId="19">'[1]不动产比较法-仓储'!$A$49:$M$49</definedName>
    <definedName name="仓储交易情况" localSheetId="20">'[1]不动产比较法-仓储'!$A$49:$M$49</definedName>
    <definedName name="仓储交易情况" localSheetId="18">'[2]不动产比较法-仓储'!$A$49:$M$49</definedName>
    <definedName name="仓储交易情况">'不动产比较法-仓储'!$A$49:$M$49</definedName>
    <definedName name="仓储楼层" localSheetId="19">'[1]不动产比较法-仓储'!$B$69:$M$69</definedName>
    <definedName name="仓储楼层" localSheetId="20">'[1]不动产比较法-仓储'!$B$69:$M$69</definedName>
    <definedName name="仓储楼层" localSheetId="18">'[2]不动产比较法-仓储'!$B$69:$M$69</definedName>
    <definedName name="仓储楼层">'不动产比较法-仓储'!$B$69:$M$69</definedName>
    <definedName name="仓储物业等级" localSheetId="19">'[1]不动产比较法-仓储'!$B$82:$M$82</definedName>
    <definedName name="仓储物业等级" localSheetId="20">'[1]不动产比较法-仓储'!$B$82:$M$82</definedName>
    <definedName name="仓储物业等级" localSheetId="18">'[2]不动产比较法-仓储'!$B$82:$M$82</definedName>
    <definedName name="仓储物业等级">'不动产比较法-仓储'!$B$82:$M$82</definedName>
    <definedName name="仓储用途" localSheetId="19">'[1]不动产比较法-仓储'!$B$51:$M$51</definedName>
    <definedName name="仓储用途" localSheetId="20">'[1]不动产比较法-仓储'!$B$51:$M$51</definedName>
    <definedName name="仓储用途" localSheetId="18">'[2]不动产比较法-仓储'!$B$51:$M$51</definedName>
    <definedName name="仓储用途">'不动产比较法-仓储'!$B$51:$M$51</definedName>
    <definedName name="产业集聚程度" localSheetId="19">[1]定义!$N$1:$N$6</definedName>
    <definedName name="产业集聚程度" localSheetId="20">[1]定义!$N$1:$N$6</definedName>
    <definedName name="产业集聚程度" localSheetId="18">[2]定义!$N$1:$N$6</definedName>
    <definedName name="产业集聚程度">定义!$N$1:$N$6</definedName>
    <definedName name="车位公共部分装修" localSheetId="19">'[1]不动产比较法-车位'!$B$83:$M$83</definedName>
    <definedName name="车位公共部分装修" localSheetId="20">'[1]不动产比较法-车位'!$B$83:$M$83</definedName>
    <definedName name="车位公共部分装修" localSheetId="18">'[2]不动产比较法-车位'!$B$83:$M$83</definedName>
    <definedName name="车位公共部分装修">'不动产比较法-车位'!$B$83:$M$83</definedName>
    <definedName name="车位交易情况" localSheetId="19">'[1]不动产比较法-车位'!$A$51:$M$51</definedName>
    <definedName name="车位交易情况" localSheetId="20">'[1]不动产比较法-车位'!$A$51:$M$51</definedName>
    <definedName name="车位交易情况" localSheetId="18">'[2]不动产比较法-车位'!$A$51:$M$51</definedName>
    <definedName name="车位交易情况">'不动产比较法-车位'!$A$51:$M$51</definedName>
    <definedName name="车位类型" localSheetId="19">'[1]不动产比较法-车位'!$B$93:$M$93</definedName>
    <definedName name="车位类型" localSheetId="20">'[1]不动产比较法-车位'!$B$93:$M$93</definedName>
    <definedName name="车位类型" localSheetId="18">'[2]不动产比较法-车位'!$B$93:$M$93</definedName>
    <definedName name="车位类型">'不动产比较法-车位'!$B$93:$M$93</definedName>
    <definedName name="车位楼层" localSheetId="19">'[1]不动产比较法-车位'!$B$71:$M$71</definedName>
    <definedName name="车位楼层" localSheetId="20">'[1]不动产比较法-车位'!$B$71:$M$71</definedName>
    <definedName name="车位楼层" localSheetId="18">'[2]不动产比较法-车位'!$B$71:$M$71</definedName>
    <definedName name="车位楼层">'不动产比较法-车位'!$B$71:$M$71</definedName>
    <definedName name="车位配套类型" localSheetId="19">'[1]不动产比较法-车位'!$B$79:$M$79</definedName>
    <definedName name="车位配套类型" localSheetId="20">'[1]不动产比较法-车位'!$B$79:$M$79</definedName>
    <definedName name="车位配套类型" localSheetId="18">'[2]不动产比较法-车位'!$B$79:$M$79</definedName>
    <definedName name="车位配套类型">'不动产比较法-车位'!$B$79:$M$79</definedName>
    <definedName name="车位物业等级" localSheetId="19">'[1]不动产比较法-车位'!$B$88:$M$88</definedName>
    <definedName name="车位物业等级" localSheetId="20">'[1]不动产比较法-车位'!$B$88:$M$88</definedName>
    <definedName name="车位物业等级" localSheetId="18">'[2]不动产比较法-车位'!$B$88:$M$88</definedName>
    <definedName name="车位物业等级">'不动产比较法-车位'!$B$88:$M$88</definedName>
    <definedName name="车位用途" localSheetId="19">'[1]不动产比较法-车位'!$B$53:$M$53</definedName>
    <definedName name="车位用途" localSheetId="20">'[1]不动产比较法-车位'!$B$53:$M$53</definedName>
    <definedName name="车位用途" localSheetId="18">'[2]不动产比较法-车位'!$B$53:$M$53</definedName>
    <definedName name="车位用途">'不动产比较法-车位'!$B$53:$M$53</definedName>
    <definedName name="城镇土地纳税等级分级范围" localSheetId="19">'[1]数据-取费表'!$A$53:$A$63</definedName>
    <definedName name="城镇土地纳税等级分级范围" localSheetId="20">'[1]数据-取费表'!$A$53:$A$63</definedName>
    <definedName name="城镇土地纳税等级分级范围" localSheetId="18">'[2]数据-取费表'!$A$53:$A$63</definedName>
    <definedName name="城镇土地纳税等级分级范围">'数据-取费表'!$A$53:$A$63</definedName>
    <definedName name="单价内涵" localSheetId="19">[1]定义!$V$1:$V$3</definedName>
    <definedName name="单价内涵" localSheetId="20">[1]定义!$V$1:$V$3</definedName>
    <definedName name="单价内涵" localSheetId="18">[2]定义!$V$1:$V$3</definedName>
    <definedName name="单价内涵">定义!$V$1:$V$3</definedName>
    <definedName name="地类判定" localSheetId="19">[1]定义!$H$1:$H$9</definedName>
    <definedName name="地类判定" localSheetId="20">[1]定义!$H$1:$H$9</definedName>
    <definedName name="地类判定" localSheetId="18">[2]定义!$H$1:$H$9</definedName>
    <definedName name="地类判定">定义!$H$1:$H$9</definedName>
    <definedName name="二级">区片价!$J$1:$J$20</definedName>
    <definedName name="二级分类" localSheetId="19">[1]修正!$C$17:$C$39</definedName>
    <definedName name="二级分类" localSheetId="20">[1]修正!$C$17:$C$39</definedName>
    <definedName name="二级分类" localSheetId="18">[2]修正!$C$17:$C$39</definedName>
    <definedName name="二级分类">修正!$C$17:$C$39</definedName>
    <definedName name="法定最高年限" localSheetId="19">[1]定义!$G$2:$G$4</definedName>
    <definedName name="法定最高年限" localSheetId="20">[1]定义!$G$2:$G$4</definedName>
    <definedName name="法定最高年限" localSheetId="18">[2]定义!$G$2:$G$4</definedName>
    <definedName name="法定最高年限">定义!$G$2:$G$4</definedName>
    <definedName name="工业公共部分装修" localSheetId="19">'[1]不动产比较法-工业'!$B$95:$M$95</definedName>
    <definedName name="工业公共部分装修" localSheetId="20">'[1]不动产比较法-工业'!$B$95:$M$95</definedName>
    <definedName name="工业公共部分装修" localSheetId="18">'[2]不动产比较法-工业'!$B$95:$M$95</definedName>
    <definedName name="工业公共部分装修">'不动产比较法-工业'!$B$95:$M$95</definedName>
    <definedName name="工业基础设施水平" localSheetId="19">'[1]不动产比较法-工业'!$B$102:$M$102</definedName>
    <definedName name="工业基础设施水平" localSheetId="20">'[1]不动产比较法-工业'!$B$102:$M$102</definedName>
    <definedName name="工业基础设施水平" localSheetId="18">'[2]不动产比较法-工业'!$B$102:$M$102</definedName>
    <definedName name="工业基础设施水平">'不动产比较法-工业'!$B$102:$M$102</definedName>
    <definedName name="工业建筑结构" localSheetId="19">'[1]不动产比较法-工业'!$B$93:$M$93</definedName>
    <definedName name="工业建筑结构" localSheetId="20">'[1]不动产比较法-工业'!$B$93:$M$93</definedName>
    <definedName name="工业建筑结构" localSheetId="18">'[2]不动产比较法-工业'!$B$93:$M$93</definedName>
    <definedName name="工业建筑结构">'不动产比较法-工业'!$B$93:$M$93</definedName>
    <definedName name="工业建筑类型" localSheetId="19">'[1]不动产比较法-工业'!$B$88:$M$88</definedName>
    <definedName name="工业建筑类型" localSheetId="20">'[1]不动产比较法-工业'!$B$88:$M$88</definedName>
    <definedName name="工业建筑类型" localSheetId="18">'[2]不动产比较法-工业'!$B$88:$M$88</definedName>
    <definedName name="工业建筑类型">'不动产比较法-工业'!$B$88:$M$88</definedName>
    <definedName name="工业交易情况" localSheetId="19">'[1]不动产比较法-工业'!$A$55:$M$55</definedName>
    <definedName name="工业交易情况" localSheetId="20">'[1]不动产比较法-工业'!$A$55:$M$55</definedName>
    <definedName name="工业交易情况" localSheetId="18">'[2]不动产比较法-工业'!$A$55:$M$55</definedName>
    <definedName name="工业交易情况">'不动产比较法-工业'!$A$55:$M$55</definedName>
    <definedName name="工业内部装修" localSheetId="19">'[1]不动产比较法-工业'!$B$104:$M$104</definedName>
    <definedName name="工业内部装修" localSheetId="20">'[1]不动产比较法-工业'!$B$104:$M$104</definedName>
    <definedName name="工业内部装修" localSheetId="18">'[2]不动产比较法-工业'!$B$104:$M$104</definedName>
    <definedName name="工业内部装修">'不动产比较法-工业'!$B$104:$M$104</definedName>
    <definedName name="工业物业管理" localSheetId="19">'[1]不动产比较法-工业'!$B$100:$M$100</definedName>
    <definedName name="工业物业管理" localSheetId="20">'[1]不动产比较法-工业'!$B$100:$M$100</definedName>
    <definedName name="工业物业管理" localSheetId="18">'[2]不动产比较法-工业'!$B$100:$M$100</definedName>
    <definedName name="工业物业管理">'不动产比较法-工业'!$B$100:$M$100</definedName>
    <definedName name="工业用途" localSheetId="19">'[1]不动产比较法-工业'!$B$57:$M$57</definedName>
    <definedName name="工业用途" localSheetId="20">'[1]不动产比较法-工业'!$B$57:$M$57</definedName>
    <definedName name="工业用途" localSheetId="18">'[2]不动产比较法-工业'!$B$57:$M$57</definedName>
    <definedName name="工业用途">'不动产比较法-工业'!$B$57:$M$57</definedName>
    <definedName name="公共配套设施" localSheetId="19">[1]定义!$Q$1:$Q$6</definedName>
    <definedName name="公共配套设施" localSheetId="20">[1]定义!$Q$1:$Q$6</definedName>
    <definedName name="公共配套设施" localSheetId="18">[2]定义!$Q$1:$Q$6</definedName>
    <definedName name="公共配套设施">定义!$Q$1:$Q$6</definedName>
    <definedName name="估价方法" localSheetId="19">[1]定义!$B$1:$B$50</definedName>
    <definedName name="估价方法" localSheetId="20">[1]定义!$B$1:$B$50</definedName>
    <definedName name="估价方法" localSheetId="18">[2]定义!$B$1:$B$50</definedName>
    <definedName name="估价方法">定义!$B$1:$B$50</definedName>
    <definedName name="环境" localSheetId="19">[1]定义!$S$1:$S$6</definedName>
    <definedName name="环境" localSheetId="20">[1]定义!$S$1:$S$6</definedName>
    <definedName name="环境" localSheetId="18">[2]定义!$S$1:$S$6</definedName>
    <definedName name="环境">定义!$S$1:$S$6</definedName>
    <definedName name="基础设施水平" localSheetId="19">[1]定义!$R$1:$R$6</definedName>
    <definedName name="基础设施水平" localSheetId="20">[1]定义!$R$1:$R$6</definedName>
    <definedName name="基础设施水平" localSheetId="18">[2]定义!$R$1:$R$6</definedName>
    <definedName name="基础设施水平">定义!$R$1:$R$6</definedName>
    <definedName name="季度">基准地价!$N$19:$AB$19</definedName>
    <definedName name="季度2014">地价!$A$2:$A$28</definedName>
    <definedName name="价值类型2" localSheetId="19">[1]定义!$B$54:$B$56</definedName>
    <definedName name="价值类型2" localSheetId="20">[1]定义!$B$54:$B$56</definedName>
    <definedName name="价值类型2" localSheetId="18">[2]定义!$B$54:$B$56</definedName>
    <definedName name="价值类型2">定义!$B$54:$B$56</definedName>
    <definedName name="交通便捷度" localSheetId="19">[1]定义!$O$1:$O$6</definedName>
    <definedName name="交通便捷度" localSheetId="20">[1]定义!$O$1:$O$6</definedName>
    <definedName name="交通便捷度" localSheetId="18">[2]定义!$O$1:$O$6</definedName>
    <definedName name="交通便捷度">定义!$O$1:$O$6</definedName>
    <definedName name="九级">区片价!$Q$1:$Q$46</definedName>
    <definedName name="居住社区成熟度" localSheetId="19">[1]定义!$K$1:$K$6</definedName>
    <definedName name="居住社区成熟度" localSheetId="20">[1]定义!$K$1:$K$6</definedName>
    <definedName name="居住社区成熟度" localSheetId="18">[2]定义!$K$1:$K$6</definedName>
    <definedName name="居住社区成熟度">定义!$K$1:$K$6</definedName>
    <definedName name="类别" localSheetId="19">[1]定义!$J$1:$J$3</definedName>
    <definedName name="类别" localSheetId="20">[1]定义!$J$1:$J$3</definedName>
    <definedName name="类别" localSheetId="18">[2]定义!$J$1:$J$3</definedName>
    <definedName name="类别">定义!$J$1:$J$3</definedName>
    <definedName name="临街状况" localSheetId="19">[1]定义!$T$1:$T$5</definedName>
    <definedName name="临街状况" localSheetId="20">[1]定义!$T$1:$T$5</definedName>
    <definedName name="临街状况" localSheetId="18">[2]定义!$T$1:$T$5</definedName>
    <definedName name="临街状况">定义!$T$1:$T$5</definedName>
    <definedName name="六级">区片价!$N$1:$N$49</definedName>
    <definedName name="内部装修维护情况" localSheetId="19">[1]定义!$U$1:$U$6</definedName>
    <definedName name="内部装修维护情况" localSheetId="20">[1]定义!$U$1:$U$6</definedName>
    <definedName name="内部装修维护情况" localSheetId="18">[2]定义!$U$1:$U$6</definedName>
    <definedName name="内部装修维护情况">定义!$U$1:$U$6</definedName>
    <definedName name="判定" localSheetId="19">[1]定义!$D$1:$D$4</definedName>
    <definedName name="判定" localSheetId="20">[1]定义!$D$1:$D$4</definedName>
    <definedName name="判定" localSheetId="18">[2]定义!$D$1:$D$4</definedName>
    <definedName name="判定">定义!$D$1:$D$4</definedName>
    <definedName name="七级">区片价!$O$1:$O$49</definedName>
    <definedName name="七通一平" localSheetId="19">[1]修正!$A$6:$A$14</definedName>
    <definedName name="七通一平" localSheetId="20">[1]修正!$A$6:$A$14</definedName>
    <definedName name="七通一平" localSheetId="18">[2]修正!$A$6:$A$14</definedName>
    <definedName name="七通一平">修正!$A$6:$A$14</definedName>
    <definedName name="区域土地利用方向" localSheetId="19">[1]定义!$P$1:$P$6</definedName>
    <definedName name="区域土地利用方向" localSheetId="20">[1]定义!$P$1:$P$6</definedName>
    <definedName name="区域土地利用方向" localSheetId="18">[2]定义!$P$1:$P$6</definedName>
    <definedName name="区域土地利用方向">定义!$P$1:$P$6</definedName>
    <definedName name="三级">区片价!$K$1:$K$21</definedName>
    <definedName name="商业层高" localSheetId="19">'[1]不动产比较法（商业）'!$B$116:$M$116</definedName>
    <definedName name="商业层高" localSheetId="20">'[1]不动产比较法（商业）'!$B$116:$M$116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0">[1]定义!$L$1:$L$6</definedName>
    <definedName name="商业繁华度" localSheetId="18">[2]定义!$L$1:$L$6</definedName>
    <definedName name="商业繁华度">定义!$L$1:$L$6</definedName>
    <definedName name="商业公共部分装修" localSheetId="19">'[1]不动产比较法（商业）'!$B$107:$M$107</definedName>
    <definedName name="商业公共部分装修" localSheetId="20">'[1]不动产比较法（商业）'!$B$107:$M$107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0">'[1]不动产比较法（商业）'!$B$112:$M$112</definedName>
    <definedName name="商业基础设施水平" localSheetId="18">'[2]不动产比较法-商业'!$B$112:$M$112</definedName>
    <definedName name="商业基础设施水平">'不动产比较法-商业'!$B$112:$M$112</definedName>
    <definedName name="商业建筑结构" localSheetId="19">'[1]不动产比较法（商业）'!$B$105:$M$105</definedName>
    <definedName name="商业建筑结构" localSheetId="20">'[1]不动产比较法（商业）'!$B$105:$M$105</definedName>
    <definedName name="商业建筑结构" localSheetId="18">'[2]不动产比较法-商业'!$B$105:$M$105</definedName>
    <definedName name="商业建筑结构">'不动产比较法-商业'!$B$105:$M$105</definedName>
    <definedName name="商业交易情况" localSheetId="19">'[1]不动产比较法（商业）'!$A$61:$M$61</definedName>
    <definedName name="商业交易情况" localSheetId="20">'[1]不动产比较法（商业）'!$A$61:$M$61</definedName>
    <definedName name="商业交易情况" localSheetId="18">'[2]不动产比较法-商业'!$A$61:$M$61</definedName>
    <definedName name="商业交易情况">'不动产比较法-商业'!$A$61:$M$61</definedName>
    <definedName name="商业街名称" localSheetId="19">[1]修正!$C$59:$C$119</definedName>
    <definedName name="商业街名称" localSheetId="20">[1]修正!$C$59:$C$119</definedName>
    <definedName name="商业街名称" localSheetId="18">[2]修正!$C$59:$C$119</definedName>
    <definedName name="商业街名称">修正!$C$59:$C$119</definedName>
    <definedName name="商业进深比" localSheetId="19">'[1]不动产比较法（商业）'!$B$120:$M$120</definedName>
    <definedName name="商业进深比" localSheetId="20">'[1]不动产比较法（商业）'!$B$120:$M$120</definedName>
    <definedName name="商业进深比" localSheetId="18">'[2]不动产比较法-商业'!$B$120:$M$120</definedName>
    <definedName name="商业进深比">'不动产比较法-商业'!$B$120:$M$120</definedName>
    <definedName name="商业类型" localSheetId="19">'[1]不动产比较法（商业）'!$B$100:$M$100</definedName>
    <definedName name="商业类型" localSheetId="20">'[1]不动产比较法（商业）'!$B$100:$M$100</definedName>
    <definedName name="商业类型" localSheetId="18">'[2]不动产比较法-商业'!$B$100:$M$100</definedName>
    <definedName name="商业类型">'不动产比较法-商业'!$B$100:$M$100</definedName>
    <definedName name="商业临街状况" localSheetId="19">'[1]不动产比较法（商业）'!$B$86:$M$86</definedName>
    <definedName name="商业临街状况" localSheetId="20">'[1]不动产比较法（商业）'!$B$86:$M$86</definedName>
    <definedName name="商业临街状况" localSheetId="18">'[2]不动产比较法-商业'!$B$86:$M$86</definedName>
    <definedName name="商业临街状况">'不动产比较法-商业'!$B$86:$M$86</definedName>
    <definedName name="商业楼层" localSheetId="19">'[1]不动产比较法（商业）'!$B$92:$M$92</definedName>
    <definedName name="商业楼层" localSheetId="20">'[1]不动产比较法（商业）'!$B$92:$M$92</definedName>
    <definedName name="商业楼层" localSheetId="18">'[2]不动产比较法-商业'!$B$92:$M$92</definedName>
    <definedName name="商业楼层">'不动产比较法-商业'!$B$92:$M$92</definedName>
    <definedName name="商业内部装修" localSheetId="19">'[1]不动产比较法（商业）'!$B$122:$M$122</definedName>
    <definedName name="商业内部装修" localSheetId="20">'[1]不动产比较法（商业）'!$B$122:$M$122</definedName>
    <definedName name="商业内部装修" localSheetId="18">'[2]不动产比较法-商业'!$B$122:$M$122</definedName>
    <definedName name="商业内部装修">'不动产比较法-商业'!$B$122:$M$122</definedName>
    <definedName name="商业人流量" localSheetId="19">'[1]不动产比较法（商业）'!$B$90:$M$90</definedName>
    <definedName name="商业人流量" localSheetId="20">'[1]不动产比较法（商业）'!$B$90:$M$90</definedName>
    <definedName name="商业人流量" localSheetId="18">'[2]不动产比较法-商业'!$B$90:$M$90</definedName>
    <definedName name="商业人流量">'不动产比较法-商业'!$B$90:$M$90</definedName>
    <definedName name="商业业态" localSheetId="19">'[1]不动产比较法（商业）'!$B$114:$M$114</definedName>
    <definedName name="商业业态" localSheetId="20">'[1]不动产比较法（商业）'!$B$114:$M$114</definedName>
    <definedName name="商业业态" localSheetId="18">'[2]不动产比较法-商业'!$B$114:$M$114</definedName>
    <definedName name="商业业态">'不动产比较法-商业'!$B$114:$M$114</definedName>
    <definedName name="商业用途" localSheetId="19">'[1]不动产比较法（商业）'!$B$63:$M$63</definedName>
    <definedName name="商业用途" localSheetId="20">'[1]不动产比较法（商业）'!$B$63:$M$63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0">'[1]不动产比较法-仓储'!$B$89:$M$89</definedName>
    <definedName name="是否封闭" localSheetId="18">'[2]不动产比较法-仓储'!$B$89:$M$89</definedName>
    <definedName name="是否封闭">'不动产比较法-仓储'!$B$89:$M$89</definedName>
    <definedName name="是否直接入户" localSheetId="19">'[1]不动产比较法-车位'!$B$95:$M$95</definedName>
    <definedName name="是否直接入户" localSheetId="20">'[1]不动产比较法-车位'!$B$95:$M$95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0">'[1]比较法-工业'!$B$116:$M$116</definedName>
    <definedName name="套工工程地质条件" localSheetId="18">'[2]比较法-工业'!$B$116:$M$116</definedName>
    <definedName name="套工工程地质条件">'比较法-工业'!$B$116:$M$116</definedName>
    <definedName name="套工交易情况" localSheetId="19">'[1]比较法-住宅、综合'!$A$75:$M$75</definedName>
    <definedName name="套工交易情况" localSheetId="20">'[1]比较法-住宅、综合'!$A$75:$M$75</definedName>
    <definedName name="套工交易情况" localSheetId="18">'[2]比较法-住宅、综合'!$A$75:$M$75</definedName>
    <definedName name="套工交易情况">'比较法-住宅、综合'!$A$75:$M$75</definedName>
    <definedName name="套工开发程度" localSheetId="19">'[1]比较法-工业'!$B$114:$M$114</definedName>
    <definedName name="套工开发程度" localSheetId="20">'[1]比较法-工业'!$B$114:$M$114</definedName>
    <definedName name="套工开发程度" localSheetId="18">'[2]比较法-工业'!$B$114:$M$114</definedName>
    <definedName name="套工开发程度">'比较法-工业'!$B$114:$M$114</definedName>
    <definedName name="套工临街等级" localSheetId="19">'[1]比较法-工业'!$B$99:$M$99</definedName>
    <definedName name="套工临街等级" localSheetId="20">'[1]比较法-工业'!$B$99:$M$99</definedName>
    <definedName name="套工临街等级" localSheetId="18">'[2]比较法-工业'!$B$99:$M$99</definedName>
    <definedName name="套工临街等级">'比较法-工业'!$B$99:$M$99</definedName>
    <definedName name="套工土地级别" localSheetId="19">'[1]比较法-工业'!$B$101:$M$101</definedName>
    <definedName name="套工土地级别" localSheetId="20">'[1]比较法-工业'!$B$101:$M$101</definedName>
    <definedName name="套工土地级别" localSheetId="18">'[2]比较法-工业'!$B$101:$M$101</definedName>
    <definedName name="套工土地级别">'比较法-工业'!$B$101:$M$101</definedName>
    <definedName name="套工用途" localSheetId="19">'[1]比较法-工业'!$B$72:$M$72</definedName>
    <definedName name="套工用途" localSheetId="20">'[1]比较法-工业'!$B$72:$M$72</definedName>
    <definedName name="套工用途" localSheetId="18">'[2]比较法-工业'!$B$72:$M$72</definedName>
    <definedName name="套工用途">'比较法-工业'!$B$72:$M$72</definedName>
    <definedName name="套工宗地形状" localSheetId="19">'[1]比较法-工业'!$B$112:$M$112</definedName>
    <definedName name="套工宗地形状" localSheetId="20">'[1]比较法-工业'!$B$112:$M$112</definedName>
    <definedName name="套工宗地形状" localSheetId="18">'[2]比较法-工业'!$B$112:$M$112</definedName>
    <definedName name="套工宗地形状">'比较法-工业'!$B$112:$M$112</definedName>
    <definedName name="套综道路等级" localSheetId="19">'[1]比较法-住宅、综合'!$B$108:$M$108</definedName>
    <definedName name="套综道路等级" localSheetId="20">'[1]比较法-住宅、综合'!$B$108:$M$108</definedName>
    <definedName name="套综道路等级" localSheetId="18">'[2]比较法-住宅、综合'!$B$108:$M$108</definedName>
    <definedName name="套综道路等级">'比较法-住宅、综合'!$B$108:$M$108</definedName>
    <definedName name="套综工程地质条件" localSheetId="19">'[1]比较法-住宅、综合'!$B$127:$M$127</definedName>
    <definedName name="套综工程地质条件" localSheetId="20">'[1]比较法-住宅、综合'!$B$127:$M$127</definedName>
    <definedName name="套综工程地质条件" localSheetId="18">'[2]比较法-住宅、综合'!$B$127:$M$127</definedName>
    <definedName name="套综工程地质条件">'比较法-住宅、综合'!$B$127:$M$127</definedName>
    <definedName name="套综交易情况" localSheetId="19">'[1]比较法-住宅、综合'!$A$75:$M$75</definedName>
    <definedName name="套综交易情况" localSheetId="20">'[1]比较法-住宅、综合'!$A$75:$M$75</definedName>
    <definedName name="套综交易情况" localSheetId="18">'[2]比较法-住宅、综合'!$A$75:$M$75</definedName>
    <definedName name="套综交易情况">'比较法-住宅、综合'!$A$75:$M$75</definedName>
    <definedName name="套综临街宽度及深度" localSheetId="19">'[1]比较法-住宅、综合'!$B$123:$M$123</definedName>
    <definedName name="套综临街宽度及深度" localSheetId="20">'[1]比较法-住宅、综合'!$B$123:$M$123</definedName>
    <definedName name="套综临街宽度及深度" localSheetId="18">'[2]比较法-住宅、综合'!$B$123:$M$123</definedName>
    <definedName name="套综临街宽度及深度">'比较法-住宅、综合'!$B$123:$M$123</definedName>
    <definedName name="套综土地级别" localSheetId="19">'[1]比较法-住宅、综合'!$B$110:$M$110</definedName>
    <definedName name="套综土地级别" localSheetId="20">'[1]比较法-住宅、综合'!$B$110:$M$110</definedName>
    <definedName name="套综土地级别" localSheetId="18">'[2]比较法-住宅、综合'!$B$110:$M$110</definedName>
    <definedName name="套综土地级别">'比较法-住宅、综合'!$B$110:$M$110</definedName>
    <definedName name="套综用途" localSheetId="19">'[1]比较法-住宅、综合'!$B$77:$M$77</definedName>
    <definedName name="套综用途" localSheetId="20">'[1]比较法-住宅、综合'!$B$77:$M$77</definedName>
    <definedName name="套综用途" localSheetId="18">'[2]比较法-住宅、综合'!$B$77:$M$77</definedName>
    <definedName name="套综用途">'比较法-住宅、综合'!$B$77:$M$77</definedName>
    <definedName name="套综宗地内开发程度" localSheetId="19">'[1]比较法-住宅、综合'!$B$125:$M$125</definedName>
    <definedName name="套综宗地内开发程度" localSheetId="20">'[1]比较法-住宅、综合'!$B$125:$M$125</definedName>
    <definedName name="套综宗地内开发程度" localSheetId="18">'[2]比较法-住宅、综合'!$B$125:$M$125</definedName>
    <definedName name="套综宗地内开发程度">'比较法-住宅、综合'!$B$125:$M$125</definedName>
    <definedName name="套综宗地形状" localSheetId="19">'[1]比较法-住宅、综合'!$B$121:$M$121</definedName>
    <definedName name="套综宗地形状" localSheetId="20">'[1]比较法-住宅、综合'!$B$121:$M$121</definedName>
    <definedName name="套综宗地形状" localSheetId="18">'[2]比较法-住宅、综合'!$B$121:$M$121</definedName>
    <definedName name="套综宗地形状">'比较法-住宅、综合'!$B$121:$M$121</definedName>
    <definedName name="土地估价师" localSheetId="19">[1]估价师及机构信息!$D$3:$D$24</definedName>
    <definedName name="土地估价师" localSheetId="20">[1]估价师及机构信息!$D$3:$D$24</definedName>
    <definedName name="土地估价师" localSheetId="18">[2]估价师及机构信息!$D$3:$D$24</definedName>
    <definedName name="土地估价师">估价师及机构信息!$D$3:$D$24</definedName>
    <definedName name="土地级别" localSheetId="19">[1]定义!$C$1:$C$14</definedName>
    <definedName name="土地级别" localSheetId="20">[1]定义!$C$1:$C$14</definedName>
    <definedName name="土地级别" localSheetId="18">[2]定义!$C$1:$C$14</definedName>
    <definedName name="土地级别">定义!$C$1:$C$14</definedName>
    <definedName name="土地利用方向">定义!$P$1:$P$6</definedName>
    <definedName name="土地年限区间" localSheetId="19">[1]定义!$I$1:$I$8</definedName>
    <definedName name="土地年限区间" localSheetId="20">[1]定义!$I$1:$I$8</definedName>
    <definedName name="土地年限区间" localSheetId="18">[2]定义!$I$1:$I$8</definedName>
    <definedName name="土地年限区间">定义!$I$1:$I$8</definedName>
    <definedName name="位置" localSheetId="19">[1]定义!$E$2:$E$4</definedName>
    <definedName name="位置" localSheetId="20">[1]定义!$E$2:$E$4</definedName>
    <definedName name="位置" localSheetId="18">[2]定义!$E$2:$E$4</definedName>
    <definedName name="位置">定义!$E$2:$E$4</definedName>
    <definedName name="五等判定" localSheetId="19">[1]定义!$W$1:$W$6</definedName>
    <definedName name="五等判定" localSheetId="20">[1]定义!$W$1:$W$6</definedName>
    <definedName name="五等判定" localSheetId="18">[2]定义!$W$1:$W$6</definedName>
    <definedName name="五等判定">定义!$W$1:$W$6</definedName>
    <definedName name="五级">区片价!$M$1:$M$35</definedName>
    <definedName name="项目类型" localSheetId="19">'[1]数据-汇总表'!$C$17:$C$26</definedName>
    <definedName name="项目类型" localSheetId="20">'[1]数据-汇总表'!$C$17:$C$26</definedName>
    <definedName name="项目类型" localSheetId="18">'[2]数据-汇总表'!$C$17:$C$26</definedName>
    <definedName name="项目类型">'数据-汇总表'!$C$17:$C$26</definedName>
    <definedName name="写字楼等级" localSheetId="19">'[1]不动产比较法（办公）'!$B$113:$M$113</definedName>
    <definedName name="写字楼等级" localSheetId="20">'[1]不动产比较法（办公）'!$B$113:$M$113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0">[1]典型户型修正!$5:$5</definedName>
    <definedName name="一修多修正项2" localSheetId="18">[2]典型户型修正!$5:$5</definedName>
    <definedName name="一修多修正项2">典型户型修正!$5:$5</definedName>
    <definedName name="一修多修正项3" localSheetId="19">[1]典型户型修正!$7:$7</definedName>
    <definedName name="一修多修正项3" localSheetId="20">[1]典型户型修正!$7:$7</definedName>
    <definedName name="一修多修正项3" localSheetId="18">[2]典型户型修正!$7:$7</definedName>
    <definedName name="一修多修正项3">典型户型修正!$7:$7</definedName>
    <definedName name="一修多修正项4" localSheetId="19">[1]典型户型修正!$9:$9</definedName>
    <definedName name="一修多修正项4" localSheetId="20">[1]典型户型修正!$9:$9</definedName>
    <definedName name="一修多修正项4" localSheetId="18">[2]典型户型修正!$9:$9</definedName>
    <definedName name="一修多修正项4">典型户型修正!$9:$9</definedName>
    <definedName name="一修多修正项5" localSheetId="19">[1]典型户型修正!$11:$11</definedName>
    <definedName name="一修多修正项5" localSheetId="20">[1]典型户型修正!$11:$11</definedName>
    <definedName name="一修多修正项5" localSheetId="18">[2]典型户型修正!$11:$11</definedName>
    <definedName name="一修多修正项5">典型户型修正!$11:$11</definedName>
    <definedName name="一修多修正项6" localSheetId="19">[1]典型户型修正!$13:$13</definedName>
    <definedName name="一修多修正项6" localSheetId="20">[1]典型户型修正!$13:$13</definedName>
    <definedName name="一修多修正项6" localSheetId="18">[2]典型户型修正!$13:$13</definedName>
    <definedName name="一修多修正项6">典型户型修正!$13:$13</definedName>
    <definedName name="一修多修正项7" localSheetId="19">[1]典型户型修正!$15:$15</definedName>
    <definedName name="一修多修正项7" localSheetId="20">[1]典型户型修正!$15:$15</definedName>
    <definedName name="一修多修正项7" localSheetId="18">[2]典型户型修正!$15:$15</definedName>
    <definedName name="一修多修正项7">典型户型修正!$15:$15</definedName>
    <definedName name="一修多修正项8" localSheetId="19">[1]典型户型修正!$17:$17</definedName>
    <definedName name="一修多修正项8" localSheetId="20">[1]典型户型修正!$17:$17</definedName>
    <definedName name="一修多修正项8" localSheetId="18">[2]典型户型修正!$17:$17</definedName>
    <definedName name="一修多修正项8">典型户型修正!$17:$17</definedName>
    <definedName name="用途类型" localSheetId="19">[1]定义!$A$1:$A$50</definedName>
    <definedName name="用途类型" localSheetId="20">[1]定义!$A$1:$A$50</definedName>
    <definedName name="用途类型" localSheetId="18">[2]定义!$A$1:$A$50</definedName>
    <definedName name="用途类型">定义!$A$1:$A$50</definedName>
    <definedName name="有无电梯" localSheetId="19">'[1]不动产比较法-仓储'!$B$84:$M$84</definedName>
    <definedName name="有无电梯" localSheetId="20">'[1]不动产比较法-仓储'!$B$84:$M$84</definedName>
    <definedName name="有无电梯" localSheetId="18">'[2]不动产比较法-仓储'!$B$84:$M$84</definedName>
    <definedName name="有无电梯">'不动产比较法-仓储'!$B$84:$M$84</definedName>
    <definedName name="主用途" localSheetId="19">[1]定义!$F$1:$F$10</definedName>
    <definedName name="主用途" localSheetId="20">[1]定义!$F$1:$F$10</definedName>
    <definedName name="主用途" localSheetId="18">[2]定义!$F$1:$F$10</definedName>
    <definedName name="主用途">定义!$F$1:$F$10</definedName>
    <definedName name="住宅朝向" localSheetId="19">'[1]不动产比较法-住宅'!$B$88:$M$88</definedName>
    <definedName name="住宅朝向" localSheetId="20">'[1]不动产比较法-住宅'!$B$88:$M$88</definedName>
    <definedName name="住宅朝向" localSheetId="18">'[2]不动产比较法-住宅'!$B$88:$M$88</definedName>
    <definedName name="住宅朝向">'不动产比较法-住宅'!$B$88:$M$88</definedName>
    <definedName name="住宅房型" localSheetId="19">'[1]不动产比较法-住宅'!$B$118:$M$118</definedName>
    <definedName name="住宅房型" localSheetId="20">'[1]不动产比较法-住宅'!$B$118:$M$118</definedName>
    <definedName name="住宅房型" localSheetId="18">'[2]不动产比较法-住宅'!$B$118:$M$118</definedName>
    <definedName name="住宅房型">'不动产比较法-住宅'!$B$118:$M$118</definedName>
    <definedName name="住宅公共部分装修" localSheetId="19">'[1]不动产比较法-住宅'!$B$109:$M$109</definedName>
    <definedName name="住宅公共部分装修" localSheetId="20">'[1]不动产比较法-住宅'!$B$109:$M$109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0">'[1]不动产比较法-住宅'!$B$116:$M$116</definedName>
    <definedName name="住宅基础设施水平" localSheetId="18">'[2]不动产比较法-住宅'!$B$116:$M$116</definedName>
    <definedName name="住宅基础设施水平">'不动产比较法-住宅'!$B$116:$M$116</definedName>
    <definedName name="住宅建筑结构" localSheetId="19">'[1]不动产比较法-住宅'!$B$105:$M$105</definedName>
    <definedName name="住宅建筑结构" localSheetId="20">'[1]不动产比较法-住宅'!$B$105:$M$105</definedName>
    <definedName name="住宅建筑结构" localSheetId="18">'[2]不动产比较法-住宅'!$B$105:$M$105</definedName>
    <definedName name="住宅建筑结构">'不动产比较法-住宅'!$B$105:$M$105</definedName>
    <definedName name="住宅建筑类型" localSheetId="19">'[1]不动产比较法-住宅'!$B$100:$M$100</definedName>
    <definedName name="住宅建筑类型" localSheetId="20">'[1]不动产比较法-住宅'!$B$100:$M$100</definedName>
    <definedName name="住宅建筑类型" localSheetId="18">'[2]不动产比较法-住宅'!$B$100:$M$100</definedName>
    <definedName name="住宅建筑类型">'不动产比较法-住宅'!$B$100:$M$100</definedName>
    <definedName name="住宅建筑品质" localSheetId="19">'[1]不动产比较法-住宅'!$B$107:$M$107</definedName>
    <definedName name="住宅建筑品质" localSheetId="20">'[1]不动产比较法-住宅'!$B$107:$M$107</definedName>
    <definedName name="住宅建筑品质" localSheetId="18">'[2]不动产比较法-住宅'!$B$107:$M$107</definedName>
    <definedName name="住宅建筑品质">'不动产比较法-住宅'!$B$107:$M$107</definedName>
    <definedName name="住宅交易情况" localSheetId="19">'[1]不动产比较法-住宅'!$A$61:$M$61</definedName>
    <definedName name="住宅交易情况" localSheetId="20">'[1]不动产比较法-住宅'!$A$61:$M$61</definedName>
    <definedName name="住宅交易情况" localSheetId="18">'[2]不动产比较法-住宅'!$A$61:$M$61</definedName>
    <definedName name="住宅交易情况">'不动产比较法-住宅'!$A$61:$M$61</definedName>
    <definedName name="住宅楼层" localSheetId="19">'[1]不动产比较法-住宅'!$B$86:$M$86</definedName>
    <definedName name="住宅楼层" localSheetId="20">'[1]不动产比较法-住宅'!$B$86:$M$86</definedName>
    <definedName name="住宅楼层" localSheetId="18">'[2]不动产比较法-住宅'!$B$86:$M$86</definedName>
    <definedName name="住宅楼层">'不动产比较法-住宅'!$B$86:$M$86</definedName>
    <definedName name="住宅内部装修" localSheetId="19">'[1]不动产比较法-住宅'!$B$122:$M$122</definedName>
    <definedName name="住宅内部装修" localSheetId="20">'[1]不动产比较法-住宅'!$B$122:$M$122</definedName>
    <definedName name="住宅内部装修" localSheetId="18">'[2]不动产比较法-住宅'!$B$122:$M$122</definedName>
    <definedName name="住宅内部装修">'不动产比较法-住宅'!$B$122:$M$122</definedName>
    <definedName name="住宅物业管理" localSheetId="19">'[1]不动产比较法-住宅'!$B$114:$M$114</definedName>
    <definedName name="住宅物业管理" localSheetId="20">'[1]不动产比较法-住宅'!$B$114:$M$114</definedName>
    <definedName name="住宅物业管理" localSheetId="18">'[2]不动产比较法-住宅'!$B$114:$M$114</definedName>
    <definedName name="住宅物业管理">'不动产比较法-住宅'!$B$114:$M$114</definedName>
    <definedName name="住宅用途" localSheetId="19">'[1]不动产比较法-住宅'!$B$63:$M$63</definedName>
    <definedName name="住宅用途" localSheetId="20">'[1]不动产比较法-住宅'!$B$63:$M$63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 i="77" l="1"/>
  <c r="F10" i="77"/>
  <c r="F13" i="77"/>
  <c r="D13" i="77"/>
  <c r="G13" i="77"/>
  <c r="G2" i="77"/>
  <c r="G5" i="77"/>
  <c r="G7" i="77"/>
  <c r="G9" i="77"/>
  <c r="G12" i="77"/>
  <c r="F7" i="77"/>
  <c r="E6" i="69"/>
  <c r="D8" i="69"/>
  <c r="H6" i="71"/>
  <c r="H7" i="71"/>
  <c r="J6" i="71"/>
  <c r="J7" i="71"/>
  <c r="H17" i="46"/>
  <c r="I17" i="46"/>
  <c r="J17" i="46"/>
  <c r="K17" i="46"/>
  <c r="L17" i="46"/>
  <c r="M17" i="46"/>
  <c r="N17" i="46"/>
  <c r="O17" i="46"/>
  <c r="G17" i="46"/>
  <c r="C16" i="46"/>
  <c r="C5" i="46"/>
  <c r="L6" i="1"/>
  <c r="M6" i="1"/>
  <c r="O6" i="1"/>
  <c r="P6" i="1"/>
  <c r="F21" i="21"/>
  <c r="AA21" i="21"/>
  <c r="R48" i="21"/>
  <c r="H21" i="21"/>
  <c r="AB21" i="21"/>
  <c r="T48" i="21"/>
  <c r="J21" i="21"/>
  <c r="AC21" i="21"/>
  <c r="V48" i="21"/>
  <c r="R49" i="21"/>
  <c r="C48" i="21"/>
  <c r="C8" i="12"/>
  <c r="C8" i="69"/>
  <c r="E21" i="72"/>
  <c r="D21" i="72"/>
  <c r="C24" i="46"/>
  <c r="C10" i="12"/>
  <c r="C6" i="12"/>
  <c r="C24" i="12"/>
  <c r="C29" i="12"/>
  <c r="K6" i="1"/>
  <c r="C19" i="46"/>
  <c r="AA5" i="59"/>
  <c r="J2" i="75"/>
  <c r="J3" i="75"/>
  <c r="J4" i="75"/>
  <c r="J5" i="75"/>
  <c r="J6" i="75"/>
  <c r="J7" i="75"/>
  <c r="J8" i="75"/>
  <c r="J9" i="75"/>
  <c r="J10" i="75"/>
  <c r="J11" i="75"/>
  <c r="J12" i="75"/>
  <c r="J13" i="75"/>
  <c r="J14" i="75"/>
  <c r="J15" i="75"/>
  <c r="J16" i="75"/>
  <c r="J17" i="75"/>
  <c r="J18" i="75"/>
  <c r="J19" i="75"/>
  <c r="J20" i="75"/>
  <c r="J21" i="75"/>
  <c r="J22" i="75"/>
  <c r="J23" i="75"/>
  <c r="J24" i="75"/>
  <c r="K2" i="75"/>
  <c r="F2" i="75"/>
  <c r="F3" i="75"/>
  <c r="F4" i="75"/>
  <c r="F5" i="75"/>
  <c r="F6" i="75"/>
  <c r="F7" i="75"/>
  <c r="F8" i="75"/>
  <c r="F9" i="75"/>
  <c r="F10" i="75"/>
  <c r="F11" i="75"/>
  <c r="F12" i="75"/>
  <c r="F13" i="75"/>
  <c r="F14" i="75"/>
  <c r="F15" i="75"/>
  <c r="F16" i="75"/>
  <c r="F17" i="75"/>
  <c r="F18" i="75"/>
  <c r="F19" i="75"/>
  <c r="F20" i="75"/>
  <c r="F21" i="75"/>
  <c r="F22" i="75"/>
  <c r="F23" i="75"/>
  <c r="F24" i="75"/>
  <c r="G2" i="75"/>
  <c r="D71" i="46"/>
  <c r="E69" i="46"/>
  <c r="B67" i="46"/>
  <c r="B2" i="75"/>
  <c r="B3" i="75"/>
  <c r="B4" i="75"/>
  <c r="B5" i="75"/>
  <c r="B6" i="75"/>
  <c r="B7" i="75"/>
  <c r="B8" i="75"/>
  <c r="B9" i="75"/>
  <c r="B10" i="75"/>
  <c r="B11" i="75"/>
  <c r="B12" i="75"/>
  <c r="B13" i="75"/>
  <c r="B14" i="75"/>
  <c r="B15" i="75"/>
  <c r="B16" i="75"/>
  <c r="B17" i="75"/>
  <c r="B18" i="75"/>
  <c r="B19" i="75"/>
  <c r="B20" i="75"/>
  <c r="B21" i="75"/>
  <c r="B22" i="75"/>
  <c r="B23" i="75"/>
  <c r="B24" i="75"/>
  <c r="C2" i="75"/>
  <c r="B20" i="1"/>
  <c r="B22" i="1"/>
  <c r="C2" i="65"/>
  <c r="I1" i="65"/>
  <c r="B24" i="1"/>
  <c r="O12" i="75"/>
  <c r="O13" i="75"/>
  <c r="Q11" i="75"/>
  <c r="Q12" i="75"/>
  <c r="Q13" i="75"/>
  <c r="E8" i="72"/>
  <c r="BQ13" i="3"/>
  <c r="BL13" i="3"/>
  <c r="AZ13" i="3"/>
  <c r="AZ5" i="3"/>
  <c r="E3" i="6"/>
  <c r="C33" i="21"/>
  <c r="F33" i="21"/>
  <c r="AA33" i="21"/>
  <c r="B2" i="1"/>
  <c r="C7" i="21"/>
  <c r="C58" i="21"/>
  <c r="D58" i="21"/>
  <c r="E58" i="21"/>
  <c r="F58" i="21"/>
  <c r="G58" i="21"/>
  <c r="H58" i="21"/>
  <c r="I58" i="21"/>
  <c r="J58" i="21"/>
  <c r="K58" i="21"/>
  <c r="L58" i="21"/>
  <c r="M58" i="21"/>
  <c r="N58" i="21"/>
  <c r="O58" i="21"/>
  <c r="F7" i="21"/>
  <c r="AA7" i="21"/>
  <c r="H33" i="21"/>
  <c r="AB33" i="21"/>
  <c r="H7" i="21"/>
  <c r="AB7" i="21"/>
  <c r="J33" i="21"/>
  <c r="AC33" i="21"/>
  <c r="J7" i="21"/>
  <c r="AC7" i="21"/>
  <c r="I6" i="1"/>
  <c r="F4" i="72"/>
  <c r="C8" i="72"/>
  <c r="C7" i="72"/>
  <c r="E6" i="72"/>
  <c r="E7" i="72"/>
  <c r="BQ5" i="3"/>
  <c r="F28" i="6"/>
  <c r="E28" i="6"/>
  <c r="K14" i="1"/>
  <c r="M14" i="1"/>
  <c r="K19" i="6"/>
  <c r="S6" i="1"/>
  <c r="S7" i="1"/>
  <c r="S8" i="1"/>
  <c r="S9" i="1"/>
  <c r="S10" i="1"/>
  <c r="S11" i="1"/>
  <c r="S12" i="1"/>
  <c r="S13" i="1"/>
  <c r="S16" i="1"/>
  <c r="T6" i="1"/>
  <c r="F15" i="12"/>
  <c r="E21" i="12"/>
  <c r="E22" i="12"/>
  <c r="F23" i="12"/>
  <c r="C1" i="65"/>
  <c r="H1" i="65"/>
  <c r="F24" i="12"/>
  <c r="C9" i="12"/>
  <c r="C42" i="1"/>
  <c r="Q6" i="1"/>
  <c r="D19" i="4"/>
  <c r="F6" i="1"/>
  <c r="I20" i="46"/>
  <c r="G3" i="46"/>
  <c r="E22" i="46" s="1"/>
  <c r="G22" i="46"/>
  <c r="H22" i="46"/>
  <c r="G19" i="46"/>
  <c r="I19" i="46"/>
  <c r="D29" i="46"/>
  <c r="D4" i="72"/>
  <c r="C4" i="72"/>
  <c r="C3" i="71"/>
  <c r="L4" i="74"/>
  <c r="J5" i="71"/>
  <c r="F14" i="12"/>
  <c r="E16" i="12"/>
  <c r="W4" i="74"/>
  <c r="J4" i="74"/>
  <c r="V4" i="74"/>
  <c r="I2" i="46"/>
  <c r="M9" i="46"/>
  <c r="C6" i="46"/>
  <c r="D69" i="46"/>
  <c r="D70" i="46"/>
  <c r="N9" i="46"/>
  <c r="F69" i="46"/>
  <c r="H71" i="46"/>
  <c r="G71" i="46"/>
  <c r="K71" i="46"/>
  <c r="D72" i="46"/>
  <c r="D73" i="46"/>
  <c r="H74" i="46"/>
  <c r="G74" i="46"/>
  <c r="K74" i="46"/>
  <c r="D74" i="46"/>
  <c r="H75" i="46"/>
  <c r="G75" i="46"/>
  <c r="K75" i="46"/>
  <c r="D75" i="46"/>
  <c r="H76" i="46"/>
  <c r="G76" i="46"/>
  <c r="K76" i="46"/>
  <c r="D76" i="46"/>
  <c r="H77" i="46"/>
  <c r="G77" i="46"/>
  <c r="M77" i="46"/>
  <c r="D77" i="46"/>
  <c r="I33" i="21"/>
  <c r="G33" i="21"/>
  <c r="E33" i="21"/>
  <c r="I7" i="21"/>
  <c r="G7" i="21"/>
  <c r="E7" i="21"/>
  <c r="E5" i="21"/>
  <c r="A1" i="72"/>
  <c r="C5" i="21"/>
  <c r="I47" i="21"/>
  <c r="G47" i="21"/>
  <c r="E47" i="21"/>
  <c r="M80" i="73"/>
  <c r="M42" i="73"/>
  <c r="H72" i="46"/>
  <c r="G72" i="46"/>
  <c r="K72" i="46"/>
  <c r="H73" i="46"/>
  <c r="G73" i="46"/>
  <c r="M73" i="46"/>
  <c r="J10" i="71"/>
  <c r="J13" i="71"/>
  <c r="J11" i="71"/>
  <c r="H10" i="71"/>
  <c r="H11" i="71"/>
  <c r="H13" i="71"/>
  <c r="I13" i="3"/>
  <c r="G14" i="71"/>
  <c r="H15" i="71"/>
  <c r="H16" i="71"/>
  <c r="G16" i="71"/>
  <c r="BB13" i="3"/>
  <c r="BA13" i="3"/>
  <c r="F19" i="6"/>
  <c r="E19" i="6"/>
  <c r="BA5" i="3"/>
  <c r="E27" i="6"/>
  <c r="W8" i="1"/>
  <c r="W7" i="1"/>
  <c r="W6" i="1"/>
  <c r="I8" i="1"/>
  <c r="I7" i="1"/>
  <c r="Q8" i="1"/>
  <c r="Q7" i="1"/>
  <c r="C25" i="12"/>
  <c r="D5" i="9"/>
  <c r="L8" i="1"/>
  <c r="L7" i="1"/>
  <c r="H9" i="72"/>
  <c r="A3" i="3"/>
  <c r="BB14" i="3"/>
  <c r="BA14" i="3"/>
  <c r="AZ14" i="3"/>
  <c r="BM13" i="3"/>
  <c r="BP21" i="3"/>
  <c r="BL21" i="3"/>
  <c r="AZ21" i="3"/>
  <c r="F1" i="46"/>
  <c r="A6" i="1"/>
  <c r="K7" i="1"/>
  <c r="M7" i="1"/>
  <c r="O7" i="1"/>
  <c r="P7" i="1"/>
  <c r="K8" i="1"/>
  <c r="M8" i="1"/>
  <c r="O8" i="1"/>
  <c r="K9" i="1"/>
  <c r="M9" i="1"/>
  <c r="O9" i="1"/>
  <c r="P9" i="1"/>
  <c r="K10" i="1"/>
  <c r="M10" i="1"/>
  <c r="O10" i="1"/>
  <c r="P10" i="1"/>
  <c r="K11" i="1"/>
  <c r="M11" i="1"/>
  <c r="O11" i="1"/>
  <c r="P11" i="1"/>
  <c r="K12" i="1"/>
  <c r="M12" i="1"/>
  <c r="O12" i="1"/>
  <c r="P12" i="1"/>
  <c r="K13" i="1"/>
  <c r="M13" i="1"/>
  <c r="O13" i="1"/>
  <c r="P13" i="1"/>
  <c r="BQ14" i="3"/>
  <c r="BS13" i="3"/>
  <c r="BS14" i="3"/>
  <c r="BS5" i="3"/>
  <c r="BR13" i="3"/>
  <c r="BR14" i="3"/>
  <c r="BR5" i="3"/>
  <c r="BT13" i="3"/>
  <c r="BT14" i="3"/>
  <c r="BT5" i="3"/>
  <c r="G28" i="6"/>
  <c r="O14" i="1"/>
  <c r="P14" i="1"/>
  <c r="K1" i="12"/>
  <c r="BC13" i="3"/>
  <c r="BD13" i="3"/>
  <c r="BE13" i="3"/>
  <c r="BF13" i="3"/>
  <c r="BG13" i="3"/>
  <c r="BH13" i="3"/>
  <c r="BI13" i="3"/>
  <c r="BJ13" i="3"/>
  <c r="BK13" i="3"/>
  <c r="BN13" i="3"/>
  <c r="BO13" i="3"/>
  <c r="BP13" i="3"/>
  <c r="BC14" i="3"/>
  <c r="BD14" i="3"/>
  <c r="BE14" i="3"/>
  <c r="BF14" i="3"/>
  <c r="BG14" i="3"/>
  <c r="BH14" i="3"/>
  <c r="BI14" i="3"/>
  <c r="BJ14" i="3"/>
  <c r="BK14" i="3"/>
  <c r="BM14" i="3"/>
  <c r="BN14" i="3"/>
  <c r="BO14" i="3"/>
  <c r="BP14" i="3"/>
  <c r="BL14" i="3"/>
  <c r="F17" i="12"/>
  <c r="E19" i="12"/>
  <c r="BB11" i="3"/>
  <c r="BB5" i="3"/>
  <c r="BC11" i="3"/>
  <c r="BD11" i="3"/>
  <c r="E5" i="6"/>
  <c r="E6" i="6"/>
  <c r="B43" i="1"/>
  <c r="B41" i="1"/>
  <c r="F29" i="12"/>
  <c r="Q16" i="1"/>
  <c r="H70" i="46"/>
  <c r="G70" i="46"/>
  <c r="H69" i="46"/>
  <c r="G69" i="46"/>
  <c r="F58" i="46"/>
  <c r="H59" i="46"/>
  <c r="G59" i="46"/>
  <c r="H60" i="46"/>
  <c r="G60" i="46"/>
  <c r="H61" i="46"/>
  <c r="G61" i="46"/>
  <c r="H62" i="46"/>
  <c r="G62" i="46"/>
  <c r="H63" i="46"/>
  <c r="G63" i="46"/>
  <c r="H64" i="46"/>
  <c r="G64" i="46"/>
  <c r="H65" i="46"/>
  <c r="G65" i="46"/>
  <c r="H66" i="46"/>
  <c r="G66" i="46"/>
  <c r="H58" i="46"/>
  <c r="G58" i="46"/>
  <c r="F47" i="46"/>
  <c r="H48" i="46"/>
  <c r="G48" i="46"/>
  <c r="H49" i="46"/>
  <c r="G49" i="46"/>
  <c r="H50" i="46"/>
  <c r="G50" i="46"/>
  <c r="H51" i="46"/>
  <c r="G51" i="46"/>
  <c r="H52" i="46"/>
  <c r="G52" i="46"/>
  <c r="H53" i="46"/>
  <c r="G53" i="46"/>
  <c r="H54" i="46"/>
  <c r="G54" i="46"/>
  <c r="H55" i="46"/>
  <c r="G55" i="46"/>
  <c r="H47" i="46"/>
  <c r="G47" i="46"/>
  <c r="H6" i="68"/>
  <c r="J6" i="68"/>
  <c r="M6" i="68"/>
  <c r="N6" i="68"/>
  <c r="D49" i="68"/>
  <c r="F51" i="68"/>
  <c r="K5" i="68"/>
  <c r="H49" i="68"/>
  <c r="I49" i="68"/>
  <c r="F49" i="68"/>
  <c r="E49" i="68"/>
  <c r="D46" i="68"/>
  <c r="F48" i="68"/>
  <c r="H47" i="68"/>
  <c r="I47" i="68"/>
  <c r="F47" i="68"/>
  <c r="E47" i="68"/>
  <c r="H46" i="68"/>
  <c r="I46" i="68"/>
  <c r="H45" i="68"/>
  <c r="I45" i="68"/>
  <c r="E45" i="68"/>
  <c r="H13" i="68"/>
  <c r="H30" i="68" s="1"/>
  <c r="I13" i="68"/>
  <c r="J13" i="68"/>
  <c r="J30" i="68" s="1"/>
  <c r="K30" i="68" s="1"/>
  <c r="K12" i="68"/>
  <c r="K13" i="68"/>
  <c r="T7" i="68"/>
  <c r="H12" i="68"/>
  <c r="H29" i="68" s="1"/>
  <c r="I12" i="68"/>
  <c r="J12" i="68"/>
  <c r="J29" i="68" s="1"/>
  <c r="K29" i="68" s="1"/>
  <c r="H11" i="68"/>
  <c r="H28" i="68" s="1"/>
  <c r="I11" i="68"/>
  <c r="J11" i="68"/>
  <c r="J28" i="68" s="1"/>
  <c r="K28" i="68" s="1"/>
  <c r="K11" i="68"/>
  <c r="H27" i="68"/>
  <c r="J27" i="68"/>
  <c r="O27" i="68"/>
  <c r="M27" i="68"/>
  <c r="K27" i="68"/>
  <c r="I27" i="68"/>
  <c r="H7" i="68"/>
  <c r="I22" i="68" s="1"/>
  <c r="J7" i="68"/>
  <c r="K22" i="68" s="1"/>
  <c r="J22" i="68" s="1"/>
  <c r="K21" i="68"/>
  <c r="I19" i="68"/>
  <c r="K19" i="68"/>
  <c r="O19" i="68"/>
  <c r="M19" i="68"/>
  <c r="D8" i="68"/>
  <c r="D14" i="68" s="1"/>
  <c r="D9" i="68"/>
  <c r="D15" i="68" s="1"/>
  <c r="M7" i="68"/>
  <c r="N7" i="68"/>
  <c r="O13" i="68"/>
  <c r="N13" i="68"/>
  <c r="M13" i="68"/>
  <c r="N12" i="68"/>
  <c r="M12" i="68"/>
  <c r="O11" i="68"/>
  <c r="AH5" i="59"/>
  <c r="AG5" i="59"/>
  <c r="AE5" i="59"/>
  <c r="AF5" i="59"/>
  <c r="AD5" i="59"/>
  <c r="Q5" i="59"/>
  <c r="Q6" i="59"/>
  <c r="Q7" i="59"/>
  <c r="AB5" i="59"/>
  <c r="P5" i="59"/>
  <c r="P6" i="59"/>
  <c r="P7"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M58" i="46"/>
  <c r="N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N77" i="46"/>
  <c r="K77" i="46"/>
  <c r="J77" i="46"/>
  <c r="M76" i="46"/>
  <c r="N76" i="46"/>
  <c r="J76" i="46"/>
  <c r="M75" i="46"/>
  <c r="N75" i="46"/>
  <c r="J75" i="46"/>
  <c r="M74" i="46"/>
  <c r="N74" i="46"/>
  <c r="J74" i="46"/>
  <c r="K73" i="46"/>
  <c r="J73" i="46"/>
  <c r="M72" i="46"/>
  <c r="N72" i="46"/>
  <c r="J72" i="46"/>
  <c r="M71" i="46"/>
  <c r="N71" i="46"/>
  <c r="J71" i="46"/>
  <c r="M70" i="46"/>
  <c r="N70" i="46"/>
  <c r="K70" i="46"/>
  <c r="J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s="1"/>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W21" i="21"/>
  <c r="W44" i="21"/>
  <c r="AC19"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G1" i="44"/>
  <c r="I4" i="6"/>
  <c r="AZ15" i="3"/>
  <c r="G5" i="3"/>
  <c r="B3" i="3"/>
  <c r="BK5" i="3"/>
  <c r="BO5" i="3"/>
  <c r="BP5" i="3"/>
  <c r="BN5" i="3"/>
  <c r="BL18" i="3"/>
  <c r="AZ18" i="3"/>
  <c r="BC5" i="3"/>
  <c r="E8" i="6"/>
  <c r="BD5" i="3"/>
  <c r="BL16" i="3"/>
  <c r="BL5" i="3"/>
  <c r="BM5" i="3"/>
  <c r="G28" i="12"/>
  <c r="G22" i="43"/>
  <c r="G26" i="12"/>
  <c r="D24" i="44"/>
  <c r="D26" i="44"/>
  <c r="G27" i="12"/>
  <c r="G23" i="43"/>
  <c r="G21" i="43"/>
  <c r="N8" i="46"/>
  <c r="N4" i="46"/>
  <c r="N1" i="46"/>
  <c r="M2" i="46"/>
  <c r="N11" i="46"/>
  <c r="M4" i="46"/>
  <c r="M12" i="46"/>
  <c r="M8" i="46"/>
  <c r="M3" i="46"/>
  <c r="M5" i="46"/>
  <c r="H6" i="48"/>
  <c r="H15" i="48"/>
  <c r="H5" i="48"/>
  <c r="H14" i="48"/>
  <c r="F36" i="46"/>
  <c r="F39" i="46"/>
  <c r="H13" i="48"/>
  <c r="H11" i="48"/>
  <c r="D17" i="46"/>
  <c r="D84" i="46"/>
  <c r="E80" i="46"/>
  <c r="B78" i="46"/>
  <c r="E47" i="46"/>
  <c r="E58" i="46"/>
  <c r="B56"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6" i="1"/>
  <c r="W18" i="36"/>
  <c r="AC18" i="36"/>
  <c r="AG6" i="1"/>
  <c r="D12" i="11"/>
  <c r="C12" i="11"/>
  <c r="L20" i="6"/>
  <c r="D16" i="43"/>
  <c r="C16" i="43" s="1"/>
  <c r="L19" i="6"/>
  <c r="L27" i="6"/>
  <c r="B21" i="55"/>
  <c r="B72" i="63"/>
  <c r="B20" i="55"/>
  <c r="B70" i="63"/>
  <c r="L38" i="9"/>
  <c r="B14" i="66"/>
  <c r="B1" i="66"/>
  <c r="C7" i="66"/>
  <c r="R9" i="1"/>
  <c r="R7" i="1"/>
  <c r="R8" i="1"/>
  <c r="M19" i="6"/>
  <c r="I19" i="6"/>
  <c r="AY6" i="3"/>
  <c r="D3"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Z6" i="59"/>
  <c r="X7" i="59"/>
  <c r="Y7" i="59"/>
  <c r="Z7" i="59"/>
  <c r="AA7" i="59"/>
  <c r="AB7" i="59"/>
  <c r="X8" i="59"/>
  <c r="Y8" i="59"/>
  <c r="Z8" i="59"/>
  <c r="AA8" i="59"/>
  <c r="AB8" i="59"/>
  <c r="E17" i="46"/>
  <c r="C17" i="46"/>
  <c r="D5" i="46"/>
  <c r="A25" i="51"/>
  <c r="B18" i="63"/>
  <c r="I48" i="21"/>
  <c r="D70" i="39"/>
  <c r="C72" i="39"/>
  <c r="D58" i="33"/>
  <c r="E58" i="33"/>
  <c r="F58" i="33"/>
  <c r="G58" i="33"/>
  <c r="H58" i="33"/>
  <c r="I58" i="33"/>
  <c r="J58" i="33"/>
  <c r="K58" i="33"/>
  <c r="L58" i="33"/>
  <c r="M58" i="33"/>
  <c r="N58" i="33"/>
  <c r="O58" i="33"/>
  <c r="J7" i="33"/>
  <c r="AC7" i="33"/>
  <c r="V48" i="33"/>
  <c r="I48" i="33"/>
  <c r="I52" i="33"/>
  <c r="J52" i="33"/>
  <c r="C67" i="40"/>
  <c r="D65" i="40"/>
  <c r="F34" i="46"/>
  <c r="F38" i="46"/>
  <c r="F37" i="46"/>
  <c r="H113" i="46"/>
  <c r="W7" i="33"/>
  <c r="D11" i="59"/>
  <c r="C10" i="59"/>
  <c r="D10" i="59"/>
  <c r="U8" i="59"/>
  <c r="F11" i="59"/>
  <c r="F10" i="59"/>
  <c r="F9" i="59"/>
  <c r="F8" i="59"/>
  <c r="Y10" i="59"/>
  <c r="Z10" i="59"/>
  <c r="AA10" i="59"/>
  <c r="AB10" i="59"/>
  <c r="Y9" i="59"/>
  <c r="Z9" i="59"/>
  <c r="AB9" i="59"/>
  <c r="AA12" i="59"/>
  <c r="X10" i="59"/>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X7" i="46"/>
  <c r="R16" i="1"/>
  <c r="Y11" i="46"/>
  <c r="Y13" i="46" s="1"/>
  <c r="H101" i="46"/>
  <c r="H102" i="46" s="1"/>
  <c r="J22" i="46"/>
  <c r="F101" i="46"/>
  <c r="F106" i="46"/>
  <c r="D101" i="46"/>
  <c r="D106" i="46"/>
  <c r="D13" i="11"/>
  <c r="C13" i="11"/>
  <c r="E14" i="6"/>
  <c r="E15" i="6"/>
  <c r="E13" i="6"/>
  <c r="E12" i="6"/>
  <c r="E10" i="6"/>
  <c r="E11" i="6"/>
  <c r="AP7" i="1"/>
  <c r="G13" i="1"/>
  <c r="E52" i="37"/>
  <c r="D46" i="36"/>
  <c r="AP16" i="1"/>
  <c r="F22" i="11"/>
  <c r="E48" i="35"/>
  <c r="D59" i="34"/>
  <c r="G6" i="1"/>
  <c r="G16" i="1"/>
  <c r="H7" i="33"/>
  <c r="F7" i="33"/>
  <c r="F107" i="46"/>
  <c r="F35" i="46"/>
  <c r="I101" i="46"/>
  <c r="I102" i="46"/>
  <c r="M101" i="46"/>
  <c r="M107" i="46"/>
  <c r="N101" i="46"/>
  <c r="N105" i="46"/>
  <c r="AC11" i="46"/>
  <c r="AC13" i="46"/>
  <c r="AD11" i="46"/>
  <c r="AJ11" i="46"/>
  <c r="D100" i="46"/>
  <c r="F104" i="46"/>
  <c r="F109" i="46"/>
  <c r="M103" i="46"/>
  <c r="AF12" i="46"/>
  <c r="K100" i="46"/>
  <c r="M109" i="46"/>
  <c r="AB12" i="46"/>
  <c r="AJ12" i="46"/>
  <c r="F102" i="46"/>
  <c r="F105" i="46"/>
  <c r="F103" i="46"/>
  <c r="C101" i="46"/>
  <c r="C109" i="46"/>
  <c r="G101" i="46"/>
  <c r="J101" i="46"/>
  <c r="J107" i="46" s="1"/>
  <c r="B113" i="46"/>
  <c r="N104" i="45"/>
  <c r="L101" i="46"/>
  <c r="E101" i="46"/>
  <c r="E106" i="46" s="1"/>
  <c r="Z7" i="46"/>
  <c r="K101" i="46"/>
  <c r="K103" i="46" s="1"/>
  <c r="AG11" i="46"/>
  <c r="AG13" i="46"/>
  <c r="Z11" i="46"/>
  <c r="Z13" i="46"/>
  <c r="AH11" i="46"/>
  <c r="AA11" i="46"/>
  <c r="AA13" i="46" s="1"/>
  <c r="AI11" i="46"/>
  <c r="AI13" i="46" s="1"/>
  <c r="AF11" i="46"/>
  <c r="AF13" i="46" s="1"/>
  <c r="AE11" i="46"/>
  <c r="AE13" i="46" s="1"/>
  <c r="AB11" i="46"/>
  <c r="AB13" i="46" s="1"/>
  <c r="E10" i="46"/>
  <c r="E9" i="46"/>
  <c r="E11" i="46"/>
  <c r="E8" i="46"/>
  <c r="I106" i="46"/>
  <c r="AD12" i="46"/>
  <c r="AH12" i="46"/>
  <c r="AH13" i="46"/>
  <c r="C9" i="59"/>
  <c r="C8" i="59"/>
  <c r="T8" i="59"/>
  <c r="P21" i="46"/>
  <c r="B9" i="59"/>
  <c r="B8" i="59"/>
  <c r="S8" i="59"/>
  <c r="D9" i="59"/>
  <c r="P22" i="46"/>
  <c r="P23" i="46"/>
  <c r="P25" i="46"/>
  <c r="B73" i="39"/>
  <c r="P24" i="46"/>
  <c r="B68" i="40"/>
  <c r="E15" i="52"/>
  <c r="E65" i="40"/>
  <c r="D67" i="40"/>
  <c r="E70" i="39"/>
  <c r="D72" i="39"/>
  <c r="G48" i="21"/>
  <c r="U7" i="21"/>
  <c r="V8" i="59"/>
  <c r="D8" i="59"/>
  <c r="D107" i="46"/>
  <c r="M106" i="46"/>
  <c r="M104" i="46"/>
  <c r="M102" i="46"/>
  <c r="M105" i="46"/>
  <c r="H109" i="46"/>
  <c r="D103" i="46"/>
  <c r="D102" i="46"/>
  <c r="H106" i="46"/>
  <c r="F18" i="11"/>
  <c r="C18" i="11"/>
  <c r="F24" i="43"/>
  <c r="C26" i="43" s="1"/>
  <c r="D24" i="43" s="1"/>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E104"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c r="F116" i="46" s="1"/>
  <c r="G116" i="46" s="1"/>
  <c r="H116" i="46" s="1"/>
  <c r="B116" i="46"/>
  <c r="C116" i="46" s="1"/>
  <c r="D117" i="46"/>
  <c r="E117" i="46" s="1"/>
  <c r="F117" i="46" s="1"/>
  <c r="G117" i="46" s="1"/>
  <c r="H117" i="46" s="1"/>
  <c r="D118" i="46"/>
  <c r="E118" i="46"/>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J106" i="46"/>
  <c r="J105" i="46"/>
  <c r="C104" i="46"/>
  <c r="C107" i="46"/>
  <c r="C103" i="46"/>
  <c r="C102" i="46"/>
  <c r="C106" i="46"/>
  <c r="C105" i="46"/>
  <c r="C7" i="46"/>
  <c r="G52" i="21"/>
  <c r="H52" i="21"/>
  <c r="G53" i="21"/>
  <c r="H53" i="21"/>
  <c r="F70" i="39"/>
  <c r="E72" i="39"/>
  <c r="S7" i="21"/>
  <c r="F65" i="40"/>
  <c r="E67" i="40"/>
  <c r="D7" i="59"/>
  <c r="D6" i="59"/>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F67" i="40"/>
  <c r="G65" i="40"/>
  <c r="E48" i="21"/>
  <c r="F72" i="39"/>
  <c r="G70" i="39"/>
  <c r="F7" i="36"/>
  <c r="S7" i="36"/>
  <c r="M20" i="46"/>
  <c r="R24" i="6"/>
  <c r="D16" i="6"/>
  <c r="D30" i="6"/>
  <c r="R22" i="6"/>
  <c r="R23" i="6"/>
  <c r="R25" i="6"/>
  <c r="D27" i="6"/>
  <c r="M27" i="6"/>
  <c r="D7" i="66"/>
  <c r="D6" i="66"/>
  <c r="D8" i="66"/>
  <c r="R20" i="6"/>
  <c r="R21" i="6"/>
  <c r="A6" i="51"/>
  <c r="B7" i="63"/>
  <c r="A6" i="64"/>
  <c r="A20" i="64"/>
  <c r="A20" i="51"/>
  <c r="B15" i="63"/>
  <c r="N5" i="54"/>
  <c r="B43" i="63"/>
  <c r="T13" i="1"/>
  <c r="M16" i="1"/>
  <c r="C13" i="43"/>
  <c r="C14" i="43" s="1"/>
  <c r="T9" i="1"/>
  <c r="T11" i="1"/>
  <c r="T12"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B9" i="52"/>
  <c r="E4" i="52"/>
  <c r="N16" i="1"/>
  <c r="C29" i="43"/>
  <c r="B5" i="52"/>
  <c r="E9" i="52"/>
  <c r="E6" i="52"/>
  <c r="L16" i="1"/>
  <c r="P8" i="1"/>
  <c r="P16" i="1"/>
  <c r="O16" i="1"/>
  <c r="J21" i="68"/>
  <c r="B13" i="67"/>
  <c r="D22" i="12"/>
  <c r="E14" i="67"/>
  <c r="E10" i="67"/>
  <c r="C14" i="15"/>
  <c r="F11" i="67"/>
  <c r="F38" i="15"/>
  <c r="F12" i="67"/>
  <c r="E9" i="67"/>
  <c r="M27" i="15"/>
  <c r="C19" i="44"/>
  <c r="M28" i="15"/>
  <c r="M25" i="44"/>
  <c r="F33" i="12"/>
  <c r="F37" i="15"/>
  <c r="J6" i="65"/>
  <c r="M8" i="15"/>
  <c r="M23" i="44"/>
  <c r="M21" i="15"/>
  <c r="J3" i="65"/>
  <c r="D16" i="12"/>
  <c r="F26" i="15"/>
  <c r="M28" i="44"/>
  <c r="M31" i="44"/>
  <c r="E11" i="67"/>
  <c r="F43" i="44"/>
  <c r="B9" i="67"/>
  <c r="N4" i="65"/>
  <c r="B12" i="67"/>
  <c r="M10" i="44"/>
  <c r="E8" i="67"/>
  <c r="F18" i="44"/>
  <c r="C16" i="44"/>
  <c r="J4" i="65"/>
  <c r="C13" i="12"/>
  <c r="M11" i="44"/>
  <c r="B8" i="67"/>
  <c r="M8" i="44"/>
  <c r="M9" i="15"/>
  <c r="F13" i="15"/>
  <c r="F16" i="15"/>
  <c r="M23" i="15"/>
  <c r="J7" i="65"/>
  <c r="F8" i="44"/>
  <c r="L49" i="44"/>
  <c r="M30" i="44"/>
  <c r="L48" i="15"/>
  <c r="J17" i="44"/>
  <c r="I7" i="65"/>
  <c r="F43" i="15"/>
  <c r="F39" i="44"/>
  <c r="E13" i="67"/>
  <c r="L47" i="15"/>
  <c r="F38" i="44"/>
  <c r="M22" i="15"/>
  <c r="I3" i="65"/>
  <c r="F10" i="44"/>
  <c r="F40" i="44"/>
  <c r="F10" i="67"/>
  <c r="F14" i="67"/>
  <c r="F28" i="44"/>
  <c r="F7" i="15"/>
  <c r="F40" i="15"/>
  <c r="L48" i="44"/>
  <c r="M26" i="15"/>
  <c r="N6" i="65"/>
  <c r="F13" i="67"/>
  <c r="I6" i="65"/>
  <c r="F8" i="67"/>
  <c r="E12" i="67"/>
  <c r="M29" i="15"/>
  <c r="J36" i="15"/>
  <c r="F9" i="15"/>
  <c r="F11" i="44"/>
  <c r="F6" i="15"/>
  <c r="F42" i="15"/>
  <c r="F35" i="15"/>
  <c r="D21" i="12"/>
  <c r="F15" i="44"/>
  <c r="F9" i="44"/>
  <c r="N5" i="65"/>
  <c r="N7" i="65"/>
  <c r="F36" i="15"/>
  <c r="M6" i="15"/>
  <c r="J15" i="15"/>
  <c r="F9" i="67"/>
  <c r="M29" i="44"/>
  <c r="J5" i="65"/>
  <c r="F37" i="44"/>
  <c r="C15" i="12"/>
  <c r="N3" i="65"/>
  <c r="F45" i="44"/>
  <c r="F8" i="15"/>
  <c r="B10" i="67"/>
  <c r="M24" i="15"/>
  <c r="I5" i="65"/>
  <c r="I4" i="65"/>
  <c r="M26" i="44"/>
  <c r="B14" i="67"/>
  <c r="B11" i="67"/>
  <c r="M24" i="44"/>
  <c r="E14" i="52" l="1"/>
  <c r="B22" i="52"/>
  <c r="E13" i="52"/>
  <c r="B13" i="52"/>
  <c r="E17" i="52"/>
  <c r="B8" i="52"/>
  <c r="E22" i="52"/>
  <c r="E5" i="52"/>
  <c r="B6" i="52"/>
  <c r="B7" i="52"/>
  <c r="B11" i="52"/>
  <c r="E11" i="52"/>
  <c r="E8" i="52"/>
  <c r="B16" i="52"/>
  <c r="E21" i="52"/>
  <c r="B10" i="52"/>
  <c r="B14" i="52"/>
  <c r="E10" i="52"/>
  <c r="E16" i="52"/>
  <c r="B4" i="52"/>
  <c r="E7" i="52"/>
  <c r="E102" i="46"/>
  <c r="K102" i="46"/>
  <c r="D113" i="46"/>
  <c r="J109" i="46"/>
  <c r="J104" i="46"/>
  <c r="E105" i="46"/>
  <c r="K104" i="46"/>
  <c r="K107" i="46"/>
  <c r="E109" i="46"/>
  <c r="J103" i="46"/>
  <c r="J102" i="46"/>
  <c r="K109" i="46"/>
  <c r="E107" i="46"/>
  <c r="E103" i="46"/>
  <c r="K105" i="46"/>
  <c r="K106" i="46"/>
  <c r="H104" i="46"/>
  <c r="H105" i="46"/>
  <c r="H107" i="46"/>
  <c r="H103" i="46"/>
  <c r="F22" i="46"/>
  <c r="D22" i="46" s="1"/>
  <c r="C21" i="46" s="1"/>
  <c r="O6" i="68"/>
  <c r="C9" i="68" s="1"/>
  <c r="D11" i="68"/>
  <c r="O12" i="68"/>
  <c r="O7" i="68"/>
  <c r="I21" i="68"/>
  <c r="C17" i="43"/>
  <c r="C18" i="43" s="1"/>
  <c r="H22" i="68"/>
  <c r="O22" i="68"/>
  <c r="M22" i="68" s="1"/>
  <c r="I28" i="68"/>
  <c r="O28" i="68"/>
  <c r="M28" i="68" s="1"/>
  <c r="O30" i="68"/>
  <c r="M30" i="68" s="1"/>
  <c r="I30" i="68"/>
  <c r="J19" i="68"/>
  <c r="H19" i="68"/>
  <c r="O29" i="68"/>
  <c r="M29" i="68" s="1"/>
  <c r="I29" i="68"/>
  <c r="C20" i="44"/>
  <c r="C17" i="44"/>
  <c r="M7" i="15"/>
  <c r="F49" i="15"/>
  <c r="F70" i="15"/>
  <c r="C8" i="44"/>
  <c r="M9" i="44"/>
  <c r="C27" i="15"/>
  <c r="C18" i="15"/>
  <c r="C15" i="15"/>
  <c r="J1" i="65"/>
  <c r="J22" i="44"/>
  <c r="C36" i="44"/>
  <c r="L58" i="15"/>
  <c r="L59" i="15"/>
  <c r="F64" i="15"/>
  <c r="L59" i="44"/>
  <c r="L60" i="44"/>
  <c r="C4" i="65"/>
  <c r="B39" i="1" s="1"/>
  <c r="Q72" i="15"/>
  <c r="C6" i="15"/>
  <c r="F62" i="15"/>
  <c r="C61" i="15" s="1"/>
  <c r="C34" i="15"/>
  <c r="C29" i="44"/>
  <c r="F67" i="15"/>
  <c r="J53" i="15"/>
  <c r="L56" i="15"/>
  <c r="J60" i="15"/>
  <c r="Q49" i="15" s="1"/>
  <c r="J59" i="15"/>
  <c r="J57" i="15"/>
  <c r="J55" i="15" s="1"/>
  <c r="J58" i="15" s="1"/>
  <c r="Q51" i="15" s="1"/>
  <c r="I54" i="15"/>
  <c r="C34" i="12"/>
  <c r="D33" i="12" s="1"/>
  <c r="C22" i="12"/>
  <c r="C21" i="12"/>
  <c r="C16" i="12"/>
  <c r="D19" i="12"/>
  <c r="C19" i="12" s="1"/>
  <c r="J6" i="15"/>
  <c r="F63" i="15"/>
  <c r="J20" i="15"/>
  <c r="Q73" i="44"/>
  <c r="F65" i="15"/>
  <c r="J54" i="44"/>
  <c r="J60" i="44"/>
  <c r="J61" i="44"/>
  <c r="Q50" i="44" s="1"/>
  <c r="I55" i="44"/>
  <c r="J58" i="44"/>
  <c r="J56" i="44" s="1"/>
  <c r="J59" i="44" s="1"/>
  <c r="Q52" i="44" s="1"/>
  <c r="L57" i="44"/>
  <c r="F50" i="15"/>
  <c r="C14" i="12"/>
  <c r="C17" i="12"/>
  <c r="E20" i="46"/>
  <c r="F33" i="44"/>
  <c r="M19" i="44"/>
  <c r="C18" i="44"/>
  <c r="M17" i="15"/>
  <c r="C16" i="15"/>
  <c r="F31" i="15"/>
  <c r="E3" i="65"/>
  <c r="C17" i="15"/>
  <c r="F58" i="15"/>
  <c r="E2" i="65"/>
  <c r="Q6" i="68" l="1"/>
  <c r="C18" i="12"/>
  <c r="B40" i="1"/>
  <c r="F24" i="15" s="1"/>
  <c r="C24" i="15" s="1"/>
  <c r="C48" i="15"/>
  <c r="C19" i="43"/>
  <c r="C25" i="43" s="1"/>
  <c r="C24" i="43" s="1"/>
  <c r="C10" i="68"/>
  <c r="C16" i="68" s="1"/>
  <c r="Q7" i="68"/>
  <c r="D50" i="68"/>
  <c r="C15" i="68"/>
  <c r="E15" i="68" s="1"/>
  <c r="E9" i="68"/>
  <c r="O21" i="68"/>
  <c r="M21" i="68" s="1"/>
  <c r="H21" i="68"/>
  <c r="C20" i="12"/>
  <c r="F17" i="11"/>
  <c r="C17" i="11" s="1"/>
  <c r="C19" i="11" s="1"/>
  <c r="C19" i="15"/>
  <c r="C21" i="44"/>
  <c r="O28" i="46"/>
  <c r="G20" i="46" s="1"/>
  <c r="M28" i="46"/>
  <c r="N28" i="46"/>
  <c r="P28" i="46"/>
  <c r="Q54" i="44"/>
  <c r="F1" i="44"/>
  <c r="F26" i="12"/>
  <c r="C27" i="12" s="1"/>
  <c r="D26" i="12" s="1"/>
  <c r="C32" i="12" s="1"/>
  <c r="D30" i="12" s="1"/>
  <c r="C32" i="15"/>
  <c r="M11" i="15"/>
  <c r="J10" i="15" s="1"/>
  <c r="J5" i="15" s="1"/>
  <c r="F11" i="15"/>
  <c r="M13" i="44"/>
  <c r="J12" i="44" s="1"/>
  <c r="F13" i="44"/>
  <c r="C12" i="44" s="1"/>
  <c r="C7" i="44" s="1"/>
  <c r="Q75" i="44"/>
  <c r="Q62" i="44"/>
  <c r="Q74" i="15"/>
  <c r="Q61" i="15"/>
  <c r="J8" i="44"/>
  <c r="J18" i="15"/>
  <c r="F1" i="15"/>
  <c r="Q53" i="15"/>
  <c r="Q63" i="44"/>
  <c r="Q76" i="44"/>
  <c r="Q75" i="15"/>
  <c r="Q62" i="15"/>
  <c r="C34" i="44"/>
  <c r="AE7" i="1"/>
  <c r="F46" i="44"/>
  <c r="F21" i="43" l="1"/>
  <c r="C23" i="43" s="1"/>
  <c r="D21" i="43" s="1"/>
  <c r="F26" i="44"/>
  <c r="C26" i="44" s="1"/>
  <c r="C23" i="12"/>
  <c r="C35" i="12" s="1"/>
  <c r="C33" i="12" s="1"/>
  <c r="E50" i="68"/>
  <c r="H50" i="68"/>
  <c r="I50" i="68" s="1"/>
  <c r="F52" i="68"/>
  <c r="C40" i="44"/>
  <c r="J26" i="15"/>
  <c r="J24" i="15"/>
  <c r="C52" i="15"/>
  <c r="C47" i="15" s="1"/>
  <c r="C10" i="15"/>
  <c r="C5" i="15" s="1"/>
  <c r="C20" i="46"/>
  <c r="E41" i="46"/>
  <c r="C41" i="46" s="1"/>
  <c r="C20" i="15"/>
  <c r="C26" i="15" s="1"/>
  <c r="C28" i="12"/>
  <c r="C26" i="12" s="1"/>
  <c r="C31" i="12" s="1"/>
  <c r="C30" i="12" s="1"/>
  <c r="J7" i="44"/>
  <c r="J20" i="44"/>
  <c r="C22" i="44"/>
  <c r="C28" i="44" s="1"/>
  <c r="C20" i="11"/>
  <c r="C21" i="11" s="1"/>
  <c r="C22" i="11" s="1"/>
  <c r="C23" i="11" s="1"/>
  <c r="B2" i="11" s="1"/>
  <c r="L52" i="44"/>
  <c r="F41" i="15"/>
  <c r="F68" i="15" l="1"/>
  <c r="J29" i="15"/>
  <c r="C22" i="43"/>
  <c r="C21" i="43" s="1"/>
  <c r="C28" i="43" s="1"/>
  <c r="C30" i="43" s="1"/>
  <c r="C32" i="43" s="1"/>
  <c r="B2" i="43" s="1"/>
  <c r="B3" i="43" s="1"/>
  <c r="C25" i="44"/>
  <c r="C31" i="44" s="1"/>
  <c r="C36" i="12"/>
  <c r="C37" i="12" s="1"/>
  <c r="P12" i="75"/>
  <c r="Q69" i="44"/>
  <c r="L58" i="44"/>
  <c r="L61" i="44" s="1"/>
  <c r="C23" i="15"/>
  <c r="C29" i="15" s="1"/>
  <c r="C38" i="46"/>
  <c r="C39" i="46"/>
  <c r="C38" i="15"/>
  <c r="B3" i="11"/>
  <c r="B5" i="11"/>
  <c r="B4" i="11"/>
  <c r="J26" i="44"/>
  <c r="J28" i="44"/>
  <c r="J31" i="44" s="1"/>
  <c r="C29" i="46"/>
  <c r="C33" i="46"/>
  <c r="C35" i="46"/>
  <c r="C37" i="46"/>
  <c r="C36" i="46"/>
  <c r="T8" i="46"/>
  <c r="V8" i="46" s="1"/>
  <c r="T9" i="46"/>
  <c r="V9" i="46" s="1"/>
  <c r="T6" i="46"/>
  <c r="V6" i="46" s="1"/>
  <c r="T10" i="46"/>
  <c r="V10" i="46" s="1"/>
  <c r="T12" i="46"/>
  <c r="V12" i="46" s="1"/>
  <c r="T16" i="46"/>
  <c r="V16" i="46" s="1"/>
  <c r="T2" i="46"/>
  <c r="V2" i="46" s="1"/>
  <c r="C34" i="46"/>
  <c r="T11" i="46"/>
  <c r="V11" i="46" s="1"/>
  <c r="T15" i="46"/>
  <c r="V15" i="46" s="1"/>
  <c r="T5" i="46"/>
  <c r="V5" i="46" s="1"/>
  <c r="T7" i="46"/>
  <c r="V7" i="46" s="1"/>
  <c r="T13" i="46"/>
  <c r="V13" i="46" s="1"/>
  <c r="T14" i="46"/>
  <c r="V14" i="46" s="1"/>
  <c r="T3" i="46"/>
  <c r="V3" i="46" s="1"/>
  <c r="T4" i="46"/>
  <c r="V4" i="46" s="1"/>
  <c r="C59" i="15"/>
  <c r="C65" i="15"/>
  <c r="B2" i="12" l="1"/>
  <c r="I6" i="71"/>
  <c r="I11" i="71" s="1"/>
  <c r="C15" i="44"/>
  <c r="Q72" i="44" s="1"/>
  <c r="C35" i="44"/>
  <c r="C33" i="44" s="1"/>
  <c r="J16" i="44"/>
  <c r="J15" i="44" s="1"/>
  <c r="J25" i="44" s="1"/>
  <c r="C38" i="44"/>
  <c r="Q51" i="44"/>
  <c r="J21" i="44"/>
  <c r="J19" i="44" s="1"/>
  <c r="B4" i="43"/>
  <c r="B5" i="43"/>
  <c r="E34" i="46"/>
  <c r="G34" i="46"/>
  <c r="I34" i="46" s="1"/>
  <c r="G36" i="46"/>
  <c r="I36" i="46" s="1"/>
  <c r="E36" i="46"/>
  <c r="G35" i="46"/>
  <c r="I35" i="46" s="1"/>
  <c r="E35" i="46"/>
  <c r="G5" i="71"/>
  <c r="E29" i="46"/>
  <c r="H5" i="68"/>
  <c r="C30" i="46"/>
  <c r="E30" i="46" s="1"/>
  <c r="Q58" i="44"/>
  <c r="Q49" i="44"/>
  <c r="Q55" i="44" s="1"/>
  <c r="Q67" i="44"/>
  <c r="E39" i="46"/>
  <c r="G39" i="46"/>
  <c r="I39" i="46" s="1"/>
  <c r="C56" i="15"/>
  <c r="C13" i="15"/>
  <c r="J19" i="15"/>
  <c r="J17" i="15" s="1"/>
  <c r="J14" i="15"/>
  <c r="C36" i="15"/>
  <c r="Q50" i="15"/>
  <c r="C33" i="15"/>
  <c r="C31" i="15" s="1"/>
  <c r="Q68" i="44"/>
  <c r="Q59" i="44"/>
  <c r="L47" i="44"/>
  <c r="E37" i="46"/>
  <c r="G37" i="46"/>
  <c r="I37" i="46" s="1"/>
  <c r="E33" i="46"/>
  <c r="G33" i="46"/>
  <c r="I33" i="46" s="1"/>
  <c r="I5" i="71"/>
  <c r="J5" i="68"/>
  <c r="K20" i="68" s="1"/>
  <c r="J20" i="68" s="1"/>
  <c r="G38" i="46"/>
  <c r="I38" i="46" s="1"/>
  <c r="E38" i="46"/>
  <c r="B3" i="12"/>
  <c r="B5" i="12"/>
  <c r="B4" i="12"/>
  <c r="D19" i="9"/>
  <c r="F7" i="67"/>
  <c r="C39" i="44" l="1"/>
  <c r="C32" i="44" s="1"/>
  <c r="C42" i="44" s="1"/>
  <c r="Q71" i="44" s="1"/>
  <c r="Q70" i="44" s="1"/>
  <c r="L44" i="9"/>
  <c r="J24" i="44"/>
  <c r="J18" i="44" s="1"/>
  <c r="J27" i="44" s="1"/>
  <c r="C43" i="44"/>
  <c r="Q64" i="44"/>
  <c r="E4" i="67"/>
  <c r="J22" i="15"/>
  <c r="J13" i="15"/>
  <c r="J23" i="15" s="1"/>
  <c r="J35" i="15"/>
  <c r="C37" i="15"/>
  <c r="C55" i="15"/>
  <c r="C64" i="15" s="1"/>
  <c r="Q71" i="15"/>
  <c r="Q77" i="44"/>
  <c r="C27" i="46"/>
  <c r="C26" i="46"/>
  <c r="P11" i="75"/>
  <c r="I10" i="71"/>
  <c r="C30" i="15"/>
  <c r="C39" i="15" s="1"/>
  <c r="C63" i="15"/>
  <c r="C60" i="15"/>
  <c r="C58" i="15" s="1"/>
  <c r="O5" i="68"/>
  <c r="I20" i="68"/>
  <c r="C4" i="75"/>
  <c r="C5" i="75" s="1"/>
  <c r="N11" i="75" s="1"/>
  <c r="M5" i="71"/>
  <c r="G10" i="71"/>
  <c r="M10" i="71" s="1"/>
  <c r="E7" i="67"/>
  <c r="D21" i="9"/>
  <c r="D20" i="9"/>
  <c r="C44" i="44" l="1"/>
  <c r="C45" i="44" s="1"/>
  <c r="B2" i="44" s="1"/>
  <c r="B5" i="44" s="1"/>
  <c r="E8" i="69"/>
  <c r="G7" i="71"/>
  <c r="T11" i="75"/>
  <c r="U11" i="75" s="1"/>
  <c r="J16" i="15"/>
  <c r="J25" i="15" s="1"/>
  <c r="E3" i="67"/>
  <c r="C8" i="68"/>
  <c r="Q5" i="68"/>
  <c r="C40" i="15"/>
  <c r="Q70" i="15"/>
  <c r="Q69" i="15" s="1"/>
  <c r="J39" i="15"/>
  <c r="J40" i="15" s="1"/>
  <c r="B3" i="71"/>
  <c r="N5" i="71"/>
  <c r="O5" i="71" s="1"/>
  <c r="O20" i="68"/>
  <c r="M20" i="68" s="1"/>
  <c r="H20" i="68"/>
  <c r="C57" i="15"/>
  <c r="C66" i="15" s="1"/>
  <c r="C67" i="15" s="1"/>
  <c r="B2" i="46"/>
  <c r="C19" i="9"/>
  <c r="B7" i="67"/>
  <c r="L51" i="15"/>
  <c r="B3" i="44" l="1"/>
  <c r="B4" i="44"/>
  <c r="G13" i="71"/>
  <c r="K4" i="75"/>
  <c r="K5" i="75" s="1"/>
  <c r="N13" i="75" s="1"/>
  <c r="G6" i="71"/>
  <c r="Q68" i="15"/>
  <c r="L57" i="15"/>
  <c r="L60" i="15" s="1"/>
  <c r="G19" i="9"/>
  <c r="L43" i="9"/>
  <c r="D22" i="9"/>
  <c r="B2" i="67"/>
  <c r="C70" i="15"/>
  <c r="C46" i="15"/>
  <c r="B9" i="71"/>
  <c r="D9" i="71" s="1"/>
  <c r="D13" i="71" s="1"/>
  <c r="D3" i="71"/>
  <c r="D6" i="71" s="1"/>
  <c r="Q66" i="15"/>
  <c r="Q48" i="15"/>
  <c r="Q54" i="15" s="1"/>
  <c r="C43" i="15"/>
  <c r="Q57" i="15"/>
  <c r="J42" i="15"/>
  <c r="J43" i="15" s="1"/>
  <c r="C14" i="68"/>
  <c r="E14" i="68" s="1"/>
  <c r="E17" i="68" s="1"/>
  <c r="E8" i="68"/>
  <c r="E11" i="68" s="1"/>
  <c r="D42" i="68"/>
  <c r="B4" i="46"/>
  <c r="B3" i="46"/>
  <c r="D4" i="46"/>
  <c r="C20" i="9"/>
  <c r="C21" i="9"/>
  <c r="M6" i="71" l="1"/>
  <c r="G12" i="71"/>
  <c r="G4" i="75"/>
  <c r="G5" i="75" s="1"/>
  <c r="N12" i="75" s="1"/>
  <c r="T12" i="75" s="1"/>
  <c r="U12" i="75" s="1"/>
  <c r="G11" i="71"/>
  <c r="M11" i="71" s="1"/>
  <c r="G21" i="9"/>
  <c r="G20" i="9"/>
  <c r="B3" i="67"/>
  <c r="B4" i="67"/>
  <c r="Q67" i="15"/>
  <c r="Q76" i="15" s="1"/>
  <c r="Q58" i="15"/>
  <c r="Q63" i="15" s="1"/>
  <c r="L46" i="15"/>
  <c r="B2" i="15" s="1"/>
  <c r="B3" i="15" s="1"/>
  <c r="D43" i="68"/>
  <c r="F44" i="68"/>
  <c r="E42" i="68"/>
  <c r="H42" i="68"/>
  <c r="I42" i="68" s="1"/>
  <c r="N43" i="9"/>
  <c r="G22" i="9"/>
  <c r="C32" i="9"/>
  <c r="N6" i="71" l="1"/>
  <c r="O6" i="71" s="1"/>
  <c r="B4" i="71"/>
  <c r="B10" i="71" s="1"/>
  <c r="C42" i="9"/>
  <c r="C34" i="9"/>
  <c r="C35" i="9"/>
  <c r="F42" i="9" s="1"/>
  <c r="C33" i="9"/>
  <c r="O43" i="9"/>
  <c r="O38" i="9"/>
  <c r="F45" i="68"/>
  <c r="H43" i="68"/>
  <c r="I43" i="68" s="1"/>
  <c r="D44" i="68"/>
  <c r="E43" i="68"/>
  <c r="I7" i="71" l="1"/>
  <c r="K25" i="9"/>
  <c r="K26" i="9"/>
  <c r="N38" i="9"/>
  <c r="K28" i="9" s="1"/>
  <c r="D42" i="9"/>
  <c r="Q5" i="54" s="1"/>
  <c r="B47" i="63" s="1"/>
  <c r="M38" i="9"/>
  <c r="K27" i="9" s="1"/>
  <c r="E42" i="9"/>
  <c r="P5" i="54" s="1"/>
  <c r="B46" i="63" s="1"/>
  <c r="F46" i="68"/>
  <c r="H44" i="68"/>
  <c r="I44" i="68" s="1"/>
  <c r="E44" i="68"/>
  <c r="D48" i="68"/>
  <c r="R5" i="54"/>
  <c r="B48" i="63" s="1"/>
  <c r="D14" i="66"/>
  <c r="N68" i="9"/>
  <c r="D63" i="9"/>
  <c r="I13" i="71" l="1"/>
  <c r="M13" i="71" s="1"/>
  <c r="I12" i="71"/>
  <c r="M12" i="71" s="1"/>
  <c r="M7" i="71"/>
  <c r="P13" i="75"/>
  <c r="T13" i="75" s="1"/>
  <c r="U13" i="75" s="1"/>
  <c r="C103" i="9"/>
  <c r="D70" i="9"/>
  <c r="C82" i="9"/>
  <c r="C81" i="9" s="1"/>
  <c r="C85" i="9" s="1"/>
  <c r="C86" i="9" s="1"/>
  <c r="D72" i="9" s="1"/>
  <c r="D71" i="9"/>
  <c r="D66" i="9" s="1"/>
  <c r="N72" i="9" s="1"/>
  <c r="D77" i="9"/>
  <c r="N75" i="9" s="1"/>
  <c r="C90" i="9"/>
  <c r="C111" i="9"/>
  <c r="C104" i="9" s="1"/>
  <c r="C96" i="9"/>
  <c r="C91" i="9" s="1"/>
  <c r="B5" i="66"/>
  <c r="F14" i="66"/>
  <c r="E14" i="66"/>
  <c r="H48" i="68"/>
  <c r="I48" i="68" s="1"/>
  <c r="E48" i="68"/>
  <c r="F50" i="68"/>
  <c r="B5" i="71" l="1"/>
  <c r="B11" i="71" s="1"/>
  <c r="N7" i="71"/>
  <c r="O7" i="71" s="1"/>
  <c r="C97" i="9"/>
  <c r="C5" i="66"/>
  <c r="D5" i="66"/>
  <c r="C113" i="9"/>
  <c r="C114" i="9" l="1"/>
  <c r="E114" i="9" s="1"/>
  <c r="E115"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<sst xmlns="http://schemas.openxmlformats.org/spreadsheetml/2006/main" count="7282" uniqueCount="3283">
  <si>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</si>
  <si>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</si>
  <si>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</si>
  <si>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</si>
  <si>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</si>
  <si>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</si>
  <si>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</si>
  <si>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</si>
  <si>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</si>
  <si>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</si>
  <si>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</si>
  <si>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</si>
  <si>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</si>
  <si>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</si>
  <si>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</si>
  <si>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</si>
  <si>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</si>
  <si>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</si>
  <si>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</si>
  <si>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</si>
  <si>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</si>
  <si>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</si>
  <si>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</si>
  <si>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</si>
  <si>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</si>
  <si>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</si>
  <si>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</si>
  <si>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</si>
  <si>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</si>
  <si>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</si>
  <si>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</si>
  <si>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</si>
  <si>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</si>
  <si>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</si>
  <si>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</si>
  <si>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</si>
  <si>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</si>
  <si>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</si>
  <si>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</si>
  <si>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</si>
  <si>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</si>
  <si>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</si>
  <si>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</si>
  <si>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</si>
  <si>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</si>
  <si>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</si>
  <si>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</si>
  <si>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</si>
  <si>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</si>
  <si>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</si>
  <si>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</si>
  <si>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</si>
  <si>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</si>
  <si>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</si>
  <si>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</si>
  <si>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</si>
  <si>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</si>
  <si>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</si>
  <si>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</si>
  <si>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</si>
  <si>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</si>
  <si>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</si>
  <si>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</si>
  <si>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</si>
  <si>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</si>
  <si>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</si>
  <si>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</si>
  <si>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</si>
  <si>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</si>
  <si>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</si>
  <si>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</si>
  <si>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</si>
  <si>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</si>
  <si>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</si>
  <si>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</si>
  <si>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</si>
  <si>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</si>
  <si>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</si>
  <si>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</si>
  <si>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</si>
  <si>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</si>
  <si>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</si>
  <si>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</si>
  <si>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</si>
  <si>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</si>
  <si>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</si>
  <si>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</si>
  <si>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</si>
  <si>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</si>
  <si>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</si>
  <si>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</si>
  <si>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</si>
  <si>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</si>
  <si>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</si>
  <si>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</si>
  <si>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</si>
  <si>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</si>
  <si>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</si>
  <si>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</si>
  <si>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</si>
  <si>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</si>
  <si>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</si>
  <si>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</si>
  <si>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</si>
  <si>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</si>
  <si>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</si>
  <si>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</si>
  <si>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</si>
  <si>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</si>
  <si>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</si>
  <si>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</si>
  <si>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</si>
  <si>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</si>
  <si>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</si>
  <si>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</si>
  <si>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</si>
  <si>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</si>
  <si>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</si>
  <si>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</si>
  <si>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</si>
  <si>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</si>
  <si>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</si>
  <si>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</si>
  <si>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</si>
  <si>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</si>
  <si>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</si>
  <si>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</si>
  <si>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</si>
  <si>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</si>
  <si>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</si>
  <si>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</si>
  <si>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</si>
  <si>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</si>
  <si>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</si>
  <si>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</si>
  <si>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</si>
  <si>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</si>
  <si>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</si>
  <si>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</si>
  <si>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</si>
  <si>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</si>
  <si>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</si>
  <si>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</si>
  <si>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</si>
  <si>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</si>
  <si>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</si>
  <si>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</si>
  <si>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</si>
  <si>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</si>
  <si>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</si>
  <si>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</si>
  <si>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</si>
  <si>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</si>
  <si>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</si>
  <si>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</si>
  <si>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</si>
  <si>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</si>
  <si>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</si>
  <si>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</si>
  <si>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</si>
  <si>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</si>
  <si>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</si>
  <si>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</si>
  <si>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</si>
  <si>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</si>
  <si>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</si>
  <si>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</si>
  <si>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</si>
  <si>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</si>
  <si>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</si>
  <si>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</si>
  <si>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</si>
  <si>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</si>
  <si>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</si>
  <si>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</si>
  <si>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</si>
  <si>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</si>
  <si>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</si>
  <si>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</si>
  <si>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</si>
  <si>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</si>
  <si>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</si>
  <si>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</si>
  <si>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</si>
  <si>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</si>
  <si>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</si>
  <si>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</si>
  <si>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</si>
  <si>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</si>
  <si>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</si>
  <si>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</si>
  <si>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</si>
  <si>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</si>
  <si>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</si>
  <si>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</si>
  <si>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</si>
  <si>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</si>
  <si>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</si>
  <si>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</si>
  <si>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</si>
  <si>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</si>
  <si>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</si>
  <si>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</si>
  <si>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</si>
  <si>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</si>
  <si>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</si>
  <si>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</si>
  <si>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</si>
  <si>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</si>
  <si>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</si>
  <si>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</si>
  <si>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</si>
  <si>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</si>
  <si>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</si>
  <si>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</si>
  <si>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</si>
  <si>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</si>
  <si>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</si>
  <si>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</si>
  <si>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</si>
  <si>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</si>
  <si>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</si>
  <si>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</si>
  <si>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</si>
  <si>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</si>
  <si>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</si>
  <si>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</si>
  <si>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</si>
  <si>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</si>
  <si>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</si>
  <si>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</si>
  <si>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</si>
  <si>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</si>
  <si>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</si>
  <si>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</si>
  <si>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</si>
  <si>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</si>
  <si>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</si>
  <si>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</si>
  <si>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</si>
  <si>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</si>
  <si>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</si>
  <si>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</si>
  <si>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</si>
  <si>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</si>
  <si>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</si>
  <si>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</si>
  <si>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</si>
  <si>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</si>
  <si>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</si>
  <si>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</si>
  <si>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</si>
  <si>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</si>
  <si>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</si>
  <si>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</si>
  <si>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</si>
  <si>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</si>
  <si>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</si>
  <si>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</si>
  <si>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</si>
  <si>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</si>
  <si>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</si>
  <si>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</si>
  <si>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</si>
  <si>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</si>
  <si>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</si>
  <si>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</si>
  <si>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</si>
  <si>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</si>
  <si>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</si>
  <si>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</si>
  <si>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</si>
  <si>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</si>
  <si>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</si>
  <si>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</si>
  <si>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</si>
  <si>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</si>
  <si>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</si>
  <si>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</si>
  <si>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</si>
  <si>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</si>
  <si>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</si>
  <si>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</si>
  <si>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</si>
  <si>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</si>
  <si>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</si>
  <si>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</si>
  <si>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</si>
  <si>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</si>
  <si>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</si>
  <si>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</si>
  <si>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</si>
  <si>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</si>
  <si>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</si>
  <si>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</si>
  <si>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</si>
  <si>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</si>
  <si>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</si>
  <si>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</si>
  <si>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</si>
  <si>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</si>
  <si>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</si>
  <si>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</si>
  <si>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</si>
  <si>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</si>
  <si>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</si>
  <si>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</si>
  <si>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</si>
  <si>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</si>
  <si>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</si>
  <si>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</si>
  <si>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</si>
  <si>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</si>
  <si>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</si>
  <si>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</si>
  <si>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</si>
  <si>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</si>
  <si>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</si>
  <si>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</si>
  <si>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</si>
  <si>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</si>
  <si>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</si>
  <si>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</si>
  <si>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</si>
  <si>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</si>
  <si>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</si>
  <si>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</si>
  <si>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</si>
  <si>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</si>
  <si>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</si>
  <si>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</si>
  <si>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</si>
  <si>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</si>
  <si>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</si>
  <si>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</si>
  <si>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</si>
  <si>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</si>
  <si>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</si>
  <si>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</si>
  <si>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</si>
  <si>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</si>
  <si>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</si>
  <si>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</si>
  <si>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</si>
  <si>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</si>
  <si>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</si>
  <si>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</si>
  <si>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</si>
  <si>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</si>
  <si>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</si>
  <si>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</si>
  <si>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</si>
  <si>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</si>
  <si>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</si>
  <si>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</si>
  <si>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</si>
  <si>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</si>
  <si>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</si>
  <si>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</si>
  <si>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</si>
  <si>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</si>
  <si>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</si>
  <si>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</si>
  <si>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</si>
  <si>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</si>
  <si>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</si>
  <si>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</si>
  <si>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</si>
  <si>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</si>
  <si>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</si>
  <si>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</si>
  <si>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</si>
  <si>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</si>
  <si>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</si>
  <si>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</si>
  <si>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</si>
  <si>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</si>
  <si>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</si>
  <si>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</si>
  <si>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</si>
  <si>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</si>
  <si>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</si>
  <si>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</si>
  <si>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</si>
  <si>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</si>
  <si>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</si>
  <si>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</si>
  <si>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</si>
  <si>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</si>
  <si>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</si>
  <si>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</si>
  <si>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</si>
  <si>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</si>
  <si>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</si>
  <si>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</si>
  <si>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</si>
  <si>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</si>
  <si>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</si>
  <si>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</si>
  <si>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</si>
  <si>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</si>
  <si>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</si>
  <si>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</si>
  <si>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</si>
  <si>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</si>
  <si>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</si>
  <si>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</si>
  <si>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</si>
  <si>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</si>
  <si>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</si>
  <si>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</si>
  <si>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</si>
  <si>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</si>
  <si>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</si>
  <si>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</si>
  <si>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</si>
  <si>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</si>
  <si>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</si>
  <si>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</si>
  <si>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</si>
  <si>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</si>
  <si>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</si>
  <si>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</si>
  <si>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</si>
  <si>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</si>
  <si>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</si>
  <si>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</si>
  <si>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</si>
  <si>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</si>
  <si>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</si>
  <si>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</si>
  <si>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</si>
  <si>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</si>
  <si>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</si>
  <si>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</si>
  <si>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</si>
  <si>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</si>
  <si>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</si>
  <si>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</si>
  <si>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</si>
  <si>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</si>
  <si>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</si>
  <si>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</si>
  <si>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</si>
  <si>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</si>
  <si>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</si>
  <si>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</si>
  <si>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</si>
  <si>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</si>
  <si>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</si>
  <si>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</si>
  <si>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</si>
  <si>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</si>
  <si>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</si>
  <si>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</si>
  <si>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</si>
  <si>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</si>
  <si>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</si>
  <si>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</si>
  <si>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</si>
  <si>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</si>
  <si>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</si>
  <si>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</si>
  <si>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</si>
  <si>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</si>
  <si>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</si>
  <si>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</si>
  <si>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</si>
  <si>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</si>
  <si>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</si>
  <si>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</si>
  <si>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</si>
  <si>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</si>
  <si>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</si>
  <si>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</si>
  <si>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</si>
  <si>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</si>
  <si>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</si>
  <si>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</si>
  <si>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</si>
  <si>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</si>
  <si>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</si>
  <si>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</si>
  <si>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</si>
  <si>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</si>
  <si>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</si>
  <si>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</si>
  <si>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</si>
  <si>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</si>
  <si>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</si>
  <si>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</si>
  <si>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</si>
  <si>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</si>
  <si>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</si>
  <si>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</si>
  <si>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</si>
  <si>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</si>
  <si>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</si>
  <si>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</si>
  <si>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</si>
  <si>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</si>
  <si>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</si>
  <si>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</si>
  <si>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</si>
  <si>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</si>
  <si>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</si>
  <si>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</si>
  <si>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</si>
  <si>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</si>
  <si>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</si>
  <si>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</si>
  <si>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</si>
  <si>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</si>
  <si>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</si>
  <si>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</si>
  <si>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</si>
  <si>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</si>
  <si>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</si>
  <si>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</si>
  <si>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</si>
  <si>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</si>
  <si>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</si>
  <si>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</si>
  <si>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</si>
  <si>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</si>
  <si>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</si>
  <si>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</si>
  <si>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</si>
  <si>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</si>
  <si>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</si>
  <si>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</si>
  <si>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</si>
  <si>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</si>
  <si>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</si>
  <si>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</si>
  <si>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</si>
  <si>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</si>
  <si>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</si>
  <si>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</si>
  <si>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</si>
  <si>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</si>
  <si>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</si>
  <si>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</si>
  <si>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</si>
  <si>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</si>
  <si>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</si>
  <si>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</si>
  <si>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</si>
  <si>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</si>
  <si>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</si>
  <si>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</si>
  <si>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</si>
  <si>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</si>
  <si>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</si>
  <si>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</si>
  <si>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</si>
  <si>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</si>
  <si>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</si>
  <si>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</si>
  <si>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</si>
  <si>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</si>
  <si>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</si>
  <si>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</si>
  <si>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</si>
  <si>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</si>
  <si>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</si>
  <si>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</si>
  <si>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</si>
  <si>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</si>
  <si>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</si>
  <si>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</si>
  <si>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</si>
  <si>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</si>
  <si>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</si>
  <si>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</si>
  <si>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</si>
  <si>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</si>
  <si>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</si>
  <si>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</si>
  <si>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</si>
  <si>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</si>
  <si>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</si>
  <si>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</si>
  <si>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</si>
  <si>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</si>
  <si>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</si>
  <si>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</si>
  <si>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</si>
  <si>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</si>
  <si>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</si>
  <si>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</si>
  <si>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</si>
  <si>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</si>
  <si>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</si>
  <si>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</si>
  <si>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</si>
  <si>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</si>
  <si>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</si>
  <si>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</si>
  <si>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</si>
  <si>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</si>
  <si>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</si>
  <si>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</si>
  <si>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</si>
  <si>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</si>
  <si>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</si>
  <si>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</si>
  <si>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</si>
  <si>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</si>
  <si>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</si>
  <si>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</si>
  <si>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</si>
  <si>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</si>
  <si>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</si>
  <si>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</si>
  <si>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</si>
  <si>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</si>
  <si>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</si>
  <si>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</si>
  <si>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</si>
  <si>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</si>
  <si>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</si>
  <si>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</si>
  <si>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</si>
  <si>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</si>
  <si>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</si>
  <si>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</si>
  <si>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</si>
  <si>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</si>
  <si>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</si>
  <si>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</si>
  <si>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</si>
  <si>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</si>
  <si>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</si>
  <si>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</si>
  <si>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</si>
  <si>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</si>
  <si>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</si>
  <si>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</si>
  <si>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</si>
  <si>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</si>
  <si>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</si>
  <si>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</si>
  <si>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</si>
  <si>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</si>
  <si>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</si>
  <si>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</si>
  <si>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</si>
  <si>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</si>
  <si>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</si>
  <si>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</si>
  <si>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</si>
  <si>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</si>
  <si>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</si>
  <si>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</si>
  <si>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</si>
  <si>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</si>
  <si>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</si>
  <si>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</si>
  <si>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</si>
  <si>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</si>
  <si>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</si>
  <si>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</si>
  <si>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</si>
  <si>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</si>
  <si>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</si>
  <si>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</si>
  <si>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</si>
  <si>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</si>
  <si>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</si>
  <si>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</si>
  <si>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</si>
  <si>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</si>
  <si>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</si>
  <si>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</si>
  <si>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</si>
  <si>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</si>
  <si>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</si>
  <si>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</si>
  <si>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</si>
  <si>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</si>
  <si>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</si>
  <si>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</si>
  <si>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</si>
  <si>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</si>
  <si>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</si>
  <si>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</si>
  <si>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</si>
  <si>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</si>
  <si>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</si>
  <si>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</si>
  <si>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</si>
  <si>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</si>
  <si>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</si>
  <si>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</si>
  <si>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</si>
  <si>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</si>
  <si>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</si>
  <si>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</si>
  <si>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</si>
  <si>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</si>
  <si>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</si>
  <si>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</si>
  <si>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</si>
  <si>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</si>
  <si>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</si>
  <si>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</si>
  <si>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</si>
  <si>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</si>
  <si>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</si>
  <si>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</si>
  <si>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</si>
  <si>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</si>
  <si>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</si>
  <si>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</si>
  <si>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</si>
  <si>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</si>
  <si>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</si>
  <si>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</si>
  <si>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</si>
  <si>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</si>
  <si>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</si>
  <si>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</si>
  <si>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</si>
  <si>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</si>
  <si>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</si>
  <si>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</si>
  <si>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</si>
  <si>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</si>
  <si>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</si>
  <si>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</si>
  <si>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</si>
  <si>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</si>
  <si>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</si>
  <si>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</si>
  <si>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</si>
  <si>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</si>
  <si>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</si>
  <si>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</si>
  <si>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</si>
  <si>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</si>
  <si>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</si>
  <si>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</si>
  <si>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</si>
  <si>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</si>
  <si>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</si>
  <si>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</si>
  <si>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</si>
  <si>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</si>
  <si>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</si>
  <si>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</si>
  <si>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</si>
  <si>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</si>
  <si>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</si>
  <si>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</si>
  <si>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</si>
  <si>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</si>
  <si>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</si>
  <si>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</si>
  <si>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</si>
  <si>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</si>
  <si>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</si>
  <si>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</si>
  <si>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</si>
  <si>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</si>
  <si>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</si>
  <si>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</si>
  <si>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</si>
  <si>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</si>
  <si>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</si>
  <si>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</si>
  <si>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</si>
  <si>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</si>
  <si>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</si>
  <si>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</si>
  <si>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</si>
  <si>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</si>
  <si>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</si>
  <si>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</si>
  <si>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</si>
  <si>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</si>
  <si>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</si>
  <si>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</si>
  <si>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</si>
  <si>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</si>
  <si>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</si>
  <si>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</si>
  <si>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</si>
  <si>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</si>
  <si>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</si>
  <si>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</si>
  <si>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</si>
  <si>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</si>
  <si>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</si>
  <si>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</si>
  <si>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</si>
  <si>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</si>
  <si>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</si>
  <si>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</si>
  <si>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</si>
  <si>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</si>
  <si>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</si>
  <si>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</si>
  <si>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</si>
  <si>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</si>
  <si>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</si>
  <si>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</si>
  <si>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</si>
  <si>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</si>
  <si>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</si>
  <si>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</si>
  <si>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</si>
  <si>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</si>
  <si>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</si>
  <si>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</si>
  <si>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</si>
  <si>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</si>
  <si>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</si>
  <si>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</si>
  <si>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</si>
  <si>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</si>
  <si>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</si>
  <si>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</si>
  <si>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</si>
  <si>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</si>
  <si>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</si>
  <si>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</si>
  <si>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</si>
  <si>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</si>
  <si>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</si>
  <si>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</si>
  <si>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</si>
  <si>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</si>
  <si>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</si>
  <si>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</si>
  <si>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</si>
  <si>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</si>
  <si>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</si>
  <si>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</si>
  <si>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</si>
  <si>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</si>
  <si>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</si>
  <si>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</si>
  <si>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</si>
  <si>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</si>
  <si>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</si>
  <si>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</si>
  <si>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</si>
  <si>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</si>
  <si>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</si>
  <si>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</si>
  <si>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</si>
  <si>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</si>
  <si>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</si>
  <si>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</si>
  <si>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</si>
  <si>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</si>
  <si>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</si>
  <si>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</si>
  <si>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</si>
  <si>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</si>
  <si>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</si>
  <si>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</si>
  <si>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</si>
  <si>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</si>
  <si>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</si>
  <si>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</si>
  <si>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</si>
  <si>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</si>
  <si>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</si>
  <si>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</si>
  <si>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</si>
  <si>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</si>
  <si>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</si>
  <si>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</si>
  <si>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</si>
  <si>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</si>
  <si>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</si>
  <si>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</si>
  <si>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</si>
  <si>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</si>
  <si>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</si>
  <si>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</si>
  <si>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</si>
  <si>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</si>
  <si>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</si>
  <si>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</si>
  <si>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</si>
  <si>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</si>
  <si>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</si>
  <si>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</si>
  <si>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</si>
  <si>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</si>
  <si>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</si>
  <si>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</si>
  <si>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</si>
  <si>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</si>
  <si>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</si>
  <si>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</si>
  <si>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</si>
  <si>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</si>
  <si>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</si>
  <si>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</si>
  <si>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</si>
  <si>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</si>
  <si>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</si>
  <si>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</si>
  <si>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</si>
  <si>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</si>
  <si>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</si>
  <si>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</si>
  <si>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</si>
  <si>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</si>
  <si>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</si>
  <si>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</si>
  <si>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</si>
  <si>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</si>
  <si>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</si>
  <si>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</si>
  <si>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</si>
  <si>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</si>
  <si>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</si>
  <si>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</si>
  <si>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</si>
  <si>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</si>
  <si>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</si>
  <si>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</si>
  <si>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</si>
  <si>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</si>
  <si>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</si>
  <si>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</si>
  <si>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</si>
  <si>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</si>
  <si>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</si>
  <si>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</si>
  <si>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</si>
  <si>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</si>
  <si>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</si>
  <si>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</si>
  <si>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</si>
  <si>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</si>
  <si>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</si>
  <si>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</si>
  <si>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</si>
  <si>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</si>
  <si>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</si>
  <si>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</si>
  <si>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</si>
  <si>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</si>
  <si>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</si>
  <si>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</si>
  <si>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</si>
  <si>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</si>
  <si>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</si>
  <si>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</si>
  <si>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</si>
  <si>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</si>
  <si>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</si>
  <si>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</si>
  <si>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</si>
  <si>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</si>
  <si>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</si>
  <si>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</si>
  <si>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</si>
  <si>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</si>
  <si>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</si>
  <si>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</si>
  <si>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</si>
  <si>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</si>
  <si>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</si>
  <si>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</si>
  <si>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</si>
  <si>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</si>
  <si>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</si>
  <si>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</si>
  <si>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</si>
  <si>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</si>
  <si>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</si>
  <si>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</si>
  <si>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</si>
  <si>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</si>
  <si>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</si>
  <si>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</si>
  <si>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</si>
  <si>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</si>
  <si>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</si>
  <si>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</si>
  <si>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</si>
  <si>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</si>
  <si>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</si>
  <si>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</si>
  <si>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</si>
  <si>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</si>
  <si>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</si>
  <si>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</si>
  <si>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</si>
  <si>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</si>
  <si>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</si>
  <si>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</si>
  <si>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</si>
  <si>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</si>
  <si>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</si>
  <si>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</si>
  <si>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</si>
  <si>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</si>
  <si>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</si>
  <si>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</si>
  <si>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</si>
  <si>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</si>
  <si>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</si>
  <si>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</si>
  <si>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</si>
  <si>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</si>
  <si>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</si>
  <si>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</si>
  <si>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</si>
  <si>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</si>
  <si>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</si>
  <si>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</si>
  <si>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</si>
  <si>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</si>
  <si>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</si>
  <si>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</si>
  <si>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</si>
  <si>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</si>
  <si>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</si>
  <si>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</si>
  <si>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</si>
  <si>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</si>
  <si>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</si>
  <si>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</si>
  <si>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</si>
  <si>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</si>
  <si>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</si>
  <si>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</si>
  <si>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</si>
  <si>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</si>
  <si>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</si>
  <si>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</si>
  <si>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</si>
  <si>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</si>
  <si>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</si>
  <si>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</si>
  <si>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</si>
  <si>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</si>
  <si>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</si>
  <si>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</si>
  <si>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</si>
  <si>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</si>
  <si>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</si>
  <si>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</si>
  <si>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</si>
  <si>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</si>
  <si>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</si>
  <si>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</si>
  <si>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</si>
  <si>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</si>
  <si>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</si>
  <si>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</si>
  <si>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</si>
  <si>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</si>
  <si>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</si>
  <si>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</si>
  <si>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</si>
  <si>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</si>
  <si>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</si>
  <si>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</si>
  <si>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</si>
  <si>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</si>
  <si>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</si>
  <si>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</si>
  <si>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</si>
  <si>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</si>
  <si>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</si>
  <si>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</si>
  <si>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</si>
  <si>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</si>
  <si>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</si>
  <si>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</si>
  <si>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</si>
  <si>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</si>
  <si>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</si>
  <si>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</si>
  <si>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</si>
  <si>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</si>
  <si>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</si>
  <si>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</si>
  <si>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</si>
  <si>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</si>
  <si>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</si>
  <si>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</si>
  <si>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</si>
  <si>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</si>
  <si>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</si>
  <si>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</si>
  <si>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</si>
  <si>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</si>
  <si>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</si>
  <si>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</si>
  <si>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</si>
  <si>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</si>
  <si>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</si>
  <si>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</si>
  <si>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</si>
  <si>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</si>
  <si>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</si>
  <si>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</si>
  <si>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</si>
  <si>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</si>
  <si>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</si>
  <si>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</si>
  <si>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</si>
  <si>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</si>
  <si>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</si>
  <si>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</si>
  <si>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</si>
  <si>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</si>
  <si>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</si>
  <si>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</si>
  <si>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</si>
  <si>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</si>
  <si>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</si>
  <si>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</si>
  <si>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</si>
  <si>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</si>
  <si>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</si>
  <si>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</si>
  <si>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</si>
  <si>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</si>
  <si>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</si>
  <si>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</si>
  <si>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</si>
  <si>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</si>
  <si>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</si>
  <si>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</si>
  <si>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</si>
  <si>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</si>
  <si>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</si>
  <si>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</si>
  <si>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</si>
  <si>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</si>
  <si>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</si>
  <si>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</si>
  <si>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</si>
  <si>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</si>
  <si>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</si>
  <si>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</si>
  <si>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</si>
  <si>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</si>
  <si>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</si>
  <si>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</si>
  <si>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</si>
  <si>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</si>
  <si>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</si>
  <si>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</si>
  <si>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</si>
  <si>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</si>
  <si>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</si>
  <si>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</si>
  <si>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</si>
  <si>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</si>
  <si>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</si>
  <si>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</si>
  <si>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</si>
  <si>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</si>
  <si>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</si>
  <si>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</si>
  <si>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</si>
  <si>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</si>
  <si>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</si>
  <si>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</si>
  <si>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</si>
  <si>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</si>
  <si>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</si>
  <si>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</si>
  <si>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</si>
  <si>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</si>
  <si>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</si>
  <si>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</si>
  <si>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</si>
  <si>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</si>
  <si>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</si>
  <si>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</si>
  <si>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</si>
  <si>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</si>
  <si>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</si>
  <si>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</si>
  <si>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</si>
  <si>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</si>
  <si>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</si>
  <si>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</si>
  <si>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</si>
  <si>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</si>
  <si>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</si>
  <si>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</si>
  <si>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</si>
  <si>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</si>
  <si>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</si>
  <si>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</si>
  <si>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</si>
  <si>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</si>
  <si>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</si>
  <si>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</si>
  <si>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</si>
  <si>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</si>
  <si>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</si>
  <si>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</si>
  <si>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</si>
  <si>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</si>
  <si>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</si>
  <si>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</si>
  <si>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</si>
  <si>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</si>
  <si>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</si>
  <si>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</si>
  <si>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</si>
  <si>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</si>
  <si>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</si>
  <si>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</si>
  <si>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</si>
  <si>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</si>
  <si>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</si>
  <si>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</si>
  <si>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</si>
  <si>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</si>
  <si>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</si>
  <si>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</si>
  <si>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</si>
  <si>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</si>
  <si>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</si>
  <si>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</si>
  <si>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</si>
  <si>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</si>
  <si>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</si>
  <si>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</si>
  <si>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</si>
  <si>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</si>
  <si>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</si>
  <si>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</si>
  <si>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</si>
  <si>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</si>
  <si>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</si>
  <si>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</si>
  <si>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</si>
  <si>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</si>
  <si>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</si>
  <si>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</si>
  <si>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</si>
  <si>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</si>
  <si>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</si>
  <si>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</si>
  <si>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</si>
  <si>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</si>
  <si>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</si>
  <si>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</si>
  <si>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</si>
  <si>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</si>
  <si>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</si>
  <si>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</si>
  <si>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</si>
  <si>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</si>
  <si>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</si>
  <si>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</si>
  <si>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</si>
  <si>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</si>
  <si>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</si>
  <si>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</si>
  <si>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</si>
  <si>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</si>
  <si>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</si>
  <si>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</si>
  <si>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</si>
  <si>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</si>
  <si>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</si>
  <si>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</si>
  <si>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</si>
  <si>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</si>
  <si>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</si>
  <si>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</si>
  <si>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</si>
  <si>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</si>
  <si>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</si>
  <si>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</si>
  <si>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</si>
  <si>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</si>
  <si>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</si>
  <si>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</si>
  <si>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</si>
  <si>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</si>
  <si>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</si>
  <si>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</si>
  <si>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</si>
  <si>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</si>
  <si>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</si>
  <si>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</si>
  <si>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</si>
  <si>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</si>
  <si>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</si>
  <si>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</si>
  <si>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</si>
  <si>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</si>
  <si>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</si>
  <si>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</si>
  <si>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</si>
  <si>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</si>
  <si>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</si>
  <si>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</si>
  <si>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</si>
  <si>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</si>
  <si>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</si>
  <si>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</si>
  <si>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</si>
  <si>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</si>
  <si>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</si>
  <si>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</si>
  <si>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</si>
  <si>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</si>
  <si>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</si>
  <si>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</si>
  <si>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</si>
  <si>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</si>
  <si>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</si>
  <si>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</si>
  <si>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</si>
  <si>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</si>
  <si>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</si>
  <si>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</si>
  <si>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</si>
  <si>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</si>
  <si>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</si>
  <si>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</si>
  <si>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</si>
  <si>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</si>
  <si>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</si>
  <si>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</si>
  <si>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</si>
  <si>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</si>
  <si>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</si>
  <si>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</si>
  <si>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</si>
  <si>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</si>
  <si>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</si>
  <si>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</si>
  <si>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</si>
  <si>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</si>
  <si>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</si>
  <si>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</si>
  <si>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</si>
  <si>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</si>
  <si>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</si>
  <si>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</si>
  <si>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</si>
  <si>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</si>
  <si>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</si>
  <si>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</si>
  <si>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</si>
  <si>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</si>
  <si>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</si>
  <si>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</si>
  <si>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</si>
  <si>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</si>
  <si>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</si>
  <si>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</si>
  <si>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</si>
  <si>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</si>
  <si>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</si>
  <si>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</si>
  <si>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</si>
  <si>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</si>
  <si>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</si>
  <si>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</si>
  <si>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</si>
  <si>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</si>
  <si>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</si>
  <si>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</si>
  <si>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</si>
  <si>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</si>
  <si>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</si>
  <si>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</si>
  <si>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</si>
  <si>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</si>
  <si>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</si>
  <si>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</si>
  <si>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</si>
  <si>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</si>
  <si>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</si>
  <si>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</si>
  <si>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</si>
  <si>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</si>
  <si>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</si>
  <si>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</si>
  <si>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</si>
  <si>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</si>
  <si>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</si>
  <si>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</si>
  <si>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</si>
  <si>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</si>
  <si>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</si>
  <si>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</si>
  <si>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</si>
  <si>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</si>
  <si>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</si>
  <si>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</si>
  <si>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</si>
  <si>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</si>
  <si>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</si>
  <si>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</si>
  <si>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</si>
  <si>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</si>
  <si>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</si>
  <si>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</si>
  <si>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</si>
  <si>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</si>
  <si>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</si>
  <si>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</si>
  <si>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</si>
  <si>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</si>
  <si>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</si>
  <si>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</si>
  <si>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</si>
  <si>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</si>
  <si>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</si>
  <si>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</si>
  <si>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</si>
  <si>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</si>
  <si>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</si>
  <si>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</si>
  <si>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</si>
  <si>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</si>
  <si>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</si>
  <si>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</si>
  <si>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</si>
  <si>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</si>
  <si>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</si>
  <si>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</si>
  <si>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</si>
  <si>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</si>
  <si>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</si>
  <si>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</si>
  <si>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</si>
  <si>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</si>
  <si>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</si>
  <si>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</si>
  <si>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</si>
  <si>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</si>
  <si>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</si>
  <si>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</si>
  <si>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</si>
  <si>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</si>
  <si>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</si>
  <si>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</si>
  <si>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</si>
  <si>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</si>
  <si>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</si>
  <si>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</si>
  <si>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</si>
  <si>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</si>
  <si>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</si>
  <si>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</si>
  <si>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</si>
  <si>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</si>
  <si>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</si>
  <si>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</si>
  <si>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</si>
  <si>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</si>
  <si>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</si>
  <si>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</si>
  <si>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</si>
  <si>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</si>
  <si>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</si>
  <si>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</si>
  <si>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</si>
  <si>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</si>
  <si>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</si>
  <si>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</si>
  <si>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</si>
  <si>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</si>
  <si>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</si>
  <si>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</si>
  <si>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</si>
  <si>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</si>
  <si>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</si>
  <si>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</si>
  <si>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</si>
  <si>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</si>
  <si>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</si>
  <si>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</si>
  <si>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</si>
  <si>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</si>
  <si>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</si>
  <si>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</si>
  <si>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</si>
  <si>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</si>
  <si>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</si>
  <si>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</si>
  <si>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</si>
  <si>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</si>
  <si>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</si>
  <si>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</si>
  <si>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</si>
  <si>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</si>
  <si>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</si>
  <si>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</si>
  <si>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</si>
  <si>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</si>
  <si>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</si>
  <si>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</si>
  <si>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</si>
  <si>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</si>
  <si>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</si>
  <si>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</si>
  <si>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</si>
  <si>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</si>
  <si>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</si>
  <si>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</si>
  <si>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</si>
  <si>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</si>
  <si>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</si>
  <si>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</si>
  <si>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</si>
  <si>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</si>
  <si>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</si>
  <si>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</si>
  <si>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</si>
  <si>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</si>
  <si>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</si>
  <si>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</si>
  <si>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</si>
  <si>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</si>
  <si>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</si>
  <si>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</si>
  <si>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</si>
  <si>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</si>
  <si>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</si>
  <si>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</si>
  <si>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</si>
  <si>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</si>
  <si>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</si>
  <si>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</si>
  <si>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</si>
  <si>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</si>
  <si>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</si>
  <si>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</si>
  <si>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</si>
  <si>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</si>
  <si>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</si>
  <si>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</si>
  <si>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</si>
  <si>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</si>
  <si>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</si>
  <si>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</si>
  <si>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</si>
  <si>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</si>
  <si>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</si>
  <si>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</si>
  <si>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</si>
  <si>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</si>
  <si>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</si>
  <si>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</si>
  <si>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</si>
  <si>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</si>
  <si>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</si>
  <si>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</si>
  <si>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</si>
  <si>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</si>
  <si>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</si>
  <si>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</si>
  <si>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</si>
  <si>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</si>
  <si>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</si>
  <si>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</si>
  <si>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</si>
  <si>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</si>
  <si>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</si>
  <si>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</si>
  <si>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</si>
  <si>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</si>
  <si>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</si>
  <si>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</si>
  <si>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</si>
  <si>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</si>
  <si>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</si>
  <si>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</si>
  <si>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</si>
  <si>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</si>
  <si>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</si>
  <si>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</si>
  <si>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</si>
  <si>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</si>
  <si>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</si>
  <si>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</si>
  <si>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</si>
  <si>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</si>
  <si>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</si>
  <si>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</si>
  <si>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</si>
  <si>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</si>
  <si>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</si>
  <si>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</si>
  <si>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</si>
  <si>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</si>
  <si>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</si>
  <si>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</si>
  <si>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</si>
  <si>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</si>
  <si>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</si>
  <si>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</si>
  <si>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</si>
  <si>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</si>
  <si>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</si>
  <si>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</si>
  <si>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</si>
  <si>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</si>
  <si>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</si>
  <si>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</si>
  <si>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</si>
  <si>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</si>
  <si>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</si>
  <si>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</si>
  <si>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</si>
  <si>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</si>
  <si>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</si>
  <si>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</si>
  <si>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</si>
  <si>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</si>
  <si>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</si>
  <si>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</si>
  <si>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</si>
  <si>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</si>
  <si>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</si>
  <si>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</si>
  <si>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</si>
  <si>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</si>
  <si>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</si>
  <si>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</si>
  <si>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</si>
  <si>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</si>
  <si>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</si>
  <si>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</si>
  <si>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</si>
  <si>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</si>
  <si>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</si>
  <si>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</si>
  <si>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</si>
  <si>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</si>
  <si>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</si>
  <si>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</si>
  <si>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</si>
  <si>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</si>
  <si>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</si>
  <si>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</si>
  <si>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</si>
  <si>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</si>
  <si>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</si>
  <si>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</si>
  <si>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</si>
  <si>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</si>
  <si>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</si>
  <si>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</si>
  <si>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</si>
  <si>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</si>
  <si>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</si>
  <si>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</si>
  <si>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</si>
  <si>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</si>
  <si>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</si>
  <si>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</si>
  <si>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</si>
  <si>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</si>
  <si>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</si>
  <si>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</si>
  <si>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</si>
  <si>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</si>
  <si>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</si>
  <si>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</si>
  <si>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</si>
  <si>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</si>
  <si>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</si>
  <si>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</si>
  <si>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</si>
  <si>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</si>
  <si>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</si>
  <si>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</si>
  <si>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</si>
  <si>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</si>
  <si>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</si>
  <si>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</si>
  <si>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</si>
  <si>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</si>
  <si>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</si>
  <si>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</si>
  <si>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</si>
  <si>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</si>
  <si>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</si>
  <si>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</si>
  <si>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</si>
  <si>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</si>
  <si>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</si>
  <si>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</si>
  <si>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</si>
  <si>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</si>
  <si>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</si>
  <si>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</si>
  <si>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</si>
  <si>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</si>
  <si>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</si>
  <si>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</si>
  <si>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</si>
  <si>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</si>
  <si>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</si>
  <si>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</si>
  <si>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</si>
  <si>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</si>
  <si>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</si>
  <si>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</si>
  <si>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</si>
  <si>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</si>
  <si>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</si>
  <si>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</si>
  <si>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</si>
  <si>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</si>
  <si>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</si>
  <si>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</si>
  <si>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</si>
  <si>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</si>
  <si>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</si>
  <si>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</si>
  <si>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</si>
  <si>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</si>
  <si>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</si>
  <si>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</si>
  <si>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</si>
  <si>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</si>
  <si>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</si>
  <si>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</si>
  <si>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</si>
  <si>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</si>
  <si>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</si>
  <si>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</si>
  <si>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</si>
  <si>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</si>
  <si>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</si>
  <si>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</si>
  <si>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</si>
  <si>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</si>
  <si>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</si>
  <si>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</si>
  <si>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</si>
  <si>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</si>
  <si>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</si>
  <si>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</si>
  <si>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</si>
  <si>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</si>
  <si>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</si>
  <si>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</si>
  <si>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</si>
  <si>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</si>
  <si>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</si>
  <si>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</si>
  <si>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</si>
  <si>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</si>
  <si>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</si>
  <si>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</si>
  <si>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</si>
  <si>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</si>
  <si>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</si>
  <si>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</si>
  <si>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</si>
  <si>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</si>
  <si>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</si>
  <si>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</si>
  <si>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</si>
  <si>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</si>
  <si>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</si>
  <si>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</si>
  <si>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</si>
  <si>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</si>
  <si>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</si>
  <si>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</si>
  <si>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</si>
  <si>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</si>
  <si>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</si>
  <si>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</si>
  <si>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</si>
  <si>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</si>
  <si>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</si>
  <si>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</si>
  <si>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</si>
  <si>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</si>
  <si>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</si>
  <si>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</si>
  <si>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</si>
  <si>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</si>
  <si>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</si>
  <si>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</si>
  <si>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</si>
  <si>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</si>
  <si>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</si>
  <si>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</si>
  <si>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</si>
  <si>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</si>
  <si>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</si>
  <si>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</si>
  <si>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</si>
  <si>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</si>
  <si>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</si>
  <si>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</si>
  <si>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</si>
  <si>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</si>
  <si>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</si>
  <si>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</si>
  <si>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</si>
  <si>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</si>
  <si>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</si>
  <si>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</si>
  <si>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</si>
  <si>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</si>
  <si>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</si>
  <si>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</si>
  <si>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</si>
  <si>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</si>
  <si>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</si>
  <si>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</si>
  <si>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</si>
  <si>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</si>
  <si>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</si>
  <si>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</si>
  <si>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</si>
  <si>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</si>
  <si>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</si>
  <si>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</si>
  <si>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</si>
  <si>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</si>
  <si>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</si>
  <si>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</si>
  <si>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</si>
  <si>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</si>
  <si>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</si>
  <si>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</si>
  <si>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</si>
  <si>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</si>
  <si>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</si>
  <si>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</si>
  <si>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</si>
  <si>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</si>
  <si>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</si>
  <si>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</si>
  <si>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</si>
  <si>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</si>
  <si>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</si>
  <si>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</si>
  <si>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</si>
  <si>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</si>
  <si>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</si>
  <si>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</si>
  <si>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</si>
  <si>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</si>
  <si>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</si>
  <si>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</si>
  <si>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</si>
  <si>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</si>
  <si>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</si>
  <si>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</si>
  <si>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</si>
  <si>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</si>
  <si>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</si>
  <si>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</si>
  <si>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</si>
  <si>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</si>
  <si>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</si>
  <si>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</si>
  <si>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</si>
  <si>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</si>
  <si>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</si>
  <si>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</si>
  <si>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</si>
  <si>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</si>
  <si>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</si>
  <si>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</si>
  <si>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</si>
  <si>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</si>
  <si>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</si>
  <si>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</si>
  <si>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</si>
  <si>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</si>
  <si>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</si>
  <si>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</si>
  <si>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</si>
  <si>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</si>
  <si>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</si>
  <si>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</si>
  <si>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</si>
  <si>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</si>
  <si>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</si>
  <si>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</si>
  <si>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</si>
  <si>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</si>
  <si>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</si>
  <si>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</si>
  <si>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</si>
  <si>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</si>
  <si>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</si>
  <si>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</si>
  <si>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</si>
  <si>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</si>
  <si>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</si>
  <si>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</si>
  <si>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</si>
  <si>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</si>
  <si>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</si>
  <si>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</si>
  <si>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</si>
  <si>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</si>
  <si>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</si>
  <si>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</si>
  <si>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</si>
  <si>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</si>
  <si>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</si>
  <si>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</si>
  <si>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</si>
  <si>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</si>
  <si>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</si>
  <si>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</si>
  <si>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刘梅</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</si>
  <si>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</si>
  <si>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</si>
  <si>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</si>
  <si>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</si>
  <si>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</si>
  <si>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</si>
  <si>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</si>
  <si>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</si>
  <si>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</si>
  <si>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</si>
  <si>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</si>
  <si>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</si>
  <si>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</si>
  <si>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</si>
  <si>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</si>
  <si>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</si>
  <si>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</si>
  <si>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</si>
  <si>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</si>
  <si>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</si>
  <si>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</si>
  <si>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</si>
  <si>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</si>
  <si>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</si>
  <si>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</si>
  <si>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</si>
  <si>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</si>
  <si>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</si>
  <si>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</si>
  <si>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</si>
  <si>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</si>
  <si>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</si>
  <si>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</si>
  <si>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</si>
  <si>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</si>
  <si>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</si>
  <si>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</si>
  <si>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</si>
  <si>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</si>
  <si>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</si>
  <si>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</si>
  <si>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</si>
  <si>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</si>
  <si>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</si>
  <si>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</si>
  <si>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</si>
  <si>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</si>
  <si>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</si>
  <si>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</si>
  <si>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</si>
  <si>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</si>
  <si>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</si>
  <si>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</si>
  <si>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</si>
  <si>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</si>
  <si>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</si>
  <si>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</si>
  <si>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</si>
  <si>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</si>
  <si>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</si>
  <si>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</si>
  <si>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</si>
  <si>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</si>
  <si>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</si>
  <si>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</si>
  <si>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</si>
  <si>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</si>
  <si>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</si>
  <si>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</si>
  <si>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</si>
  <si>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</si>
  <si>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</si>
  <si>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</si>
  <si>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</si>
  <si>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</si>
  <si>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</si>
  <si>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</si>
  <si>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</si>
  <si>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</si>
  <si>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</si>
  <si>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</si>
  <si>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</si>
  <si>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</si>
  <si>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</si>
  <si>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</si>
  <si>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</si>
  <si>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</si>
  <si>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</si>
  <si>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</si>
  <si>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</si>
  <si>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</si>
  <si>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</si>
  <si>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</si>
  <si>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</si>
  <si>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</si>
  <si>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</si>
  <si>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</si>
  <si>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</si>
  <si>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</si>
  <si>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</si>
  <si>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</si>
  <si>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</si>
  <si>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</si>
  <si>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</si>
  <si>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</si>
  <si>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</si>
  <si>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</si>
  <si>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</si>
  <si>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</si>
  <si>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</si>
  <si>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</si>
  <si>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</si>
  <si>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</si>
  <si>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</si>
  <si>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</si>
  <si>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</si>
  <si>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</si>
  <si>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</si>
  <si>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</si>
  <si>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</si>
  <si>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</si>
  <si>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</si>
  <si>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</si>
  <si>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</si>
  <si>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</si>
  <si>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</si>
  <si>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</si>
  <si>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</si>
  <si>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</si>
  <si>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</si>
  <si>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</si>
  <si>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</si>
  <si>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</si>
  <si>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</si>
  <si>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</si>
  <si>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</si>
  <si>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</si>
  <si>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</si>
  <si>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</si>
  <si>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</si>
  <si>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</si>
  <si>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</si>
  <si>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</si>
  <si>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</si>
  <si>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</si>
  <si>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</si>
  <si>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</si>
  <si>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</si>
  <si>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</si>
  <si>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</si>
  <si>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</si>
  <si>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</si>
  <si>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</si>
  <si>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</si>
  <si>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</si>
  <si>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</si>
  <si>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</si>
  <si>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</si>
  <si>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</si>
  <si>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</si>
  <si>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</si>
  <si>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</si>
  <si>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</si>
  <si>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</si>
  <si>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</si>
  <si>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</si>
  <si>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</si>
  <si>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</si>
  <si>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</si>
  <si>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</si>
  <si>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</si>
  <si>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</si>
  <si>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</si>
  <si>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</si>
  <si>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</si>
  <si>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</si>
  <si>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</si>
  <si>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</si>
  <si>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</si>
  <si>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</si>
  <si>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</si>
  <si>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</si>
  <si>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</si>
  <si>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</si>
  <si>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</si>
  <si>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</si>
  <si>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</si>
  <si>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</si>
  <si>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</si>
  <si>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</si>
  <si>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</si>
  <si>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</si>
  <si>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</si>
  <si>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</si>
  <si>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</si>
  <si>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</si>
  <si>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</si>
  <si>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</si>
  <si>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</si>
  <si>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</si>
  <si>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</si>
  <si>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</si>
  <si>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</si>
  <si>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</si>
  <si>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</si>
  <si>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</si>
  <si>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</si>
  <si>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</si>
  <si>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</si>
  <si>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</si>
  <si>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</si>
  <si>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</si>
  <si>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</si>
  <si>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</si>
  <si>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</si>
  <si>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</si>
  <si>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</si>
  <si>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</si>
  <si>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</si>
  <si>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</si>
  <si>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</si>
  <si>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</si>
  <si>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</si>
  <si>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</si>
  <si>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</si>
  <si>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</si>
  <si>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</si>
  <si>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</si>
  <si>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</si>
  <si>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</si>
  <si>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</si>
  <si>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</si>
  <si>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</si>
  <si>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</si>
  <si>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</si>
  <si>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</si>
  <si>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</si>
  <si>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</si>
  <si>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</si>
  <si>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</si>
  <si>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</si>
  <si>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</si>
  <si>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</si>
  <si>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</si>
  <si>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</si>
  <si>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</si>
  <si>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</si>
  <si>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</si>
  <si>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</si>
  <si>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</si>
  <si>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</si>
  <si>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</si>
  <si>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</si>
  <si>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</si>
  <si>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</si>
  <si>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</si>
  <si>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</si>
  <si>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</si>
  <si>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</si>
  <si>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</si>
  <si>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</si>
  <si>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</si>
  <si>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</si>
  <si>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</si>
  <si>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</si>
  <si>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</si>
  <si>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</si>
  <si>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</si>
  <si>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</si>
  <si>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</si>
  <si>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</si>
  <si>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</si>
  <si>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</si>
  <si>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</si>
  <si>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</si>
  <si>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</si>
  <si>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</si>
  <si>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</si>
  <si>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</si>
  <si>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</si>
  <si>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</si>
  <si>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</si>
  <si>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</si>
  <si>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</si>
  <si>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</si>
  <si>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</si>
  <si>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</si>
  <si>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</si>
  <si>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</si>
  <si>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</si>
  <si>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</si>
  <si>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</si>
  <si>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</si>
  <si>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</si>
  <si>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</si>
  <si>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</si>
  <si>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</si>
  <si>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</si>
  <si>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</si>
  <si>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</si>
  <si>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</si>
  <si>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</si>
  <si>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</si>
  <si>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</si>
  <si>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</si>
  <si>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</si>
  <si>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</si>
  <si>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</si>
  <si>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</si>
  <si>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</si>
  <si>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</si>
  <si>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</si>
  <si>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</si>
  <si>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</si>
  <si>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</si>
  <si>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</si>
  <si>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</si>
  <si>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</si>
  <si>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</si>
  <si>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</si>
  <si>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</si>
  <si>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</si>
  <si>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</si>
  <si>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</si>
  <si>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</si>
  <si>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</si>
  <si>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</si>
  <si>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</si>
  <si>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</si>
  <si>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</si>
  <si>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</si>
  <si>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</si>
  <si>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</si>
  <si>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</si>
  <si>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</si>
  <si>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</si>
  <si>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</si>
  <si>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</si>
  <si>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</si>
  <si>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</si>
  <si>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</si>
  <si>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</si>
  <si>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</si>
  <si>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</si>
  <si>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</si>
  <si>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</si>
  <si>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</si>
  <si>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</si>
  <si>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</si>
  <si>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</si>
  <si>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</si>
  <si>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</si>
  <si>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</si>
  <si>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</si>
  <si>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</si>
  <si>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</si>
  <si>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</si>
  <si>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</si>
  <si>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</si>
  <si>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</si>
  <si>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</si>
  <si>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</si>
  <si>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</si>
  <si>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</si>
  <si>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</si>
  <si>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</si>
  <si>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</si>
  <si>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</si>
  <si>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</si>
  <si>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</si>
  <si>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</si>
  <si>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</si>
  <si>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</si>
  <si>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</si>
  <si>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</si>
  <si>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</si>
  <si>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</si>
  <si>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</si>
  <si>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</si>
  <si>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</si>
  <si>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</si>
  <si>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</si>
  <si>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</si>
  <si>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</si>
  <si>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</si>
  <si>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</si>
  <si>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</si>
  <si>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</si>
  <si>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</si>
  <si>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</si>
  <si>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</si>
  <si>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</si>
  <si>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</si>
  <si>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</si>
  <si>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</si>
  <si>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</si>
  <si>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</si>
  <si>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</si>
  <si>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</si>
  <si>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</si>
  <si>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</si>
  <si>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</si>
  <si>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</si>
  <si>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</si>
  <si>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</si>
  <si>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</si>
  <si>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</si>
  <si>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</si>
  <si>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</si>
  <si>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</si>
  <si>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</si>
  <si>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</si>
  <si>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</si>
  <si>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</si>
  <si>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</si>
  <si>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</si>
  <si>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</si>
  <si>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</si>
  <si>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</si>
  <si>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</si>
  <si>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</si>
  <si>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</si>
  <si>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</si>
  <si>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</si>
  <si>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</si>
  <si>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</si>
  <si>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</si>
  <si>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</si>
  <si>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</si>
  <si>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</si>
  <si>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</si>
  <si>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</si>
  <si>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</si>
  <si>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</si>
  <si>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</si>
  <si>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</si>
  <si>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</si>
  <si>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</si>
  <si>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</si>
  <si>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</si>
  <si>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</si>
  <si>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</si>
  <si>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</si>
  <si>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</si>
  <si>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</si>
  <si>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</si>
  <si>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</si>
  <si>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</si>
  <si>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</si>
  <si>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</si>
  <si>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</si>
  <si>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</si>
  <si>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</si>
  <si>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</si>
  <si>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</si>
  <si>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</si>
  <si>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</si>
  <si>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</si>
  <si>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</si>
  <si>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</si>
  <si>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</si>
  <si>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</si>
  <si>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</si>
  <si>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</si>
  <si>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</si>
  <si>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</si>
  <si>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</si>
  <si>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</si>
  <si>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</si>
  <si>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</si>
  <si>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</si>
  <si>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</si>
  <si>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</si>
  <si>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</si>
  <si>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</si>
  <si>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</si>
  <si>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</si>
  <si>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</si>
  <si>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</si>
  <si>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</si>
  <si>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</si>
  <si>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</si>
  <si>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</si>
  <si>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</si>
  <si>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</si>
  <si>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</si>
  <si>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</si>
  <si>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</si>
  <si>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</si>
  <si>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</si>
  <si>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</si>
  <si>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</si>
  <si>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</si>
  <si>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</si>
  <si>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</si>
  <si>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</si>
  <si>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</si>
  <si>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</si>
  <si>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</si>
  <si>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</si>
  <si>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</si>
  <si>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</si>
  <si>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</si>
  <si>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</si>
  <si>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</si>
  <si>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</si>
  <si>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</si>
  <si>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</si>
  <si>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</si>
  <si>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</si>
  <si>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</si>
  <si>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</si>
  <si>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</si>
  <si>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</si>
  <si>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</si>
  <si>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</si>
  <si>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</si>
  <si>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</si>
  <si>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</si>
  <si>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</si>
  <si>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</si>
  <si>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</si>
  <si>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</si>
  <si>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</si>
  <si>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</si>
  <si>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</si>
  <si>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</si>
  <si>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</si>
  <si>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</si>
  <si>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</si>
  <si>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</si>
  <si>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</si>
  <si>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</si>
  <si>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</si>
  <si>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</si>
  <si>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</si>
  <si>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</si>
  <si>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</si>
  <si>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</si>
  <si>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</si>
  <si>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</si>
  <si>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</si>
  <si>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</si>
  <si>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</si>
  <si>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</si>
  <si>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</si>
  <si>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</si>
  <si>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</si>
  <si>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</si>
  <si>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</si>
  <si>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</si>
  <si>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</si>
  <si>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</si>
  <si>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</si>
  <si>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</si>
  <si>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</si>
  <si>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</si>
  <si>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</si>
  <si>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</si>
  <si>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</si>
  <si>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</si>
  <si>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</si>
  <si>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</si>
  <si>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</si>
  <si>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</si>
  <si>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</si>
  <si>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</si>
  <si>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</si>
  <si>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</si>
  <si>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</si>
  <si>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</si>
  <si>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</si>
  <si>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</si>
  <si>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</si>
  <si>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</si>
  <si>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</si>
  <si>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</si>
  <si>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</si>
  <si>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</si>
  <si>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</si>
  <si>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</si>
  <si>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</si>
  <si>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</si>
  <si>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</si>
  <si>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</si>
  <si>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</si>
  <si>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</si>
  <si>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</si>
  <si>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</si>
  <si>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</si>
  <si>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</si>
  <si>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</si>
  <si>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</si>
  <si>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</si>
  <si>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</si>
  <si>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</si>
  <si>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</si>
  <si>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</si>
  <si>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</si>
  <si>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</si>
  <si>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</si>
  <si>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</si>
  <si>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</si>
  <si>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</si>
  <si>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</si>
  <si>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</si>
  <si>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</si>
  <si>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</si>
  <si>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</si>
  <si>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</si>
  <si>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</si>
  <si>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</si>
  <si>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</si>
  <si>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</si>
  <si>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</si>
  <si>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</si>
  <si>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</si>
  <si>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</si>
  <si>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</si>
  <si>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</si>
  <si>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</si>
  <si>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</si>
  <si>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</si>
  <si>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</si>
  <si>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</si>
  <si>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</si>
  <si>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</si>
  <si>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</si>
  <si>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</si>
  <si>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</si>
  <si>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</si>
  <si>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</si>
  <si>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</si>
  <si>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</si>
  <si>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</si>
  <si>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</si>
  <si>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</si>
  <si>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</si>
  <si>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</si>
  <si>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</si>
  <si>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</si>
  <si>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</si>
  <si>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</si>
  <si>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</si>
  <si>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</si>
  <si>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</si>
  <si>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</si>
  <si>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</si>
  <si>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</si>
  <si>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</si>
  <si>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</si>
  <si>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</si>
  <si>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</si>
  <si>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</si>
  <si>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</si>
  <si>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</si>
  <si>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</si>
  <si>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</si>
  <si>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</si>
  <si>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</si>
  <si>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</si>
  <si>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</si>
  <si>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</si>
  <si>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</si>
  <si>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</si>
  <si>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</si>
  <si>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</si>
  <si>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</si>
  <si>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</si>
  <si>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</si>
  <si>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</si>
  <si>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</si>
  <si>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</si>
  <si>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</si>
  <si>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</si>
  <si>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</si>
  <si>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</si>
  <si>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</si>
  <si>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</si>
  <si>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</si>
  <si>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</si>
  <si>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</si>
  <si>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</si>
  <si>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</si>
  <si>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</si>
  <si>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</si>
  <si>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</si>
  <si>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</si>
  <si>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</si>
  <si>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</si>
  <si>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</si>
  <si>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</si>
  <si>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</si>
  <si>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</si>
  <si>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</si>
  <si>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</si>
  <si>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</si>
  <si>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</si>
  <si>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</si>
  <si>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</si>
  <si>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</si>
  <si>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</si>
  <si>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</si>
  <si>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</si>
  <si>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</si>
  <si>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</si>
  <si>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</si>
  <si>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</si>
  <si>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</si>
  <si>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</si>
  <si>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</si>
  <si>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</si>
  <si>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</si>
  <si>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</si>
  <si>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</si>
  <si>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</si>
  <si>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</si>
  <si>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</si>
  <si>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</si>
  <si>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</si>
  <si>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</si>
  <si>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</si>
  <si>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</si>
  <si>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</si>
  <si>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</si>
  <si>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</si>
  <si>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</si>
  <si>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</si>
  <si>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</si>
  <si>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</si>
  <si>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</si>
  <si>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</si>
  <si>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</si>
  <si>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</si>
  <si>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</si>
  <si>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</si>
  <si>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</si>
  <si>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</si>
  <si>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</si>
  <si>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</si>
  <si>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</si>
  <si>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</si>
  <si>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</si>
  <si>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</si>
  <si>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</si>
  <si>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</si>
  <si>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</si>
  <si>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</si>
  <si>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</si>
  <si>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</si>
  <si>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</si>
  <si>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</si>
  <si>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</si>
  <si>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</si>
  <si>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</si>
  <si>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</si>
  <si>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</si>
  <si>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</si>
  <si>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</si>
  <si>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</si>
  <si>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</si>
  <si>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</si>
  <si>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</si>
  <si>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</si>
  <si>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</si>
  <si>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</si>
  <si>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</si>
  <si>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</si>
  <si>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</si>
  <si>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</si>
  <si>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</si>
  <si>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</si>
  <si>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</si>
  <si>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</si>
  <si>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</si>
  <si>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</si>
  <si>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</si>
  <si>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</si>
  <si>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</si>
  <si>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</si>
  <si>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</si>
  <si>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</si>
  <si>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</si>
  <si>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</si>
  <si>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</si>
  <si>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</si>
  <si>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</si>
  <si>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</si>
  <si>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</si>
  <si>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</si>
  <si>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</si>
  <si>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</si>
  <si>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</si>
  <si>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</si>
  <si>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</si>
  <si>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</si>
  <si>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</si>
  <si>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</si>
  <si>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</si>
  <si>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</si>
  <si>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</si>
  <si>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</si>
  <si>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</si>
  <si>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</si>
  <si>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</si>
  <si>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</si>
  <si>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</si>
  <si>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</si>
  <si>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</si>
  <si>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</si>
  <si>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</si>
  <si>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</si>
  <si>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</si>
  <si>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</si>
  <si>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</si>
  <si>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</si>
  <si>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</si>
  <si>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</si>
  <si>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</si>
  <si>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</si>
  <si>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</si>
  <si>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</si>
  <si>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</si>
  <si>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</si>
  <si>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</si>
  <si>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</si>
  <si>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</si>
  <si>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</si>
  <si>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</si>
  <si>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</si>
  <si>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</si>
  <si>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</si>
  <si>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</si>
  <si>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</si>
  <si>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</si>
  <si>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</si>
  <si>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</si>
  <si>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</si>
  <si>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</si>
  <si>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</si>
  <si>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</si>
  <si>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</si>
  <si>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</si>
  <si>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</si>
  <si>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</si>
  <si>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</si>
  <si>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</si>
  <si>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</si>
  <si>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</si>
  <si>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</si>
  <si>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</si>
  <si>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</si>
  <si>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</si>
  <si>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</si>
  <si>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</si>
  <si>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</si>
  <si>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</si>
  <si>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</si>
  <si>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</si>
  <si>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</si>
  <si>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</si>
  <si>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</si>
  <si>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</si>
  <si>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</si>
  <si>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</si>
  <si>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</si>
  <si>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</si>
  <si>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</si>
  <si>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</si>
  <si>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</si>
  <si>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</si>
  <si>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</si>
  <si>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</si>
  <si>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</si>
  <si>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</si>
  <si>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</si>
  <si>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</si>
  <si>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</si>
  <si>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</si>
  <si>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</si>
  <si>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</si>
  <si>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</si>
  <si>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</si>
  <si>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</si>
  <si>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</si>
  <si>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</si>
  <si>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</si>
  <si>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</si>
  <si>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</si>
  <si>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</si>
  <si>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</si>
  <si>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</si>
  <si>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</si>
  <si>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</si>
  <si>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</si>
  <si>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</si>
  <si>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</si>
  <si>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</si>
  <si>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</si>
  <si>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</si>
  <si>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</si>
  <si>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</si>
  <si>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</si>
  <si>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</si>
  <si>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</si>
  <si>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</si>
  <si>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</si>
  <si>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</si>
  <si>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</si>
  <si>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</si>
  <si>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</si>
  <si>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</si>
  <si>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</si>
  <si>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</si>
  <si>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</si>
  <si>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</si>
  <si>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</si>
  <si>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</si>
  <si>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</si>
  <si>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</si>
  <si>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</si>
  <si>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</si>
  <si>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</si>
  <si>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</si>
  <si>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</si>
  <si>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</si>
  <si>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</si>
  <si>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</si>
  <si>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</si>
  <si>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</si>
  <si>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</si>
  <si>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</si>
  <si>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</si>
  <si>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</si>
  <si>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</si>
  <si>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</si>
  <si>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</si>
  <si>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</si>
  <si>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</si>
  <si>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</si>
  <si>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</si>
  <si>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</si>
  <si>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</si>
  <si>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</si>
  <si>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</si>
  <si>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</si>
  <si>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</si>
  <si>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</si>
  <si>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</si>
  <si>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</si>
  <si>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</si>
  <si>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</si>
  <si>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</si>
  <si>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</si>
  <si>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</si>
  <si>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</si>
  <si>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</si>
  <si>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</si>
  <si>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</si>
  <si>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</si>
  <si>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</si>
  <si>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</si>
  <si>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</si>
  <si>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</si>
  <si>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</si>
  <si>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</si>
  <si>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</si>
  <si>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</si>
  <si>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</si>
  <si>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</si>
  <si>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</si>
  <si>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</si>
  <si>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</si>
  <si>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</si>
  <si>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</si>
  <si>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</si>
  <si>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</si>
  <si>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</si>
  <si>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</si>
  <si>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</si>
  <si>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</si>
  <si>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</si>
  <si>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</si>
  <si>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</si>
  <si>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</si>
  <si>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</si>
  <si>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</si>
  <si>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</si>
  <si>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</si>
  <si>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</si>
  <si>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</si>
  <si>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</si>
  <si>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</si>
  <si>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</si>
  <si>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</si>
  <si>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</si>
  <si>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</si>
  <si>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</si>
  <si>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</si>
  <si>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</si>
  <si>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</si>
  <si>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</si>
  <si>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</si>
  <si>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</si>
  <si>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</si>
  <si>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</si>
  <si>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</si>
  <si>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</si>
  <si>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</si>
  <si>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</si>
  <si>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</si>
  <si>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</si>
  <si>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</si>
  <si>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</si>
  <si>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</si>
  <si>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</si>
  <si>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</si>
  <si>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</si>
  <si>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</si>
  <si>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</si>
  <si>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</si>
  <si>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</si>
  <si>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</si>
  <si>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</si>
  <si>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</si>
  <si>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</si>
  <si>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</si>
  <si>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</si>
  <si>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</si>
  <si>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</si>
  <si>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</si>
  <si>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</si>
  <si>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</si>
  <si>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</si>
  <si>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</si>
  <si>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</si>
  <si>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</si>
  <si>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</si>
  <si>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</si>
  <si>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</si>
  <si>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</si>
  <si>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</si>
  <si>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</si>
  <si>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</si>
  <si>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</si>
  <si>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</si>
  <si>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</si>
  <si>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</si>
  <si>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</si>
  <si>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</si>
  <si>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</si>
  <si>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</si>
  <si>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</si>
  <si>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</si>
  <si>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</si>
  <si>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</si>
  <si>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</si>
  <si>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</si>
  <si>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</si>
  <si>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t>杨红英</t>
    <phoneticPr fontId="6" type="noConversion"/>
  </si>
  <si>
    <t>刘梅</t>
    <phoneticPr fontId="6" type="noConversion"/>
  </si>
  <si>
    <t>张津夷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</si>
  <si>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</si>
  <si>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</si>
  <si>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</si>
  <si>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</si>
  <si>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</si>
  <si>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</si>
  <si>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</si>
  <si>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2018A-027</t>
    <phoneticPr fontId="6" type="noConversion"/>
  </si>
  <si>
    <t>2019-2</t>
    <phoneticPr fontId="6" type="noConversion"/>
  </si>
  <si>
    <t>按公示增长率计算</t>
  </si>
  <si>
    <t>2019-3</t>
    <phoneticPr fontId="6" type="noConversion"/>
  </si>
  <si>
    <t>2019-4</t>
    <phoneticPr fontId="6" type="noConversion"/>
  </si>
  <si>
    <t>Ⅸ-密1</t>
  </si>
  <si>
    <t>单价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</si>
  <si>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</si>
  <si>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</si>
  <si>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</si>
  <si>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</si>
  <si>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权重后单价</t>
    <phoneticPr fontId="279" type="noConversion"/>
  </si>
  <si>
    <t>上次</t>
  </si>
  <si>
    <t>本次出让金</t>
    <phoneticPr fontId="231" type="noConversion"/>
  </si>
  <si>
    <t>居住(商品房）</t>
    <phoneticPr fontId="231" type="noConversion"/>
  </si>
  <si>
    <t>——</t>
    <phoneticPr fontId="231" type="noConversion"/>
  </si>
  <si>
    <t>建筑面积</t>
    <phoneticPr fontId="231" type="noConversion"/>
  </si>
  <si>
    <t>商业</t>
    <phoneticPr fontId="279" type="noConversion"/>
  </si>
  <si>
    <t>楼面单价
（元/平方米）</t>
    <phoneticPr fontId="279" type="noConversion"/>
  </si>
  <si>
    <t>建筑规模
（平方米）</t>
    <phoneticPr fontId="279" type="noConversion"/>
  </si>
  <si>
    <t>总价
（万元）</t>
    <phoneticPr fontId="279" type="noConversion"/>
  </si>
  <si>
    <t>办公</t>
    <phoneticPr fontId="279" type="noConversion"/>
  </si>
  <si>
    <t>居住用途熟地价</t>
    <phoneticPr fontId="279" type="noConversion"/>
  </si>
  <si>
    <t>商业用途熟地价</t>
    <phoneticPr fontId="279" type="noConversion"/>
  </si>
  <si>
    <t>办公用途熟地价</t>
    <phoneticPr fontId="279" type="noConversion"/>
  </si>
  <si>
    <t>_</t>
    <phoneticPr fontId="231" type="noConversion"/>
  </si>
  <si>
    <t>总价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</si>
  <si>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</si>
  <si>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</si>
  <si>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</si>
  <si>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</si>
  <si>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权重后总价</t>
    <phoneticPr fontId="279" type="noConversion"/>
  </si>
  <si>
    <t>熟地总价</t>
    <phoneticPr fontId="279" type="noConversion"/>
  </si>
  <si>
    <t>居住(商品房）</t>
    <phoneticPr fontId="231" type="noConversion"/>
  </si>
  <si>
    <t>——</t>
    <phoneticPr fontId="231" type="noConversion"/>
  </si>
  <si>
    <t>商业</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</si>
  <si>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</si>
  <si>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</si>
  <si>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</si>
  <si>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政府土地出让收益总价</t>
    <phoneticPr fontId="279" type="noConversion"/>
  </si>
  <si>
    <t>政府收益</t>
  </si>
  <si>
    <t>单价算</t>
    <phoneticPr fontId="231" type="noConversion"/>
  </si>
  <si>
    <t>单价</t>
    <phoneticPr fontId="231" type="noConversion"/>
  </si>
  <si>
    <t>出让底价建议：建议本项目出让底价不低于熟地总价337093.92万元。</t>
    <phoneticPr fontId="279" type="noConversion"/>
  </si>
  <si>
    <t>居住（共有产权）</t>
    <phoneticPr fontId="279" type="noConversion"/>
  </si>
  <si>
    <t>总价算</t>
    <phoneticPr fontId="231" type="noConversion"/>
  </si>
  <si>
    <t>总价</t>
    <phoneticPr fontId="279" type="noConversion"/>
  </si>
  <si>
    <t>单价</t>
    <phoneticPr fontId="279" type="noConversion"/>
  </si>
  <si>
    <t>建筑</t>
    <phoneticPr fontId="231" type="noConversion"/>
  </si>
  <si>
    <t>楼单价</t>
    <phoneticPr fontId="231" type="noConversion"/>
  </si>
  <si>
    <t>总地价</t>
    <phoneticPr fontId="231" type="noConversion"/>
  </si>
  <si>
    <t>土地面积</t>
    <phoneticPr fontId="231" type="noConversion"/>
  </si>
  <si>
    <t>地单价</t>
    <phoneticPr fontId="231" type="noConversion"/>
  </si>
  <si>
    <t>出让金</t>
    <phoneticPr fontId="231" type="noConversion"/>
  </si>
  <si>
    <t>FS04-0100-6076</t>
    <phoneticPr fontId="6" type="noConversion"/>
  </si>
  <si>
    <t>FS04-0100-6077</t>
    <phoneticPr fontId="6" type="noConversion"/>
  </si>
  <si>
    <t>FS04-0100-6078</t>
  </si>
  <si>
    <t>FS04-0100-6080</t>
    <phoneticPr fontId="6" type="noConversion"/>
  </si>
  <si>
    <t>FS04-0100-6081</t>
    <phoneticPr fontId="6" type="noConversion"/>
  </si>
  <si>
    <t>、A33基础教育用地、F2公建混合住宅用地、F3其他类多功能用地</t>
  </si>
  <si>
    <t>FS04-0100-6083</t>
    <phoneticPr fontId="6" type="noConversion"/>
  </si>
  <si>
    <t>FS04-0100-6084</t>
    <phoneticPr fontId="6" type="noConversion"/>
  </si>
  <si>
    <t>FS04-0100-6085</t>
  </si>
  <si>
    <t>FS04-0100-6086</t>
  </si>
  <si>
    <t>住宅</t>
    <phoneticPr fontId="231" type="noConversion"/>
  </si>
  <si>
    <t>商业</t>
    <phoneticPr fontId="231" type="noConversion"/>
  </si>
  <si>
    <t>办公</t>
    <phoneticPr fontId="231" type="noConversion"/>
  </si>
  <si>
    <t>建安</t>
    <phoneticPr fontId="231" type="noConversion"/>
  </si>
  <si>
    <t>利润率</t>
    <phoneticPr fontId="231" type="noConversion"/>
  </si>
  <si>
    <t>租金</t>
    <phoneticPr fontId="231" type="noConversion"/>
  </si>
  <si>
    <t>——</t>
    <phoneticPr fontId="231" type="noConversion"/>
  </si>
  <si>
    <t>开发周期</t>
    <phoneticPr fontId="231" type="noConversion"/>
  </si>
  <si>
    <t>未来售价</t>
    <phoneticPr fontId="231" type="noConversion"/>
  </si>
  <si>
    <t>建筑物还原利率</t>
    <phoneticPr fontId="231" type="noConversion"/>
  </si>
  <si>
    <t>综合还原利率</t>
    <phoneticPr fontId="231" type="noConversion"/>
  </si>
  <si>
    <t>剩余法-待开发</t>
  </si>
  <si>
    <t>有</t>
  </si>
  <si>
    <t>无</t>
  </si>
  <si>
    <t>1000米以外</t>
  </si>
  <si>
    <t>与级别开发程度不一致</t>
  </si>
  <si>
    <t>通路</t>
  </si>
  <si>
    <t>通电</t>
  </si>
  <si>
    <t>通上水</t>
  </si>
  <si>
    <t>通下水</t>
  </si>
  <si>
    <t>通热</t>
  </si>
  <si>
    <t>燃气</t>
  </si>
  <si>
    <t>平整</t>
  </si>
  <si>
    <t>容积率修正</t>
  </si>
  <si>
    <t>居住用地（指二类居住用地）</t>
  </si>
  <si>
    <t>自定义容积率</t>
  </si>
  <si>
    <t>一般</t>
  </si>
  <si>
    <t>较好</t>
  </si>
  <si>
    <t>较差</t>
  </si>
  <si>
    <t>否</t>
  </si>
  <si>
    <t>地上</t>
  </si>
  <si>
    <t>住宅</t>
    <phoneticPr fontId="10" type="noConversion"/>
  </si>
  <si>
    <t>北京市密云区檀营乡结果汇总表</t>
    <phoneticPr fontId="231" type="noConversion"/>
  </si>
  <si>
    <t>项目全部</t>
  </si>
  <si>
    <t>现房</t>
  </si>
  <si>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</si>
  <si>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</si>
  <si>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</si>
  <si>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</si>
  <si>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</si>
  <si>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</si>
  <si>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t>
    <phoneticPr fontId="279" type="noConversion"/>
  </si>
  <si>
    <t>办公用途熟地价</t>
    <phoneticPr fontId="279" type="noConversion"/>
  </si>
  <si>
    <t>xx</t>
    <phoneticPr fontId="279" type="noConversion"/>
  </si>
  <si>
    <t>熟地总价</t>
    <phoneticPr fontId="279" type="noConversion"/>
  </si>
  <si>
    <t>楼面单价
（元/平方米）</t>
    <phoneticPr fontId="279" type="noConversion"/>
  </si>
  <si>
    <t>建筑规模
（平方米）</t>
    <phoneticPr fontId="279" type="noConversion"/>
  </si>
  <si>
    <t>总价
（万元）</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</si>
  <si>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</si>
  <si>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</si>
  <si>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</si>
  <si>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</si>
  <si>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</si>
  <si>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</si>
  <si>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</si>
  <si>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，根据实际填写价高的用途；若项目为独立居住用地的，则删除该部分表述。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</si>
  <si>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估价机构简称</t>
    <phoneticPr fontId="6" type="noConversion"/>
  </si>
  <si>
    <t>康正宏基</t>
    <phoneticPr fontId="231" type="noConversion"/>
  </si>
  <si>
    <t>估价师</t>
    <phoneticPr fontId="6" type="noConversion"/>
  </si>
  <si>
    <t>陈颖、叶凌</t>
    <phoneticPr fontId="231" type="noConversion"/>
  </si>
  <si>
    <t>联系电话</t>
    <phoneticPr fontId="6" type="noConversion"/>
  </si>
  <si>
    <r>
      <t>13911093773</t>
    </r>
    <r>
      <rPr>
        <b/>
        <sz val="10"/>
        <rFont val="宋体"/>
        <family val="3"/>
        <charset val="134"/>
      </rPr>
      <t>、</t>
    </r>
    <r>
      <rPr>
        <b/>
        <sz val="10"/>
        <rFont val="Times New Roman"/>
        <family val="1"/>
      </rPr>
      <t>13801277006</t>
    </r>
    <phoneticPr fontId="231" type="noConversion"/>
  </si>
  <si>
    <t>规划指标情况
（㎡）</t>
    <phoneticPr fontId="6" type="noConversion"/>
  </si>
  <si>
    <t>总建筑规模</t>
    <phoneticPr fontId="6" type="noConversion"/>
  </si>
  <si>
    <t>居住
建筑规模</t>
    <phoneticPr fontId="6" type="noConversion"/>
  </si>
  <si>
    <t>公建
建筑规模</t>
    <phoneticPr fontId="6" type="noConversion"/>
  </si>
  <si>
    <t>实物补偿
建筑规模</t>
    <phoneticPr fontId="6" type="noConversion"/>
  </si>
  <si>
    <t>无偿代建
建筑规模</t>
    <phoneticPr fontId="6" type="noConversion"/>
  </si>
  <si>
    <t>有偿代建
建筑规模</t>
    <phoneticPr fontId="6" type="noConversion"/>
  </si>
  <si>
    <r>
      <rPr>
        <b/>
        <sz val="10"/>
        <rFont val="黑体"/>
        <family val="3"/>
        <charset val="134"/>
      </rPr>
      <t>用途</t>
    </r>
    <phoneticPr fontId="6" type="noConversion"/>
  </si>
  <si>
    <r>
      <rPr>
        <b/>
        <sz val="10"/>
        <rFont val="黑体"/>
        <family val="3"/>
        <charset val="134"/>
      </rPr>
      <t>基准地价法结果（元</t>
    </r>
    <r>
      <rPr>
        <b/>
        <sz val="10"/>
        <rFont val="Times New Roman"/>
        <family val="1"/>
      </rPr>
      <t>/</t>
    </r>
    <r>
      <rPr>
        <b/>
        <sz val="10"/>
        <rFont val="黑体"/>
        <family val="3"/>
        <charset val="134"/>
      </rPr>
      <t>㎡）</t>
    </r>
    <phoneticPr fontId="6" type="noConversion"/>
  </si>
  <si>
    <r>
      <rPr>
        <b/>
        <sz val="10"/>
        <rFont val="黑体"/>
        <family val="3"/>
        <charset val="134"/>
      </rPr>
      <t>权重
（</t>
    </r>
    <r>
      <rPr>
        <b/>
        <sz val="10"/>
        <rFont val="Times New Roman"/>
        <family val="1"/>
      </rPr>
      <t>%</t>
    </r>
    <r>
      <rPr>
        <b/>
        <sz val="10"/>
        <rFont val="黑体"/>
        <family val="3"/>
        <charset val="134"/>
      </rPr>
      <t>）</t>
    </r>
    <phoneticPr fontId="6" type="noConversion"/>
  </si>
  <si>
    <r>
      <rPr>
        <b/>
        <sz val="10"/>
        <rFont val="黑体"/>
        <family val="3"/>
        <charset val="134"/>
      </rPr>
      <t>剩余法结果
（元</t>
    </r>
    <r>
      <rPr>
        <b/>
        <sz val="10"/>
        <rFont val="Times New Roman"/>
        <family val="1"/>
      </rPr>
      <t>/</t>
    </r>
    <r>
      <rPr>
        <b/>
        <sz val="10"/>
        <rFont val="黑体"/>
        <family val="3"/>
        <charset val="134"/>
      </rPr>
      <t>㎡）</t>
    </r>
    <phoneticPr fontId="6" type="noConversion"/>
  </si>
  <si>
    <r>
      <rPr>
        <b/>
        <sz val="10"/>
        <rFont val="黑体"/>
        <family val="3"/>
        <charset val="134"/>
      </rPr>
      <t>收益法结果
（元</t>
    </r>
    <r>
      <rPr>
        <b/>
        <sz val="10"/>
        <rFont val="Times New Roman"/>
        <family val="1"/>
      </rPr>
      <t>/</t>
    </r>
    <r>
      <rPr>
        <b/>
        <sz val="10"/>
        <rFont val="黑体"/>
        <family val="3"/>
        <charset val="134"/>
      </rPr>
      <t>㎡）</t>
    </r>
    <phoneticPr fontId="6" type="noConversion"/>
  </si>
  <si>
    <r>
      <rPr>
        <b/>
        <sz val="10"/>
        <rFont val="黑体"/>
        <family val="3"/>
        <charset val="134"/>
      </rPr>
      <t>初步评估结果
（元</t>
    </r>
    <r>
      <rPr>
        <b/>
        <sz val="10"/>
        <rFont val="Times New Roman"/>
        <family val="1"/>
      </rPr>
      <t>/</t>
    </r>
    <r>
      <rPr>
        <b/>
        <sz val="10"/>
        <rFont val="黑体"/>
        <family val="3"/>
        <charset val="134"/>
      </rPr>
      <t>㎡）</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</si>
  <si>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</si>
  <si>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</si>
  <si>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</si>
  <si>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t>
    </r>
    <phoneticPr fontId="6" type="noConversion"/>
  </si>
  <si>
    <r>
      <rPr>
        <sz val="10"/>
        <rFont val="黑体"/>
        <family val="3"/>
        <charset val="134"/>
      </rPr>
      <t>补偿费对应市政条件</t>
    </r>
    <phoneticPr fontId="6" type="noConversion"/>
  </si>
  <si>
    <r>
      <rPr>
        <sz val="10"/>
        <rFont val="黑体"/>
        <family val="3"/>
        <charset val="134"/>
      </rPr>
      <t>宗地周边实际市政条件</t>
    </r>
    <phoneticPr fontId="6" type="noConversion"/>
  </si>
  <si>
    <r>
      <rPr>
        <b/>
        <sz val="10"/>
        <rFont val="黑体"/>
        <family val="3"/>
        <charset val="134"/>
      </rPr>
      <t>估价方法</t>
    </r>
    <r>
      <rPr>
        <b/>
        <sz val="10"/>
        <rFont val="Times New Roman"/>
        <family val="1"/>
      </rPr>
      <t xml:space="preserve">                    </t>
    </r>
    <r>
      <rPr>
        <b/>
        <sz val="10"/>
        <rFont val="黑体"/>
        <family val="3"/>
        <charset val="134"/>
      </rPr>
      <t>用途</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</si>
  <si>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</si>
  <si>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</si>
  <si>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</si>
  <si>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其他用途
（据实填写）</t>
    </r>
    <phoneticPr fontId="6" type="noConversion"/>
  </si>
  <si>
    <r>
      <rPr>
        <sz val="12"/>
        <rFont val="黑体"/>
        <family val="3"/>
        <charset val="134"/>
      </rPr>
      <t>填写注意：</t>
    </r>
    <r>
      <rPr>
        <sz val="12"/>
        <rFont val="Times New Roman"/>
        <family val="1"/>
      </rPr>
      <t>1</t>
    </r>
    <r>
      <rPr>
        <sz val="12"/>
        <rFont val="黑体"/>
        <family val="3"/>
        <charset val="134"/>
      </rPr>
      <t>、存在其他用途评估时，据实填写。如：办公（体育）、办公（会展）等；</t>
    </r>
    <r>
      <rPr>
        <sz val="12"/>
        <rFont val="Times New Roman"/>
        <family val="1"/>
      </rPr>
      <t>2</t>
    </r>
    <r>
      <rPr>
        <sz val="12"/>
        <rFont val="黑体"/>
        <family val="3"/>
        <charset val="134"/>
      </rPr>
      <t>、房价确定方式，根据目前实际，我们列举了几种主要的确定方式，可直接勾选。如市场比较法、收益法、市住建委意见、实物还建价格。如有特殊情况，可适时增加；</t>
    </r>
    <r>
      <rPr>
        <sz val="12"/>
        <rFont val="Times New Roman"/>
        <family val="1"/>
      </rPr>
      <t>3</t>
    </r>
    <r>
      <rPr>
        <sz val="12"/>
        <rFont val="黑体"/>
        <family val="3"/>
        <charset val="134"/>
      </rPr>
      <t>、是否已考虑无偿代建影响，指的是入市范围内需要由竞得人建设，无偿或有偿移交相关部门的设施，如托幼、非营利性养老设施等；</t>
    </r>
    <r>
      <rPr>
        <sz val="12"/>
        <rFont val="Times New Roman"/>
        <family val="1"/>
      </rPr>
      <t>4</t>
    </r>
    <r>
      <rPr>
        <sz val="12"/>
        <rFont val="黑体"/>
        <family val="3"/>
        <charset val="134"/>
      </rPr>
      <t>、建安费用，指基础、结构、设备安装和装饰三项费用之和。</t>
    </r>
    <phoneticPr fontId="6" type="noConversion"/>
  </si>
  <si>
    <r>
      <rPr>
        <b/>
        <sz val="10"/>
        <rFont val="黑体"/>
        <family val="3"/>
        <charset val="134"/>
      </rPr>
      <t>基准地价法</t>
    </r>
    <phoneticPr fontId="6" type="noConversion"/>
  </si>
  <si>
    <r>
      <rPr>
        <sz val="10"/>
        <rFont val="黑体"/>
        <family val="3"/>
        <charset val="134"/>
      </rPr>
      <t>宗地所在级别</t>
    </r>
    <phoneticPr fontId="6" type="noConversion"/>
  </si>
  <si>
    <r>
      <rPr>
        <sz val="10"/>
        <rFont val="黑体"/>
        <family val="3"/>
        <charset val="134"/>
      </rPr>
      <t>宗地所在区片</t>
    </r>
    <phoneticPr fontId="6" type="noConversion"/>
  </si>
  <si>
    <r>
      <rPr>
        <sz val="10"/>
        <rFont val="黑体"/>
        <family val="3"/>
        <charset val="134"/>
      </rPr>
      <t>区片价格
（元</t>
    </r>
    <r>
      <rPr>
        <sz val="10"/>
        <rFont val="Times New Roman"/>
        <family val="1"/>
      </rPr>
      <t>/</t>
    </r>
    <r>
      <rPr>
        <sz val="10"/>
        <rFont val="黑体"/>
        <family val="3"/>
        <charset val="134"/>
      </rPr>
      <t>㎡）</t>
    </r>
    <phoneticPr fontId="6" type="noConversion"/>
  </si>
  <si>
    <r>
      <rPr>
        <sz val="10"/>
        <rFont val="黑体"/>
        <family val="3"/>
        <charset val="134"/>
      </rPr>
      <t>特殊情况
修正系数</t>
    </r>
    <phoneticPr fontId="6" type="noConversion"/>
  </si>
  <si>
    <r>
      <rPr>
        <sz val="10"/>
        <rFont val="黑体"/>
        <family val="3"/>
        <charset val="134"/>
      </rPr>
      <t>基础设施修正
幅度（元</t>
    </r>
    <r>
      <rPr>
        <sz val="10"/>
        <rFont val="Times New Roman"/>
        <family val="1"/>
      </rPr>
      <t>/</t>
    </r>
    <r>
      <rPr>
        <sz val="10"/>
        <rFont val="黑体"/>
        <family val="3"/>
        <charset val="134"/>
      </rPr>
      <t>㎡）</t>
    </r>
    <phoneticPr fontId="6" type="noConversion"/>
  </si>
  <si>
    <r>
      <rPr>
        <b/>
        <sz val="10"/>
        <rFont val="黑体"/>
        <family val="3"/>
        <charset val="134"/>
      </rPr>
      <t>剩余法</t>
    </r>
    <phoneticPr fontId="6" type="noConversion"/>
  </si>
  <si>
    <r>
      <rPr>
        <sz val="10"/>
        <rFont val="黑体"/>
        <family val="3"/>
        <charset val="134"/>
      </rPr>
      <t>房价
（元</t>
    </r>
    <r>
      <rPr>
        <sz val="10"/>
        <rFont val="Times New Roman"/>
        <family val="1"/>
      </rPr>
      <t>/</t>
    </r>
    <r>
      <rPr>
        <sz val="10"/>
        <rFont val="黑体"/>
        <family val="3"/>
        <charset val="134"/>
      </rPr>
      <t>㎡）</t>
    </r>
    <phoneticPr fontId="6" type="noConversion"/>
  </si>
  <si>
    <r>
      <rPr>
        <sz val="10"/>
        <rFont val="黑体"/>
        <family val="3"/>
        <charset val="134"/>
      </rPr>
      <t>房价确定方式</t>
    </r>
    <phoneticPr fontId="6" type="noConversion"/>
  </si>
  <si>
    <t>市场比较法</t>
  </si>
  <si>
    <r>
      <rPr>
        <sz val="10"/>
        <rFont val="黑体"/>
        <family val="3"/>
        <charset val="134"/>
      </rPr>
      <t>是否已考虑无偿</t>
    </r>
    <r>
      <rPr>
        <sz val="10"/>
        <rFont val="Times New Roman"/>
        <family val="1"/>
      </rPr>
      <t>/</t>
    </r>
    <r>
      <rPr>
        <sz val="10"/>
        <rFont val="黑体"/>
        <family val="3"/>
        <charset val="134"/>
      </rPr>
      <t>有偿代建影响</t>
    </r>
    <phoneticPr fontId="6" type="noConversion"/>
  </si>
  <si>
    <r>
      <rPr>
        <sz val="10"/>
        <rFont val="黑体"/>
        <family val="3"/>
        <charset val="134"/>
      </rPr>
      <t>建安费用
（元</t>
    </r>
    <r>
      <rPr>
        <sz val="10"/>
        <rFont val="Times New Roman"/>
        <family val="1"/>
      </rPr>
      <t>/</t>
    </r>
    <r>
      <rPr>
        <sz val="10"/>
        <rFont val="黑体"/>
        <family val="3"/>
        <charset val="134"/>
      </rPr>
      <t>㎡）</t>
    </r>
    <phoneticPr fontId="6" type="noConversion"/>
  </si>
  <si>
    <r>
      <rPr>
        <sz val="10"/>
        <rFont val="黑体"/>
        <family val="3"/>
        <charset val="134"/>
      </rPr>
      <t>开发周期
（年）</t>
    </r>
    <phoneticPr fontId="6" type="noConversion"/>
  </si>
  <si>
    <r>
      <rPr>
        <sz val="10"/>
        <rFont val="黑体"/>
        <family val="3"/>
        <charset val="134"/>
      </rPr>
      <t>利润率
（</t>
    </r>
    <r>
      <rPr>
        <sz val="10"/>
        <rFont val="Times New Roman"/>
        <family val="1"/>
      </rPr>
      <t>%</t>
    </r>
    <r>
      <rPr>
        <sz val="10"/>
        <rFont val="黑体"/>
        <family val="3"/>
        <charset val="134"/>
      </rPr>
      <t>）</t>
    </r>
    <phoneticPr fontId="6" type="noConversion"/>
  </si>
  <si>
    <r>
      <rPr>
        <b/>
        <sz val="10"/>
        <rFont val="黑体"/>
        <family val="3"/>
        <charset val="134"/>
      </rPr>
      <t>收益还原法</t>
    </r>
    <phoneticPr fontId="6" type="noConversion"/>
  </si>
  <si>
    <r>
      <rPr>
        <sz val="10"/>
        <rFont val="黑体"/>
        <family val="3"/>
        <charset val="134"/>
      </rPr>
      <t>租金
（元</t>
    </r>
    <r>
      <rPr>
        <sz val="10"/>
        <rFont val="Times New Roman"/>
        <family val="1"/>
      </rPr>
      <t>/</t>
    </r>
    <r>
      <rPr>
        <sz val="10"/>
        <rFont val="黑体"/>
        <family val="3"/>
        <charset val="134"/>
      </rPr>
      <t>㎡</t>
    </r>
    <r>
      <rPr>
        <sz val="10"/>
        <rFont val="Times New Roman"/>
        <family val="1"/>
      </rPr>
      <t>/</t>
    </r>
    <r>
      <rPr>
        <sz val="10"/>
        <rFont val="黑体"/>
        <family val="3"/>
        <charset val="134"/>
      </rPr>
      <t>天）</t>
    </r>
    <phoneticPr fontId="6" type="noConversion"/>
  </si>
  <si>
    <r>
      <rPr>
        <sz val="10"/>
        <rFont val="黑体"/>
        <family val="3"/>
        <charset val="134"/>
      </rPr>
      <t>空置率
（</t>
    </r>
    <r>
      <rPr>
        <sz val="10"/>
        <rFont val="Times New Roman"/>
        <family val="1"/>
      </rPr>
      <t>%</t>
    </r>
    <r>
      <rPr>
        <sz val="10"/>
        <rFont val="黑体"/>
        <family val="3"/>
        <charset val="134"/>
      </rPr>
      <t>）</t>
    </r>
    <phoneticPr fontId="6" type="noConversion"/>
  </si>
  <si>
    <r>
      <rPr>
        <sz val="10"/>
        <rFont val="黑体"/>
        <family val="3"/>
        <charset val="134"/>
      </rPr>
      <t>房屋现值
（元</t>
    </r>
    <r>
      <rPr>
        <sz val="10"/>
        <rFont val="Times New Roman"/>
        <family val="1"/>
      </rPr>
      <t>/</t>
    </r>
    <r>
      <rPr>
        <sz val="10"/>
        <rFont val="黑体"/>
        <family val="3"/>
        <charset val="134"/>
      </rPr>
      <t>㎡）</t>
    </r>
    <phoneticPr fontId="6" type="noConversion"/>
  </si>
  <si>
    <r>
      <rPr>
        <sz val="10"/>
        <rFont val="黑体"/>
        <family val="3"/>
        <charset val="134"/>
      </rPr>
      <t>建筑物还原率
（</t>
    </r>
    <r>
      <rPr>
        <sz val="10"/>
        <rFont val="Times New Roman"/>
        <family val="1"/>
      </rPr>
      <t>%</t>
    </r>
    <r>
      <rPr>
        <sz val="10"/>
        <rFont val="黑体"/>
        <family val="3"/>
        <charset val="134"/>
      </rPr>
      <t>）</t>
    </r>
    <phoneticPr fontId="6" type="noConversion"/>
  </si>
  <si>
    <r>
      <rPr>
        <sz val="10"/>
        <rFont val="黑体"/>
        <family val="3"/>
        <charset val="134"/>
      </rPr>
      <t>土地还原率
（</t>
    </r>
    <r>
      <rPr>
        <sz val="10"/>
        <rFont val="Times New Roman"/>
        <family val="1"/>
      </rPr>
      <t>%</t>
    </r>
    <r>
      <rPr>
        <sz val="10"/>
        <rFont val="黑体"/>
        <family val="3"/>
        <charset val="134"/>
      </rPr>
      <t>）</t>
    </r>
    <phoneticPr fontId="6" type="noConversion"/>
  </si>
  <si>
    <r>
      <rPr>
        <sz val="10"/>
        <rFont val="黑体"/>
        <family val="3"/>
        <charset val="134"/>
      </rPr>
      <t>市场比较法</t>
    </r>
    <phoneticPr fontId="6" type="noConversion"/>
  </si>
  <si>
    <r>
      <rPr>
        <sz val="10"/>
        <rFont val="黑体"/>
        <family val="3"/>
        <charset val="134"/>
      </rPr>
      <t>是</t>
    </r>
    <phoneticPr fontId="6" type="noConversion"/>
  </si>
  <si>
    <r>
      <rPr>
        <sz val="10"/>
        <rFont val="黑体"/>
        <family val="3"/>
        <charset val="134"/>
      </rPr>
      <t>临时三通</t>
    </r>
    <phoneticPr fontId="6" type="noConversion"/>
  </si>
  <si>
    <r>
      <rPr>
        <sz val="10"/>
        <rFont val="黑体"/>
        <family val="3"/>
        <charset val="134"/>
      </rPr>
      <t>收益法</t>
    </r>
    <phoneticPr fontId="6" type="noConversion"/>
  </si>
  <si>
    <r>
      <rPr>
        <sz val="10"/>
        <rFont val="黑体"/>
        <family val="3"/>
        <charset val="134"/>
      </rPr>
      <t>否</t>
    </r>
    <phoneticPr fontId="6" type="noConversion"/>
  </si>
  <si>
    <r>
      <rPr>
        <sz val="10"/>
        <rFont val="黑体"/>
        <family val="3"/>
        <charset val="134"/>
      </rPr>
      <t>三通</t>
    </r>
    <phoneticPr fontId="6" type="noConversion"/>
  </si>
  <si>
    <r>
      <rPr>
        <sz val="10"/>
        <rFont val="黑体"/>
        <family val="3"/>
        <charset val="134"/>
      </rPr>
      <t>市住建委意见</t>
    </r>
    <phoneticPr fontId="6" type="noConversion"/>
  </si>
  <si>
    <r>
      <rPr>
        <sz val="10"/>
        <rFont val="黑体"/>
        <family val="3"/>
        <charset val="134"/>
      </rPr>
      <t>不存在</t>
    </r>
    <phoneticPr fontId="6" type="noConversion"/>
  </si>
  <si>
    <r>
      <rPr>
        <sz val="10"/>
        <rFont val="黑体"/>
        <family val="3"/>
        <charset val="134"/>
      </rPr>
      <t>四通</t>
    </r>
    <phoneticPr fontId="6" type="noConversion"/>
  </si>
  <si>
    <r>
      <rPr>
        <sz val="10"/>
        <rFont val="黑体"/>
        <family val="3"/>
        <charset val="134"/>
      </rPr>
      <t>实物还建价格</t>
    </r>
    <phoneticPr fontId="6" type="noConversion"/>
  </si>
  <si>
    <r>
      <rPr>
        <sz val="10"/>
        <rFont val="黑体"/>
        <family val="3"/>
        <charset val="134"/>
      </rPr>
      <t>五通</t>
    </r>
    <phoneticPr fontId="6" type="noConversion"/>
  </si>
  <si>
    <r>
      <rPr>
        <sz val="10"/>
        <rFont val="黑体"/>
        <family val="3"/>
        <charset val="134"/>
      </rPr>
      <t>六通</t>
    </r>
    <phoneticPr fontId="6" type="noConversion"/>
  </si>
  <si>
    <r>
      <rPr>
        <sz val="10"/>
        <rFont val="黑体"/>
        <family val="3"/>
        <charset val="134"/>
      </rPr>
      <t>七通</t>
    </r>
    <phoneticPr fontId="6" type="noConversion"/>
  </si>
  <si>
    <t>单价</t>
    <phoneticPr fontId="231" type="noConversion"/>
  </si>
  <si>
    <t>商业</t>
    <phoneticPr fontId="279" type="noConversion"/>
  </si>
  <si>
    <t>办公</t>
    <phoneticPr fontId="231" type="noConversion"/>
  </si>
  <si>
    <t>总价</t>
    <phoneticPr fontId="231" type="noConversion"/>
  </si>
  <si>
    <t>商业</t>
  </si>
  <si>
    <t>不动产收益法</t>
  </si>
  <si>
    <t>居住(商品房）</t>
    <phoneticPr fontId="231" type="noConversion"/>
  </si>
  <si>
    <t>出让金</t>
    <phoneticPr fontId="279" type="noConversion"/>
  </si>
  <si>
    <t>出让金</t>
    <phoneticPr fontId="279" type="noConversion"/>
  </si>
  <si>
    <t>空置率</t>
    <phoneticPr fontId="231" type="noConversion"/>
  </si>
  <si>
    <t>售价</t>
  </si>
  <si>
    <t>成本</t>
    <phoneticPr fontId="231" type="noConversion"/>
  </si>
  <si>
    <r>
      <t>Ⅸ</t>
    </r>
    <r>
      <rPr>
        <sz val="10"/>
        <rFont val="Times New Roman"/>
        <family val="1"/>
      </rPr>
      <t>-</t>
    </r>
    <r>
      <rPr>
        <sz val="10"/>
        <rFont val="宋体"/>
        <family val="3"/>
        <charset val="134"/>
      </rPr>
      <t>密</t>
    </r>
    <r>
      <rPr>
        <sz val="10"/>
        <rFont val="Times New Roman"/>
        <family val="1"/>
      </rPr>
      <t>1</t>
    </r>
  </si>
  <si>
    <t>收益法</t>
  </si>
  <si>
    <t>-</t>
    <phoneticPr fontId="231" type="noConversion"/>
  </si>
  <si>
    <t>-</t>
    <phoneticPr fontId="231" type="noConversion"/>
  </si>
  <si>
    <t>琅辉小区</t>
    <phoneticPr fontId="231" type="noConversion"/>
  </si>
  <si>
    <t>正常</t>
  </si>
  <si>
    <t>住宅</t>
    <phoneticPr fontId="24" type="noConversion"/>
  </si>
  <si>
    <t>住宅</t>
    <phoneticPr fontId="24" type="noConversion"/>
  </si>
  <si>
    <t>60-70（含）</t>
  </si>
  <si>
    <t>六通</t>
  </si>
  <si>
    <t>琅辉小区</t>
    <phoneticPr fontId="24" type="noConversion"/>
  </si>
  <si>
    <t>锦悦府</t>
    <phoneticPr fontId="24" type="noConversion"/>
  </si>
  <si>
    <t>差</t>
  </si>
  <si>
    <t xml:space="preserve"> </t>
    <phoneticPr fontId="231" type="noConversion"/>
  </si>
  <si>
    <t>行政区</t>
    <phoneticPr fontId="6" type="noConversion"/>
  </si>
  <si>
    <t>项目名称</t>
  </si>
  <si>
    <t>项目
类型</t>
  </si>
  <si>
    <t>宗地
位置</t>
  </si>
  <si>
    <t>项目
主体</t>
    <phoneticPr fontId="6" type="noConversion"/>
  </si>
  <si>
    <t>评估机构</t>
  </si>
  <si>
    <t>土地用途</t>
  </si>
  <si>
    <t>土地面积
（㎡）</t>
    <phoneticPr fontId="6" type="noConversion"/>
  </si>
  <si>
    <t>建筑控制规模
（㎡）</t>
    <phoneticPr fontId="6" type="noConversion"/>
  </si>
  <si>
    <t>基准地价
（元/㎡）</t>
    <phoneticPr fontId="6" type="noConversion"/>
  </si>
  <si>
    <t>评估过程</t>
  </si>
  <si>
    <t>最终评估结果</t>
  </si>
  <si>
    <t>土地补偿价格</t>
  </si>
  <si>
    <t>总用地
面积</t>
    <phoneticPr fontId="6" type="noConversion"/>
  </si>
  <si>
    <t>建设用地
面积</t>
    <phoneticPr fontId="6" type="noConversion"/>
  </si>
  <si>
    <t xml:space="preserve">地上总
建筑面积 </t>
    <phoneticPr fontId="6" type="noConversion"/>
  </si>
  <si>
    <t xml:space="preserve">地上出让
建筑面积 </t>
    <phoneticPr fontId="6" type="noConversion"/>
  </si>
  <si>
    <t>土地级别（级别容积率）</t>
  </si>
  <si>
    <t>级别楼面熟地价</t>
  </si>
  <si>
    <t>区片
编号</t>
  </si>
  <si>
    <t>区片
价格</t>
  </si>
  <si>
    <t>基准地价法
熟地价
楼面单价
（元/㎡）</t>
    <phoneticPr fontId="6" type="noConversion"/>
  </si>
  <si>
    <t>其他方法
熟地价
楼面单价
（元/㎡）</t>
    <phoneticPr fontId="6" type="noConversion"/>
  </si>
  <si>
    <t>熟地价
楼面单价
（元/㎡）</t>
    <phoneticPr fontId="6" type="noConversion"/>
  </si>
  <si>
    <t>政府土地
出让收益
楼面单价
（元/㎡）</t>
    <phoneticPr fontId="6" type="noConversion"/>
  </si>
  <si>
    <t>楼面单价
（元/㎡）</t>
    <phoneticPr fontId="6" type="noConversion"/>
  </si>
  <si>
    <t>总价
（万元）</t>
    <phoneticPr fontId="6" type="noConversion"/>
  </si>
  <si>
    <t>分中心一级开发</t>
    <phoneticPr fontId="6" type="noConversion"/>
  </si>
  <si>
    <t>康正宏基评估</t>
    <phoneticPr fontId="6" type="noConversion"/>
  </si>
  <si>
    <t>评估机构填表人（签字）：</t>
    <phoneticPr fontId="6" type="noConversion"/>
  </si>
  <si>
    <t>评估机构法人（签字）：</t>
    <phoneticPr fontId="6" type="noConversion"/>
  </si>
  <si>
    <t>评估机构盖章：</t>
    <phoneticPr fontId="6" type="noConversion"/>
  </si>
  <si>
    <t>密云区</t>
    <phoneticPr fontId="6" type="noConversion"/>
  </si>
  <si>
    <t>密云区檀营乡MY00-0103-6023地块R2二类居住用地、MY00-0103-6024地块A33基础教育用地国有建设用地使用权出让价格评估项目情况表</t>
    <phoneticPr fontId="6" type="noConversion"/>
  </si>
  <si>
    <t>密云区檀营乡MY00-0103-6023地块R2二类居住用地、MY00-0103-6024地块A33基础教育用地</t>
    <phoneticPr fontId="6" type="noConversion"/>
  </si>
  <si>
    <t>密云区檀营乡</t>
    <phoneticPr fontId="6" type="noConversion"/>
  </si>
  <si>
    <t>密云储备分中心</t>
    <phoneticPr fontId="6" type="noConversion"/>
  </si>
  <si>
    <t>R2二类居住用地、A33基础教育用地</t>
    <phoneticPr fontId="6" type="noConversion"/>
  </si>
  <si>
    <t>Ⅸ-密1</t>
    <phoneticPr fontId="9" type="noConversion"/>
  </si>
  <si>
    <t>住Ⅸ-密1
商Ⅸ-密1
办Ⅸ-密1</t>
    <phoneticPr fontId="6" type="noConversion"/>
  </si>
  <si>
    <t>住3350
商3270
办3240</t>
    <phoneticPr fontId="6" type="noConversion"/>
  </si>
  <si>
    <t>居住：2 基础教育：0.8</t>
    <phoneticPr fontId="6" type="noConversion"/>
  </si>
  <si>
    <t>住2620-4180
商2680-4280
办2640-4220</t>
    <phoneticPr fontId="6" type="noConversion"/>
  </si>
  <si>
    <t>住9
（1.5）
商9
（2.0）
办9
（2.0）</t>
    <phoneticPr fontId="6" type="noConversion"/>
  </si>
  <si>
    <t>已部分缴纳</t>
  </si>
  <si>
    <t>北京市密云区檀营乡MY00-0103-6023地块R2二类居住用地、MY00-0103-6024地块A33基础教育用地估价结果汇总表</t>
    <phoneticPr fontId="279" type="noConversion"/>
  </si>
  <si>
    <t>住宅</t>
    <phoneticPr fontId="231" type="noConversion"/>
  </si>
  <si>
    <t>商服</t>
    <phoneticPr fontId="231" type="noConversion"/>
  </si>
  <si>
    <t>综合</t>
    <phoneticPr fontId="231" type="noConversion"/>
  </si>
  <si>
    <t>悦欣嘉园</t>
    <phoneticPr fontId="231" type="noConversion"/>
  </si>
  <si>
    <t>锦悦府</t>
    <phoneticPr fontId="231" type="noConversion"/>
  </si>
  <si>
    <t>北京市发展和改革委员会 北京市财政局关于密云区正式基础设施建设费收费标准的函[京发改（2016）332号]</t>
    <phoneticPr fontId="231" type="noConversion"/>
  </si>
  <si>
    <t>2.32</t>
    <phoneticPr fontId="231" type="noConversion"/>
  </si>
  <si>
    <t>13119</t>
    <phoneticPr fontId="231" type="noConversion"/>
  </si>
  <si>
    <t>住5994
商4753
办4625</t>
    <phoneticPr fontId="6" type="noConversion"/>
  </si>
  <si>
    <t xml:space="preserve">剩余法：
住6189
商5652
办4701
</t>
    <phoneticPr fontId="6" type="noConversion"/>
  </si>
  <si>
    <t>住6111
商5292
办4671</t>
    <phoneticPr fontId="6" type="noConversion"/>
  </si>
  <si>
    <t>住1528
商1323
办1168</t>
    <phoneticPr fontId="6" type="noConversion"/>
  </si>
  <si>
    <t>编号</t>
    <phoneticPr fontId="231" type="noConversion"/>
  </si>
  <si>
    <t>位置</t>
    <phoneticPr fontId="231" type="noConversion"/>
  </si>
  <si>
    <t>总用地面积</t>
    <phoneticPr fontId="231" type="noConversion"/>
  </si>
  <si>
    <t>地上规划建筑面积</t>
    <phoneticPr fontId="231" type="noConversion"/>
  </si>
  <si>
    <t>分用途</t>
    <phoneticPr fontId="231" type="noConversion"/>
  </si>
  <si>
    <t>地上建筑面积</t>
    <phoneticPr fontId="231" type="noConversion"/>
  </si>
  <si>
    <t>商住比</t>
    <phoneticPr fontId="231" type="noConversion"/>
  </si>
  <si>
    <t>2017-1-0240</t>
    <phoneticPr fontId="231" type="noConversion"/>
  </si>
  <si>
    <t>R2二类居住用地</t>
    <phoneticPr fontId="231" type="noConversion"/>
  </si>
  <si>
    <t>其他</t>
    <phoneticPr fontId="231" type="noConversion"/>
  </si>
  <si>
    <t>2017-1-0189</t>
    <phoneticPr fontId="231" type="noConversion"/>
  </si>
  <si>
    <t>阳光水岸住宅小区项目</t>
    <phoneticPr fontId="231" type="noConversion"/>
  </si>
  <si>
    <t>其他（配套公建配电室）</t>
    <phoneticPr fontId="231" type="noConversion"/>
  </si>
  <si>
    <t>2018-1-0835</t>
    <phoneticPr fontId="231" type="noConversion"/>
  </si>
  <si>
    <t>潭州家园住宅区项目</t>
    <phoneticPr fontId="231" type="noConversion"/>
  </si>
  <si>
    <t>R2二类居住用地</t>
    <phoneticPr fontId="231" type="noConversion"/>
  </si>
  <si>
    <t>商业配套公服</t>
    <phoneticPr fontId="231" type="noConversion"/>
  </si>
  <si>
    <t>2018-1-0243</t>
    <phoneticPr fontId="231" type="noConversion"/>
  </si>
  <si>
    <t>密云碧桂园</t>
    <phoneticPr fontId="231" type="noConversion"/>
  </si>
  <si>
    <t>商业配套公服</t>
    <phoneticPr fontId="231" type="noConversion"/>
  </si>
  <si>
    <t>溪翁庄</t>
    <phoneticPr fontId="231" type="noConversion"/>
  </si>
  <si>
    <t>出让底价建议：建议本项目出让底价不低于熟地总价74026.14万元。</t>
    <phoneticPr fontId="2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</si>
</sst>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323">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sz val="12"/>
      <color theme="1"/>
      <name val="黑体"/>
      <family val="3"/>
      <charset val="134"/>
    </font>
    <font>
      <sz val="9"/>
      <name val="宋体"/>
      <family val="2"/>
      <charset val="134"/>
      <scheme val="minor"/>
    </font>
    <font>
      <b/>
      <sz val="11"/>
      <color theme="1"/>
      <name val="黑体"/>
      <family val="3"/>
      <charset val="134"/>
    </font>
    <font>
      <sz val="11"/>
      <name val="宋体"/>
      <family val="3"/>
      <charset val="134"/>
      <scheme val="minor"/>
    </font>
    <font>
      <b/>
      <sz val="12"/>
      <color theme="1"/>
      <name val="黑体"/>
      <family val="3"/>
      <charset val="134"/>
    </font>
    <font>
      <sz val="12"/>
      <color rgb="FFFF0000"/>
      <name val="黑体"/>
      <family val="3"/>
      <charset val="134"/>
    </font>
    <font>
      <sz val="11"/>
      <color indexed="8"/>
      <name val="Arial Unicode MS"/>
      <family val="2"/>
      <charset val="134"/>
    </font>
    <font>
      <sz val="11"/>
      <color theme="1"/>
      <name val="Arial Unicode MS"/>
      <family val="2"/>
      <charset val="134"/>
    </font>
    <font>
      <sz val="11"/>
      <color rgb="FFFF0000"/>
      <name val="宋体"/>
      <family val="2"/>
      <charset val="134"/>
      <scheme val="minor"/>
    </font>
    <font>
      <sz val="14"/>
      <color theme="1"/>
      <name val="黑体"/>
      <family val="3"/>
      <charset val="134"/>
    </font>
    <font>
      <sz val="12"/>
      <color theme="1"/>
      <name val="宋体"/>
      <family val="2"/>
      <charset val="134"/>
      <scheme val="minor"/>
    </font>
    <font>
      <sz val="12"/>
      <name val="黑体"/>
      <family val="3"/>
      <charset val="134"/>
    </font>
    <font>
      <b/>
      <u/>
      <sz val="12"/>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0"/>
      <name val="黑体"/>
      <family val="3"/>
      <charset val="134"/>
    </font>
    <font>
      <b/>
      <sz val="10"/>
      <name val="Times New Roman"/>
      <family val="1"/>
    </font>
    <font>
      <b/>
      <sz val="10"/>
      <name val="黑体"/>
      <family val="3"/>
      <charset val="134"/>
    </font>
    <font>
      <sz val="12"/>
      <name val="Times New Roman"/>
      <family val="1"/>
    </font>
    <font>
      <b/>
      <sz val="11"/>
      <color theme="1"/>
      <name val="宋体"/>
      <family val="2"/>
      <charset val="134"/>
      <scheme val="minor"/>
    </font>
    <font>
      <b/>
      <sz val="11"/>
      <color rgb="FFFF0000"/>
      <name val="宋体"/>
      <family val="2"/>
      <charset val="134"/>
      <scheme val="minor"/>
    </font>
    <font>
      <b/>
      <sz val="12"/>
      <color theme="0" tint="-4.9989318521683403E-2"/>
      <name val="黑体"/>
      <family val="3"/>
      <charset val="134"/>
    </font>
    <font>
      <b/>
      <sz val="12"/>
      <color theme="9" tint="0.59999389629810485"/>
      <name val="黑体"/>
      <family val="3"/>
      <charset val="134"/>
    </font>
    <font>
      <b/>
      <sz val="11"/>
      <color theme="6" tint="0.39997558519241921"/>
      <name val="黑体"/>
      <family val="3"/>
      <charset val="134"/>
    </font>
    <font>
      <b/>
      <sz val="11"/>
      <color theme="6" tint="0.39997558519241921"/>
      <name val="宋体"/>
      <family val="2"/>
      <charset val="134"/>
      <scheme val="minor"/>
    </font>
    <font>
      <b/>
      <sz val="11"/>
      <color theme="5" tint="-0.249977111117893"/>
      <name val="宋体"/>
      <family val="2"/>
      <charset val="134"/>
      <scheme val="minor"/>
    </font>
    <font>
      <sz val="11"/>
      <color theme="9" tint="-0.249977111117893"/>
      <name val="宋体"/>
      <family val="3"/>
      <charset val="134"/>
    </font>
    <font>
      <sz val="20"/>
      <name val="黑体"/>
      <family val="3"/>
      <charset val="134"/>
    </font>
    <font>
      <b/>
      <sz val="12"/>
      <name val="黑体"/>
      <family val="3"/>
      <charset val="134"/>
    </font>
    <font>
      <sz val="14"/>
      <name val="黑体"/>
      <family val="3"/>
      <charset val="134"/>
    </font>
    <font>
      <b/>
      <sz val="15"/>
      <color indexed="56"/>
      <name val="仿宋_GB2312"/>
      <family val="3"/>
      <charset val="134"/>
    </font>
    <font>
      <b/>
      <sz val="13"/>
      <color indexed="56"/>
      <name val="仿宋_GB2312"/>
      <family val="3"/>
      <charset val="134"/>
    </font>
    <font>
      <b/>
      <sz val="11"/>
      <color indexed="56"/>
      <name val="仿宋_GB2312"/>
      <family val="3"/>
      <charset val="134"/>
    </font>
    <font>
      <b/>
      <sz val="18"/>
      <color indexed="56"/>
      <name val="宋体"/>
      <family val="3"/>
      <charset val="134"/>
    </font>
    <font>
      <sz val="12"/>
      <color indexed="20"/>
      <name val="仿宋_GB2312"/>
      <family val="3"/>
      <charset val="134"/>
    </font>
    <font>
      <sz val="12"/>
      <color indexed="17"/>
      <name val="仿宋_GB2312"/>
      <family val="3"/>
      <charset val="134"/>
    </font>
    <font>
      <b/>
      <sz val="12"/>
      <color indexed="52"/>
      <name val="仿宋_GB2312"/>
      <family val="3"/>
      <charset val="134"/>
    </font>
    <font>
      <b/>
      <sz val="12"/>
      <color indexed="9"/>
      <name val="仿宋_GB2312"/>
      <family val="3"/>
      <charset val="134"/>
    </font>
    <font>
      <i/>
      <sz val="12"/>
      <color indexed="23"/>
      <name val="仿宋_GB2312"/>
      <family val="3"/>
      <charset val="134"/>
    </font>
    <font>
      <sz val="12"/>
      <color indexed="10"/>
      <name val="仿宋_GB2312"/>
      <family val="3"/>
      <charset val="134"/>
    </font>
    <font>
      <sz val="12"/>
      <color indexed="52"/>
      <name val="仿宋_GB2312"/>
      <family val="3"/>
      <charset val="134"/>
    </font>
    <font>
      <sz val="12"/>
      <color indexed="60"/>
      <name val="仿宋_GB2312"/>
      <family val="3"/>
      <charset val="134"/>
    </font>
    <font>
      <b/>
      <sz val="12"/>
      <color indexed="63"/>
      <name val="仿宋_GB2312"/>
      <family val="3"/>
      <charset val="134"/>
    </font>
    <font>
      <sz val="12"/>
      <color indexed="62"/>
      <name val="仿宋_GB2312"/>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72">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3" fillId="0" borderId="0">
      <alignment vertical="center"/>
    </xf>
    <xf numFmtId="0" fontId="35" fillId="0" borderId="0">
      <alignment vertical="center"/>
    </xf>
    <xf numFmtId="0" fontId="35" fillId="0" borderId="0"/>
    <xf numFmtId="0" fontId="89" fillId="0" borderId="0"/>
    <xf numFmtId="0" fontId="309" fillId="0" borderId="154" applyNumberFormat="0" applyFill="0" applyAlignment="0" applyProtection="0">
      <alignment vertical="center"/>
    </xf>
    <xf numFmtId="0" fontId="309" fillId="0" borderId="154" applyNumberFormat="0" applyFill="0" applyAlignment="0" applyProtection="0">
      <alignment vertical="center"/>
    </xf>
    <xf numFmtId="0" fontId="310" fillId="0" borderId="155" applyNumberFormat="0" applyFill="0" applyAlignment="0" applyProtection="0">
      <alignment vertical="center"/>
    </xf>
    <xf numFmtId="0" fontId="310" fillId="0" borderId="155" applyNumberFormat="0" applyFill="0" applyAlignment="0" applyProtection="0">
      <alignment vertical="center"/>
    </xf>
    <xf numFmtId="0" fontId="311" fillId="0" borderId="156" applyNumberFormat="0" applyFill="0" applyAlignment="0" applyProtection="0">
      <alignment vertical="center"/>
    </xf>
    <xf numFmtId="0" fontId="311" fillId="0" borderId="156" applyNumberFormat="0" applyFill="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25" borderId="0" applyNumberFormat="0" applyBorder="0" applyAlignment="0" applyProtection="0">
      <alignment vertical="center"/>
    </xf>
    <xf numFmtId="0" fontId="313" fillId="25" borderId="0" applyNumberFormat="0" applyBorder="0" applyAlignment="0" applyProtection="0">
      <alignment vertical="center"/>
    </xf>
    <xf numFmtId="0" fontId="35" fillId="0" borderId="0"/>
    <xf numFmtId="0" fontId="35" fillId="0" borderId="0"/>
    <xf numFmtId="0" fontId="35" fillId="0" borderId="0"/>
    <xf numFmtId="0" fontId="35" fillId="0" borderId="0"/>
    <xf numFmtId="0" fontId="84" fillId="0" borderId="0">
      <alignment vertical="center"/>
    </xf>
    <xf numFmtId="0" fontId="84" fillId="0" borderId="0">
      <alignment vertical="center"/>
    </xf>
    <xf numFmtId="0" fontId="35" fillId="0" borderId="0"/>
    <xf numFmtId="0" fontId="84" fillId="0" borderId="0">
      <alignment vertical="center"/>
    </xf>
    <xf numFmtId="0" fontId="35" fillId="0" borderId="0"/>
    <xf numFmtId="0" fontId="35" fillId="0" borderId="0"/>
    <xf numFmtId="0" fontId="35" fillId="0" borderId="0"/>
    <xf numFmtId="0" fontId="35" fillId="0" borderId="0"/>
    <xf numFmtId="0" fontId="35" fillId="0" borderId="0"/>
    <xf numFmtId="0" fontId="314" fillId="26" borderId="0" applyNumberFormat="0" applyBorder="0" applyAlignment="0" applyProtection="0">
      <alignment vertical="center"/>
    </xf>
    <xf numFmtId="0" fontId="314" fillId="26" borderId="0" applyNumberFormat="0" applyBorder="0" applyAlignment="0" applyProtection="0">
      <alignment vertical="center"/>
    </xf>
    <xf numFmtId="0" fontId="49" fillId="0" borderId="157" applyNumberFormat="0" applyFill="0" applyAlignment="0" applyProtection="0">
      <alignment vertical="center"/>
    </xf>
    <xf numFmtId="0" fontId="49" fillId="0" borderId="157" applyNumberFormat="0" applyFill="0" applyAlignment="0" applyProtection="0">
      <alignment vertical="center"/>
    </xf>
    <xf numFmtId="0" fontId="315" fillId="27" borderId="158" applyNumberFormat="0" applyAlignment="0" applyProtection="0">
      <alignment vertical="center"/>
    </xf>
    <xf numFmtId="0" fontId="315" fillId="27" borderId="158" applyNumberFormat="0" applyAlignment="0" applyProtection="0">
      <alignment vertical="center"/>
    </xf>
    <xf numFmtId="0" fontId="316" fillId="28" borderId="159" applyNumberFormat="0" applyAlignment="0" applyProtection="0">
      <alignment vertical="center"/>
    </xf>
    <xf numFmtId="0" fontId="316" fillId="28" borderId="159" applyNumberFormat="0" applyAlignment="0" applyProtection="0">
      <alignment vertical="center"/>
    </xf>
    <xf numFmtId="0" fontId="317" fillId="0" borderId="0" applyNumberFormat="0" applyFill="0" applyBorder="0" applyAlignment="0" applyProtection="0">
      <alignment vertical="center"/>
    </xf>
    <xf numFmtId="0" fontId="317"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9" fillId="0" borderId="160" applyNumberFormat="0" applyFill="0" applyAlignment="0" applyProtection="0">
      <alignment vertical="center"/>
    </xf>
    <xf numFmtId="0" fontId="319" fillId="0" borderId="160" applyNumberFormat="0" applyFill="0" applyAlignment="0" applyProtection="0">
      <alignment vertical="center"/>
    </xf>
    <xf numFmtId="0" fontId="320" fillId="29" borderId="0" applyNumberFormat="0" applyBorder="0" applyAlignment="0" applyProtection="0">
      <alignment vertical="center"/>
    </xf>
    <xf numFmtId="0" fontId="320" fillId="29" borderId="0" applyNumberFormat="0" applyBorder="0" applyAlignment="0" applyProtection="0">
      <alignment vertical="center"/>
    </xf>
    <xf numFmtId="0" fontId="321" fillId="27" borderId="161" applyNumberFormat="0" applyAlignment="0" applyProtection="0">
      <alignment vertical="center"/>
    </xf>
    <xf numFmtId="0" fontId="321" fillId="27" borderId="161" applyNumberFormat="0" applyAlignment="0" applyProtection="0">
      <alignment vertical="center"/>
    </xf>
    <xf numFmtId="0" fontId="322" fillId="30" borderId="158" applyNumberFormat="0" applyAlignment="0" applyProtection="0">
      <alignment vertical="center"/>
    </xf>
    <xf numFmtId="0" fontId="322" fillId="30" borderId="158" applyNumberForma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cellStyleXfs>
  <cellXfs count="3683">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109" fillId="17" borderId="83" xfId="0" applyFont="1" applyFill="1" applyBorder="1" applyAlignment="1" applyProtection="1">
      <alignment horizontal="center" vertical="center"/>
    </xf>
    <xf numFmtId="0" fontId="148" fillId="0" borderId="0" xfId="1">
      <alignment vertical="center"/>
    </xf>
    <xf numFmtId="0" fontId="148" fillId="0" borderId="0" xfId="1" applyAlignment="1">
      <alignment horizontal="center" vertical="center"/>
    </xf>
    <xf numFmtId="0" fontId="277" fillId="7" borderId="2" xfId="1" applyFont="1" applyFill="1" applyBorder="1" applyAlignment="1">
      <alignment horizontal="center" vertical="center" wrapText="1"/>
    </xf>
    <xf numFmtId="0" fontId="278" fillId="9"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8" fillId="15" borderId="2" xfId="1" applyFill="1" applyBorder="1" applyAlignment="1">
      <alignment horizontal="center" vertical="center"/>
    </xf>
    <xf numFmtId="0" fontId="148" fillId="9" borderId="2" xfId="1" applyFill="1" applyBorder="1" applyAlignment="1">
      <alignment horizontal="center" vertical="center"/>
    </xf>
    <xf numFmtId="0" fontId="148" fillId="6" borderId="0" xfId="1" applyFill="1">
      <alignment vertical="center"/>
    </xf>
    <xf numFmtId="1" fontId="148" fillId="0" borderId="0" xfId="1" applyNumberFormat="1">
      <alignment vertical="center"/>
    </xf>
    <xf numFmtId="0" fontId="148" fillId="0" borderId="0" xfId="1" applyFont="1" applyAlignment="1">
      <alignment horizontal="center" vertical="center"/>
    </xf>
    <xf numFmtId="0" fontId="281" fillId="15" borderId="2" xfId="1" applyFont="1" applyFill="1" applyBorder="1" applyAlignment="1">
      <alignment horizontal="center" vertical="center"/>
    </xf>
    <xf numFmtId="0" fontId="150" fillId="15" borderId="2" xfId="1" applyFont="1" applyFill="1" applyBorder="1" applyAlignment="1">
      <alignment horizontal="center" vertical="center"/>
    </xf>
    <xf numFmtId="0" fontId="278" fillId="0" borderId="2" xfId="1" applyFont="1" applyBorder="1" applyAlignment="1">
      <alignment horizontal="center" vertical="center" wrapText="1"/>
    </xf>
    <xf numFmtId="0" fontId="278" fillId="9" borderId="5" xfId="1" applyFont="1" applyFill="1" applyBorder="1" applyAlignment="1">
      <alignment horizontal="center" vertical="center" wrapText="1"/>
    </xf>
    <xf numFmtId="0" fontId="148" fillId="15" borderId="5" xfId="1" applyFill="1" applyBorder="1" applyAlignment="1">
      <alignment horizontal="center" vertical="center"/>
    </xf>
    <xf numFmtId="0" fontId="277" fillId="9" borderId="2" xfId="1" applyFont="1" applyFill="1" applyBorder="1" applyAlignment="1">
      <alignment horizontal="center" vertical="center" wrapText="1"/>
    </xf>
    <xf numFmtId="0" fontId="277" fillId="9" borderId="0" xfId="1" applyFont="1" applyFill="1" applyBorder="1" applyAlignment="1">
      <alignment horizontal="center" vertical="center" wrapText="1"/>
    </xf>
    <xf numFmtId="0" fontId="148" fillId="15" borderId="0" xfId="1" applyFill="1" applyBorder="1" applyAlignment="1">
      <alignment horizontal="center" vertical="center"/>
    </xf>
    <xf numFmtId="0" fontId="148" fillId="9" borderId="0" xfId="1" applyFill="1" applyBorder="1" applyAlignment="1">
      <alignment horizontal="center" vertical="center"/>
    </xf>
    <xf numFmtId="0" fontId="280" fillId="18" borderId="0" xfId="1" applyFont="1" applyFill="1" applyBorder="1" applyAlignment="1">
      <alignment horizontal="center" vertical="center" wrapText="1"/>
    </xf>
    <xf numFmtId="0" fontId="282" fillId="18" borderId="2" xfId="1" applyFont="1" applyFill="1" applyBorder="1" applyAlignment="1">
      <alignment horizontal="center" vertical="center" wrapText="1"/>
    </xf>
    <xf numFmtId="0" fontId="280" fillId="7" borderId="0" xfId="1" applyFont="1" applyFill="1" applyBorder="1" applyAlignment="1">
      <alignment horizontal="center" vertical="center" wrapText="1"/>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0" fillId="18" borderId="5" xfId="1" applyFont="1" applyFill="1" applyBorder="1" applyAlignment="1">
      <alignment horizontal="center" vertical="center" wrapText="1"/>
    </xf>
    <xf numFmtId="0" fontId="149" fillId="19" borderId="2" xfId="1" applyFont="1" applyFill="1" applyBorder="1" applyAlignment="1">
      <alignment horizontal="center" vertical="center"/>
    </xf>
    <xf numFmtId="0" fontId="149" fillId="14" borderId="2" xfId="1" applyFont="1" applyFill="1" applyBorder="1" applyAlignment="1">
      <alignment horizontal="center" vertical="center"/>
    </xf>
    <xf numFmtId="0" fontId="149" fillId="18" borderId="2" xfId="1" applyFont="1" applyFill="1" applyBorder="1" applyAlignment="1">
      <alignment horizontal="center" vertical="center"/>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7" fillId="20" borderId="0" xfId="1" applyFont="1" applyFill="1" applyBorder="1" applyAlignment="1">
      <alignment horizontal="center" vertical="center" wrapText="1"/>
    </xf>
    <xf numFmtId="0" fontId="278" fillId="20" borderId="21" xfId="1" applyFont="1" applyFill="1" applyBorder="1" applyAlignment="1">
      <alignment horizontal="center" vertical="center" wrapText="1"/>
    </xf>
    <xf numFmtId="0" fontId="278" fillId="20" borderId="2" xfId="1" applyFont="1" applyFill="1" applyBorder="1" applyAlignment="1">
      <alignment horizontal="center" vertical="center" wrapText="1"/>
    </xf>
    <xf numFmtId="0" fontId="277" fillId="7" borderId="0" xfId="1" applyFont="1" applyFill="1" applyBorder="1" applyAlignment="1">
      <alignment horizontal="center"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77" fillId="20" borderId="5" xfId="1" applyFont="1" applyFill="1" applyBorder="1" applyAlignment="1">
      <alignment horizontal="center" vertical="center" wrapText="1"/>
    </xf>
    <xf numFmtId="0" fontId="148" fillId="6" borderId="2" xfId="1" applyFill="1" applyBorder="1" applyAlignment="1">
      <alignment horizontal="center" vertical="center"/>
    </xf>
    <xf numFmtId="0" fontId="148" fillId="20" borderId="2" xfId="1" applyFill="1" applyBorder="1" applyAlignment="1">
      <alignment horizontal="center" vertical="center"/>
    </xf>
    <xf numFmtId="0" fontId="283" fillId="0" borderId="18" xfId="1" applyFont="1" applyFill="1" applyBorder="1" applyAlignment="1">
      <alignment horizontal="center" vertical="center" wrapText="1"/>
    </xf>
    <xf numFmtId="0" fontId="283" fillId="0" borderId="0" xfId="1" applyFont="1" applyFill="1" applyBorder="1" applyAlignment="1">
      <alignment horizontal="center" vertical="center" wrapText="1"/>
    </xf>
    <xf numFmtId="0" fontId="148" fillId="20" borderId="0" xfId="1" applyFill="1" applyAlignment="1">
      <alignment horizontal="center" vertical="center"/>
    </xf>
    <xf numFmtId="0" fontId="148" fillId="20" borderId="2" xfId="1" applyFont="1" applyFill="1" applyBorder="1" applyAlignment="1">
      <alignment horizontal="center" vertical="center"/>
    </xf>
    <xf numFmtId="177" fontId="284" fillId="0" borderId="2" xfId="0" applyNumberFormat="1" applyFont="1" applyBorder="1" applyAlignment="1" applyProtection="1">
      <alignment horizontal="center" vertical="center" wrapText="1"/>
      <protection locked="0"/>
    </xf>
    <xf numFmtId="0" fontId="285" fillId="0" borderId="2" xfId="1" applyFont="1" applyBorder="1" applyAlignment="1" applyProtection="1">
      <alignment horizontal="center" vertical="center" wrapText="1"/>
      <protection locked="0"/>
    </xf>
    <xf numFmtId="177" fontId="285" fillId="0" borderId="2" xfId="1" applyNumberFormat="1" applyFont="1" applyBorder="1" applyAlignment="1" applyProtection="1">
      <alignment horizontal="center" vertical="center" wrapText="1"/>
      <protection locked="0"/>
    </xf>
    <xf numFmtId="0" fontId="285" fillId="0" borderId="2" xfId="1" applyFont="1" applyFill="1" applyBorder="1" applyAlignment="1" applyProtection="1">
      <alignment horizontal="center" vertical="center" wrapText="1"/>
      <protection locked="0"/>
    </xf>
    <xf numFmtId="0" fontId="0" fillId="14" borderId="2" xfId="0" applyFill="1" applyBorder="1" applyAlignment="1">
      <alignment horizontal="center" vertical="center"/>
    </xf>
    <xf numFmtId="0" fontId="148" fillId="14" borderId="2" xfId="0" applyFont="1" applyFill="1" applyBorder="1" applyAlignment="1">
      <alignment horizontal="center" vertical="center"/>
    </xf>
    <xf numFmtId="0" fontId="148" fillId="9" borderId="2" xfId="0" applyFont="1" applyFill="1" applyBorder="1" applyAlignment="1">
      <alignment horizontal="center" vertical="center"/>
    </xf>
    <xf numFmtId="0" fontId="148" fillId="6" borderId="2" xfId="0" applyFont="1" applyFill="1" applyBorder="1" applyAlignment="1">
      <alignment horizontal="center" vertical="center"/>
    </xf>
    <xf numFmtId="0" fontId="148" fillId="21" borderId="2" xfId="0" applyFont="1" applyFill="1" applyBorder="1" applyAlignment="1">
      <alignment horizontal="center" vertical="center"/>
    </xf>
    <xf numFmtId="0" fontId="148" fillId="0" borderId="0" xfId="0" applyFont="1">
      <alignment vertical="center"/>
    </xf>
    <xf numFmtId="0" fontId="281" fillId="9" borderId="2" xfId="0" applyFont="1" applyFill="1" applyBorder="1" applyAlignment="1">
      <alignment horizontal="center" vertical="center"/>
    </xf>
    <xf numFmtId="9" fontId="281" fillId="6" borderId="2" xfId="0" applyNumberFormat="1" applyFont="1" applyFill="1" applyBorder="1" applyAlignment="1">
      <alignment horizontal="center" vertical="center"/>
    </xf>
    <xf numFmtId="0" fontId="281" fillId="21" borderId="2" xfId="0" applyFont="1" applyFill="1" applyBorder="1" applyAlignment="1">
      <alignment horizontal="center" vertical="center"/>
    </xf>
    <xf numFmtId="0" fontId="281" fillId="0" borderId="0" xfId="0" applyFont="1">
      <alignment vertical="center"/>
    </xf>
    <xf numFmtId="10" fontId="281" fillId="0" borderId="0" xfId="0" applyNumberFormat="1" applyFont="1">
      <alignment vertical="center"/>
    </xf>
    <xf numFmtId="0" fontId="3" fillId="0" borderId="0" xfId="16" applyAlignment="1">
      <alignment vertical="center" wrapText="1"/>
    </xf>
    <xf numFmtId="0" fontId="278" fillId="0" borderId="2" xfId="16" applyFont="1" applyBorder="1" applyAlignment="1">
      <alignment horizontal="center" vertical="center" wrapText="1"/>
    </xf>
    <xf numFmtId="0" fontId="278" fillId="0" borderId="0" xfId="16" applyFont="1" applyBorder="1" applyAlignment="1">
      <alignment horizontal="center" vertical="center" wrapText="1"/>
    </xf>
    <xf numFmtId="195"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6" fillId="0" borderId="0" xfId="16" applyFont="1" applyAlignment="1">
      <alignment vertical="center" wrapText="1"/>
    </xf>
    <xf numFmtId="0" fontId="183" fillId="0" borderId="0" xfId="16" applyFont="1" applyAlignment="1">
      <alignment vertical="center" wrapText="1"/>
    </xf>
    <xf numFmtId="0" fontId="288" fillId="0" borderId="0" xfId="16" applyFont="1" applyAlignment="1">
      <alignmen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vertical="center" wrapText="1"/>
    </xf>
    <xf numFmtId="0" fontId="150" fillId="0" borderId="0" xfId="16" applyFont="1" applyAlignment="1">
      <alignment vertical="center" wrapText="1"/>
    </xf>
    <xf numFmtId="0" fontId="293" fillId="0" borderId="0" xfId="16" applyFont="1" applyAlignment="1">
      <alignment vertical="center" wrapText="1"/>
    </xf>
    <xf numFmtId="178" fontId="46" fillId="0" borderId="0" xfId="17" applyNumberFormat="1" applyFont="1" applyAlignment="1">
      <alignment horizontal="center" vertical="center" wrapText="1"/>
    </xf>
    <xf numFmtId="178" fontId="224" fillId="0" borderId="2" xfId="17" applyNumberFormat="1" applyFont="1" applyFill="1" applyBorder="1" applyAlignment="1">
      <alignment horizontal="center" vertical="center" wrapText="1"/>
    </xf>
    <xf numFmtId="178" fontId="295" fillId="0" borderId="0" xfId="17" applyNumberFormat="1" applyFont="1" applyFill="1" applyAlignment="1">
      <alignment horizontal="center" vertical="center" wrapText="1"/>
    </xf>
    <xf numFmtId="178" fontId="46" fillId="0" borderId="2" xfId="17" applyNumberFormat="1" applyFont="1" applyFill="1" applyBorder="1" applyAlignment="1">
      <alignment horizontal="center" vertical="center" wrapText="1"/>
    </xf>
    <xf numFmtId="178" fontId="46" fillId="0" borderId="0" xfId="17" applyNumberFormat="1" applyFont="1" applyFill="1" applyAlignment="1">
      <alignment horizontal="center" vertical="center" wrapText="1"/>
    </xf>
    <xf numFmtId="178" fontId="295" fillId="0" borderId="2" xfId="17" applyNumberFormat="1" applyFont="1" applyFill="1" applyBorder="1" applyAlignment="1">
      <alignment horizontal="center" vertical="center" wrapText="1"/>
    </xf>
    <xf numFmtId="178" fontId="295" fillId="0" borderId="0" xfId="17" applyNumberFormat="1" applyFont="1" applyAlignment="1">
      <alignment horizontal="center" vertical="center" wrapText="1"/>
    </xf>
    <xf numFmtId="9" fontId="46" fillId="0" borderId="2" xfId="17" applyNumberFormat="1" applyFont="1" applyFill="1" applyBorder="1" applyAlignment="1">
      <alignment horizontal="center" vertical="center" wrapText="1"/>
    </xf>
    <xf numFmtId="178" fontId="46" fillId="22" borderId="2" xfId="17" applyNumberFormat="1" applyFont="1" applyFill="1" applyBorder="1" applyAlignment="1">
      <alignment vertical="center" wrapText="1"/>
    </xf>
    <xf numFmtId="178" fontId="46" fillId="0" borderId="8" xfId="17" applyNumberFormat="1" applyFont="1" applyFill="1" applyBorder="1" applyAlignment="1">
      <alignment vertical="center" wrapText="1"/>
    </xf>
    <xf numFmtId="178" fontId="46" fillId="0" borderId="9" xfId="17" applyNumberFormat="1" applyFont="1" applyFill="1" applyBorder="1" applyAlignment="1">
      <alignment vertical="center" wrapText="1"/>
    </xf>
    <xf numFmtId="178" fontId="295" fillId="20" borderId="2" xfId="17" applyNumberFormat="1" applyFont="1" applyFill="1" applyBorder="1" applyAlignment="1">
      <alignment horizontal="center" vertical="center" wrapText="1"/>
    </xf>
    <xf numFmtId="178" fontId="46" fillId="23" borderId="2" xfId="17" applyNumberFormat="1" applyFont="1" applyFill="1" applyBorder="1" applyAlignment="1">
      <alignment horizontal="center" vertical="center" wrapText="1"/>
    </xf>
    <xf numFmtId="178" fontId="46" fillId="23" borderId="2" xfId="17" applyNumberFormat="1" applyFont="1" applyFill="1" applyBorder="1" applyAlignment="1">
      <alignment vertical="center" wrapText="1"/>
    </xf>
    <xf numFmtId="180" fontId="46" fillId="23" borderId="2" xfId="17" applyNumberFormat="1" applyFont="1" applyFill="1" applyBorder="1" applyAlignment="1">
      <alignment horizontal="center" vertical="center" wrapText="1"/>
    </xf>
    <xf numFmtId="180" fontId="46" fillId="23" borderId="2" xfId="17" applyNumberFormat="1" applyFont="1" applyFill="1" applyBorder="1" applyAlignment="1">
      <alignment vertical="center" wrapText="1"/>
    </xf>
    <xf numFmtId="193" fontId="46" fillId="23" borderId="2" xfId="17" applyNumberFormat="1" applyFont="1" applyFill="1" applyBorder="1" applyAlignment="1">
      <alignment horizontal="center" vertical="center" wrapText="1"/>
    </xf>
    <xf numFmtId="193" fontId="46" fillId="23" borderId="2" xfId="17" applyNumberFormat="1" applyFont="1" applyFill="1" applyBorder="1" applyAlignment="1">
      <alignment vertical="center" wrapText="1"/>
    </xf>
    <xf numFmtId="178" fontId="46" fillId="24" borderId="2" xfId="17" applyNumberFormat="1" applyFont="1" applyFill="1" applyBorder="1" applyAlignment="1">
      <alignment horizontal="center" vertical="center" wrapText="1"/>
    </xf>
    <xf numFmtId="178" fontId="46" fillId="24" borderId="2" xfId="17" applyNumberFormat="1" applyFont="1" applyFill="1" applyBorder="1" applyAlignment="1">
      <alignment vertical="center" wrapText="1"/>
    </xf>
    <xf numFmtId="10" fontId="46" fillId="24" borderId="2" xfId="17" applyNumberFormat="1" applyFont="1" applyFill="1" applyBorder="1" applyAlignment="1">
      <alignment horizontal="center" vertical="center" wrapText="1"/>
    </xf>
    <xf numFmtId="178" fontId="46" fillId="10" borderId="2" xfId="17" applyNumberFormat="1" applyFont="1" applyFill="1" applyBorder="1" applyAlignment="1">
      <alignment horizontal="center" vertical="center" wrapText="1"/>
    </xf>
    <xf numFmtId="178" fontId="46" fillId="10" borderId="2" xfId="17" applyNumberFormat="1" applyFont="1" applyFill="1" applyBorder="1" applyAlignment="1">
      <alignment vertical="center" wrapText="1"/>
    </xf>
    <xf numFmtId="178" fontId="130" fillId="0" borderId="0" xfId="17" applyNumberFormat="1" applyFont="1" applyAlignment="1">
      <alignment horizontal="center" vertical="center" wrapText="1"/>
    </xf>
    <xf numFmtId="0" fontId="149" fillId="14" borderId="2" xfId="16" applyFont="1" applyFill="1" applyBorder="1" applyAlignment="1">
      <alignment horizontal="center" vertical="center" wrapText="1"/>
    </xf>
    <xf numFmtId="0" fontId="299" fillId="14" borderId="2" xfId="16" applyFont="1" applyFill="1" applyBorder="1" applyAlignment="1">
      <alignment horizontal="center" vertical="center" wrapText="1"/>
    </xf>
    <xf numFmtId="0" fontId="300" fillId="14" borderId="2" xfId="1" applyFont="1" applyFill="1" applyBorder="1" applyAlignment="1">
      <alignment horizontal="center" vertical="center" wrapText="1"/>
    </xf>
    <xf numFmtId="0" fontId="298" fillId="14" borderId="2" xfId="16" applyFont="1" applyFill="1" applyBorder="1" applyAlignment="1">
      <alignment horizontal="center" vertical="center" wrapText="1"/>
    </xf>
    <xf numFmtId="0" fontId="298" fillId="0" borderId="0" xfId="16" applyFont="1" applyAlignment="1">
      <alignment vertical="center" wrapText="1"/>
    </xf>
    <xf numFmtId="0" fontId="301" fillId="14" borderId="2" xfId="1" applyFont="1" applyFill="1" applyBorder="1" applyAlignment="1">
      <alignment horizontal="center" vertical="center" wrapText="1"/>
    </xf>
    <xf numFmtId="0" fontId="302" fillId="14" borderId="2" xfId="1" applyFont="1" applyFill="1" applyBorder="1" applyAlignment="1">
      <alignment horizontal="center" vertical="center" wrapText="1"/>
    </xf>
    <xf numFmtId="0" fontId="303" fillId="14" borderId="2" xfId="16" applyFont="1" applyFill="1" applyBorder="1" applyAlignment="1">
      <alignment horizontal="center" vertical="center" wrapText="1"/>
    </xf>
    <xf numFmtId="0" fontId="302" fillId="16" borderId="2" xfId="1" applyFont="1" applyFill="1" applyBorder="1" applyAlignment="1">
      <alignment horizontal="center" vertical="center" wrapText="1"/>
    </xf>
    <xf numFmtId="0" fontId="303" fillId="16" borderId="2" xfId="16" applyFont="1" applyFill="1" applyBorder="1" applyAlignment="1">
      <alignment horizontal="center" vertical="center" wrapText="1"/>
    </xf>
    <xf numFmtId="0" fontId="304" fillId="14" borderId="2" xfId="16" applyFont="1" applyFill="1" applyBorder="1" applyAlignment="1">
      <alignment horizontal="center" vertical="center" wrapText="1"/>
    </xf>
    <xf numFmtId="0" fontId="3" fillId="0" borderId="2" xfId="16" applyBorder="1" applyAlignment="1">
      <alignment vertical="center" wrapText="1"/>
    </xf>
    <xf numFmtId="0" fontId="286" fillId="0" borderId="2" xfId="16" applyFont="1" applyBorder="1" applyAlignment="1">
      <alignment vertical="center" wrapText="1"/>
    </xf>
    <xf numFmtId="10" fontId="78" fillId="5" borderId="2" xfId="0" applyNumberFormat="1" applyFont="1" applyFill="1" applyBorder="1" applyAlignment="1" applyProtection="1">
      <alignment horizontal="right" vertical="center"/>
    </xf>
    <xf numFmtId="9" fontId="281" fillId="0" borderId="0" xfId="0" applyNumberFormat="1" applyFont="1">
      <alignment vertical="center"/>
    </xf>
    <xf numFmtId="0" fontId="148" fillId="0" borderId="0" xfId="0" applyFont="1" applyFill="1" applyBorder="1" applyAlignment="1">
      <alignment vertical="center" wrapText="1"/>
    </xf>
    <xf numFmtId="9" fontId="0" fillId="0" borderId="0" xfId="0" applyNumberFormat="1">
      <alignment vertical="center"/>
    </xf>
    <xf numFmtId="0" fontId="149" fillId="0" borderId="2" xfId="16" applyFont="1" applyBorder="1" applyAlignment="1">
      <alignment horizontal="center" vertical="center" wrapText="1"/>
    </xf>
    <xf numFmtId="0" fontId="2" fillId="0" borderId="0" xfId="16" applyFont="1" applyAlignment="1">
      <alignment horizontal="center" vertical="center" wrapText="1"/>
    </xf>
    <xf numFmtId="0" fontId="3" fillId="0" borderId="0" xfId="16" applyAlignment="1">
      <alignment horizontal="center" vertical="center" wrapText="1"/>
    </xf>
    <xf numFmtId="178" fontId="130" fillId="23" borderId="2" xfId="17" applyNumberFormat="1" applyFont="1" applyFill="1" applyBorder="1" applyAlignment="1">
      <alignment horizontal="center" vertical="center" wrapText="1"/>
    </xf>
    <xf numFmtId="49" fontId="46" fillId="10" borderId="2" xfId="17" applyNumberFormat="1" applyFont="1" applyFill="1" applyBorder="1" applyAlignment="1">
      <alignment horizontal="center" vertical="center" wrapText="1"/>
    </xf>
    <xf numFmtId="10" fontId="46" fillId="10" borderId="2" xfId="17" applyNumberFormat="1" applyFont="1" applyFill="1" applyBorder="1" applyAlignment="1">
      <alignment horizontal="center" vertical="center" wrapText="1"/>
    </xf>
    <xf numFmtId="14" fontId="0" fillId="0" borderId="0" xfId="0" applyNumberFormat="1">
      <alignment vertical="center"/>
    </xf>
    <xf numFmtId="0" fontId="84" fillId="0" borderId="59" xfId="0" applyNumberFormat="1" applyFont="1" applyFill="1" applyBorder="1" applyAlignment="1" applyProtection="1">
      <alignment horizontal="center" vertical="center" wrapText="1"/>
      <protection locked="0"/>
    </xf>
    <xf numFmtId="49" fontId="84" fillId="2" borderId="42" xfId="0" applyNumberFormat="1" applyFont="1" applyFill="1" applyBorder="1" applyAlignment="1" applyProtection="1">
      <alignment horizontal="center" vertical="center" wrapText="1"/>
      <protection locked="0"/>
    </xf>
    <xf numFmtId="0" fontId="1" fillId="0" borderId="0" xfId="16" applyFont="1" applyAlignment="1">
      <alignment vertical="center" wrapText="1"/>
    </xf>
    <xf numFmtId="0" fontId="0" fillId="0" borderId="0" xfId="6" applyFont="1" applyFill="1" applyBorder="1" applyAlignment="1">
      <alignment vertical="center" wrapText="1"/>
    </xf>
    <xf numFmtId="0" fontId="0" fillId="0" borderId="0" xfId="6" applyFont="1" applyFill="1" applyAlignment="1">
      <alignment vertical="center" wrapText="1"/>
    </xf>
    <xf numFmtId="185" fontId="307" fillId="0" borderId="2" xfId="6" applyNumberFormat="1"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7" fillId="3" borderId="2" xfId="6" applyFont="1" applyFill="1" applyBorder="1" applyAlignment="1">
      <alignment horizontal="center" vertical="center" wrapText="1"/>
    </xf>
    <xf numFmtId="177" fontId="307" fillId="0" borderId="2" xfId="6" applyNumberFormat="1" applyFont="1" applyFill="1" applyBorder="1" applyAlignment="1">
      <alignment horizontal="center" vertical="center" wrapText="1"/>
    </xf>
    <xf numFmtId="0" fontId="308" fillId="0" borderId="2" xfId="18" applyFont="1" applyFill="1" applyBorder="1" applyAlignment="1" applyProtection="1">
      <alignment horizontal="center" vertical="center" wrapText="1"/>
      <protection locked="0"/>
    </xf>
    <xf numFmtId="186" fontId="308" fillId="0" borderId="2" xfId="18" applyNumberFormat="1" applyFont="1" applyFill="1" applyBorder="1" applyAlignment="1" applyProtection="1">
      <alignment horizontal="center" vertical="center" wrapText="1"/>
      <protection locked="0"/>
    </xf>
    <xf numFmtId="0" fontId="308" fillId="8" borderId="2" xfId="18" applyFont="1" applyFill="1" applyBorder="1" applyAlignment="1" applyProtection="1">
      <alignment horizontal="center" vertical="center" wrapText="1"/>
      <protection locked="0"/>
    </xf>
    <xf numFmtId="185" fontId="308" fillId="0" borderId="2" xfId="18" applyNumberFormat="1" applyFont="1" applyFill="1" applyBorder="1" applyAlignment="1" applyProtection="1">
      <alignment horizontal="center" vertical="center" wrapText="1"/>
      <protection locked="0"/>
    </xf>
    <xf numFmtId="0" fontId="308" fillId="0" borderId="0" xfId="6" applyFont="1" applyFill="1" applyBorder="1" applyAlignment="1">
      <alignment vertical="center" wrapText="1"/>
    </xf>
    <xf numFmtId="0" fontId="308" fillId="0" borderId="0" xfId="6" applyFont="1" applyFill="1" applyAlignment="1">
      <alignment vertical="center" wrapText="1"/>
    </xf>
    <xf numFmtId="0" fontId="0" fillId="0" borderId="0" xfId="6" applyFont="1" applyFill="1" applyBorder="1" applyAlignment="1">
      <alignment horizontal="left" vertical="center" wrapText="1"/>
    </xf>
    <xf numFmtId="185" fontId="0" fillId="0" borderId="0" xfId="6" applyNumberFormat="1" applyFont="1" applyFill="1" applyBorder="1" applyAlignment="1">
      <alignment vertical="center" wrapText="1"/>
    </xf>
    <xf numFmtId="177" fontId="0" fillId="0" borderId="0" xfId="6" applyNumberFormat="1" applyFont="1" applyFill="1" applyBorder="1" applyAlignment="1">
      <alignment horizontal="center" vertical="center" wrapText="1"/>
    </xf>
    <xf numFmtId="177" fontId="0" fillId="0" borderId="0" xfId="6" applyNumberFormat="1" applyFont="1" applyFill="1" applyBorder="1" applyAlignment="1">
      <alignment vertical="center" wrapText="1"/>
    </xf>
    <xf numFmtId="0" fontId="0" fillId="0" borderId="0" xfId="6" applyFont="1" applyFill="1" applyAlignment="1">
      <alignment horizontal="left" vertical="center" wrapText="1"/>
    </xf>
    <xf numFmtId="185" fontId="0" fillId="0" borderId="0" xfId="6" applyNumberFormat="1" applyFont="1" applyFill="1" applyAlignment="1">
      <alignment vertical="center" wrapText="1"/>
    </xf>
    <xf numFmtId="177" fontId="0" fillId="0" borderId="0" xfId="6" applyNumberFormat="1" applyFont="1" applyFill="1" applyAlignment="1">
      <alignment horizontal="center" vertical="center" wrapText="1"/>
    </xf>
    <xf numFmtId="177" fontId="0" fillId="0" borderId="0" xfId="6" applyNumberFormat="1" applyFont="1" applyFill="1" applyAlignment="1">
      <alignment vertical="center" wrapText="1"/>
    </xf>
    <xf numFmtId="181" fontId="79" fillId="0" borderId="2" xfId="0" applyNumberFormat="1" applyFont="1" applyBorder="1" applyAlignment="1" applyProtection="1">
      <alignment horizontal="center" vertical="center" wrapText="1"/>
      <protection locked="0"/>
    </xf>
    <xf numFmtId="0" fontId="161" fillId="6" borderId="2" xfId="0" applyFont="1" applyFill="1" applyBorder="1" applyAlignment="1" applyProtection="1">
      <alignment horizontal="center" vertical="center"/>
    </xf>
    <xf numFmtId="182" fontId="79" fillId="9" borderId="12" xfId="0" applyNumberFormat="1" applyFont="1" applyFill="1" applyBorder="1" applyAlignment="1" applyProtection="1">
      <alignment horizontal="center" vertical="center"/>
      <protection locked="0"/>
    </xf>
    <xf numFmtId="182" fontId="79" fillId="9" borderId="51" xfId="0" applyNumberFormat="1" applyFont="1" applyFill="1" applyBorder="1" applyAlignment="1" applyProtection="1">
      <alignment horizontal="center" vertical="center"/>
      <protection locked="0"/>
    </xf>
    <xf numFmtId="49" fontId="89" fillId="9" borderId="2" xfId="10" applyNumberFormat="1" applyFont="1" applyFill="1" applyBorder="1" applyAlignment="1" applyProtection="1">
      <alignment horizontal="center" vertical="center" wrapText="1"/>
    </xf>
    <xf numFmtId="185" fontId="155" fillId="9" borderId="0" xfId="10" applyNumberFormat="1" applyFont="1" applyFill="1" applyAlignment="1">
      <alignment horizontal="center" vertical="center"/>
    </xf>
    <xf numFmtId="0" fontId="160" fillId="9" borderId="122" xfId="10" applyFont="1" applyFill="1" applyBorder="1" applyAlignment="1">
      <alignment horizontal="center" vertical="center"/>
    </xf>
    <xf numFmtId="0" fontId="239" fillId="9" borderId="124" xfId="10" applyFont="1" applyFill="1" applyBorder="1" applyAlignment="1" applyProtection="1">
      <alignment horizontal="center" vertical="center" wrapText="1"/>
    </xf>
    <xf numFmtId="0" fontId="239" fillId="9" borderId="128" xfId="10" applyFont="1" applyFill="1" applyBorder="1" applyAlignment="1" applyProtection="1">
      <alignment horizontal="center" vertical="center" wrapText="1"/>
    </xf>
    <xf numFmtId="0" fontId="155" fillId="9" borderId="0" xfId="10" applyFont="1" applyFill="1">
      <alignment vertical="center"/>
    </xf>
    <xf numFmtId="10" fontId="155" fillId="9" borderId="122" xfId="10" applyNumberFormat="1" applyFont="1" applyFill="1" applyBorder="1">
      <alignment vertical="center"/>
    </xf>
    <xf numFmtId="10" fontId="155" fillId="9" borderId="0" xfId="10" applyNumberFormat="1" applyFont="1" applyFill="1">
      <alignment vertical="center"/>
    </xf>
    <xf numFmtId="178" fontId="155" fillId="9" borderId="0" xfId="10" applyNumberFormat="1" applyFont="1" applyFill="1">
      <alignment vertical="center"/>
    </xf>
    <xf numFmtId="10" fontId="155" fillId="9" borderId="126" xfId="10" applyNumberFormat="1" applyFont="1" applyFill="1" applyBorder="1">
      <alignment vertical="center"/>
    </xf>
    <xf numFmtId="10" fontId="155" fillId="9" borderId="19" xfId="10" applyNumberFormat="1" applyFont="1" applyFill="1" applyBorder="1">
      <alignment vertical="center"/>
    </xf>
    <xf numFmtId="0" fontId="155" fillId="9" borderId="0" xfId="10" applyFont="1" applyFill="1" applyAlignment="1">
      <alignment horizontal="center" vertical="center"/>
    </xf>
    <xf numFmtId="10" fontId="155" fillId="9" borderId="0" xfId="10" applyNumberFormat="1" applyFont="1" applyFill="1" applyAlignment="1">
      <alignment horizontal="center" vertical="center"/>
    </xf>
    <xf numFmtId="0" fontId="241" fillId="9" borderId="0" xfId="10" applyFont="1" applyFill="1">
      <alignment vertical="center"/>
    </xf>
    <xf numFmtId="186" fontId="0" fillId="21" borderId="0" xfId="0" applyNumberFormat="1" applyFill="1">
      <alignment vertical="center"/>
    </xf>
    <xf numFmtId="195" fontId="0" fillId="21" borderId="0" xfId="0" applyNumberFormat="1" applyFill="1">
      <alignment vertical="center"/>
    </xf>
    <xf numFmtId="180" fontId="46" fillId="24" borderId="2" xfId="17" applyNumberFormat="1" applyFont="1" applyFill="1" applyBorder="1" applyAlignment="1">
      <alignment horizontal="center" vertical="center" wrapText="1"/>
    </xf>
    <xf numFmtId="0" fontId="259" fillId="0" borderId="0" xfId="14" applyAlignment="1">
      <alignment wrapText="1"/>
    </xf>
    <xf numFmtId="10" fontId="259" fillId="0" borderId="0" xfId="14" applyNumberFormat="1" applyAlignment="1">
      <alignment wrapText="1"/>
    </xf>
    <xf numFmtId="0" fontId="188"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48" fillId="0" borderId="0" xfId="1" applyFont="1" applyAlignment="1">
      <alignment horizontal="center" vertical="center"/>
    </xf>
    <xf numFmtId="0" fontId="148" fillId="0" borderId="0" xfId="1" applyAlignment="1">
      <alignment horizontal="center" vertical="center"/>
    </xf>
    <xf numFmtId="0" fontId="148" fillId="0" borderId="19" xfId="1" applyBorder="1" applyAlignment="1">
      <alignment horizontal="center" vertical="center"/>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87" fillId="0" borderId="19" xfId="16" applyFont="1" applyBorder="1" applyAlignment="1">
      <alignment horizontal="center" vertical="center" wrapText="1"/>
    </xf>
    <xf numFmtId="0" fontId="289" fillId="0" borderId="14" xfId="16" applyFont="1" applyBorder="1" applyAlignment="1">
      <alignment horizontal="left" vertical="center" wrapText="1"/>
    </xf>
    <xf numFmtId="0" fontId="278" fillId="0" borderId="14" xfId="16" applyFont="1" applyBorder="1" applyAlignment="1">
      <alignment horizontal="lef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horizontal="center" vertical="center" wrapText="1"/>
    </xf>
    <xf numFmtId="0" fontId="291" fillId="0" borderId="0" xfId="16" applyFont="1" applyAlignment="1">
      <alignment horizontal="left" vertical="top" wrapText="1"/>
    </xf>
    <xf numFmtId="178" fontId="46" fillId="6" borderId="19" xfId="17" applyNumberFormat="1" applyFont="1" applyFill="1" applyBorder="1" applyAlignment="1">
      <alignment horizontal="center" vertical="center" wrapText="1"/>
    </xf>
    <xf numFmtId="178" fontId="224" fillId="0" borderId="5" xfId="17" applyNumberFormat="1" applyFont="1" applyFill="1" applyBorder="1" applyAlignment="1">
      <alignment horizontal="center" vertical="center" wrapText="1"/>
    </xf>
    <xf numFmtId="178" fontId="295" fillId="0" borderId="9" xfId="17" applyNumberFormat="1" applyFont="1" applyFill="1" applyBorder="1" applyAlignment="1">
      <alignment horizontal="center" vertical="center" wrapText="1"/>
    </xf>
    <xf numFmtId="178" fontId="295" fillId="0" borderId="5" xfId="17" applyNumberFormat="1" applyFont="1" applyFill="1" applyBorder="1" applyAlignment="1">
      <alignment horizontal="center" vertical="center" wrapText="1"/>
    </xf>
    <xf numFmtId="178" fontId="224" fillId="0" borderId="10" xfId="17" applyNumberFormat="1" applyFont="1" applyFill="1" applyBorder="1" applyAlignment="1">
      <alignment horizontal="center" vertical="center" wrapText="1"/>
    </xf>
    <xf numFmtId="178" fontId="295" fillId="0" borderId="21" xfId="17" applyNumberFormat="1" applyFont="1" applyFill="1" applyBorder="1" applyAlignment="1">
      <alignment horizontal="center" vertical="center" wrapText="1"/>
    </xf>
    <xf numFmtId="178" fontId="46" fillId="22" borderId="5" xfId="17" applyNumberFormat="1" applyFont="1" applyFill="1" applyBorder="1" applyAlignment="1">
      <alignment horizontal="center" vertical="center" wrapText="1"/>
    </xf>
    <xf numFmtId="178" fontId="46" fillId="22" borderId="9" xfId="17" applyNumberFormat="1" applyFont="1" applyFill="1" applyBorder="1" applyAlignment="1">
      <alignment horizontal="center" vertical="center" wrapText="1"/>
    </xf>
    <xf numFmtId="178" fontId="295" fillId="20" borderId="2" xfId="17" applyNumberFormat="1" applyFont="1" applyFill="1" applyBorder="1" applyAlignment="1">
      <alignment horizontal="left" vertical="center" wrapText="1"/>
    </xf>
    <xf numFmtId="178" fontId="297" fillId="0" borderId="2" xfId="17" applyNumberFormat="1" applyFont="1" applyBorder="1" applyAlignment="1">
      <alignment horizontal="left" vertical="center" wrapText="1"/>
    </xf>
    <xf numFmtId="178" fontId="295" fillId="23" borderId="2" xfId="17" applyNumberFormat="1" applyFont="1" applyFill="1" applyBorder="1" applyAlignment="1">
      <alignment horizontal="center" vertical="center" wrapText="1"/>
    </xf>
    <xf numFmtId="178" fontId="295" fillId="24" borderId="2" xfId="17" applyNumberFormat="1" applyFont="1" applyFill="1" applyBorder="1" applyAlignment="1">
      <alignment horizontal="center" vertical="center" wrapText="1"/>
    </xf>
    <xf numFmtId="178" fontId="295" fillId="10" borderId="2" xfId="17" applyNumberFormat="1" applyFont="1" applyFill="1" applyBorder="1" applyAlignment="1">
      <alignment horizontal="center" vertical="center" wrapText="1"/>
    </xf>
    <xf numFmtId="0" fontId="287" fillId="0" borderId="2" xfId="6" applyFont="1" applyFill="1" applyBorder="1" applyAlignment="1">
      <alignment horizontal="left" vertical="center" wrapText="1"/>
    </xf>
    <xf numFmtId="0" fontId="287" fillId="0" borderId="0" xfId="6" applyFont="1" applyFill="1" applyBorder="1" applyAlignment="1">
      <alignment horizontal="left" vertical="center" wrapText="1"/>
    </xf>
    <xf numFmtId="185" fontId="307" fillId="0" borderId="2" xfId="6" applyNumberFormat="1" applyFont="1" applyFill="1" applyBorder="1" applyAlignment="1">
      <alignment horizontal="center" vertical="center" wrapText="1"/>
    </xf>
    <xf numFmtId="177" fontId="307" fillId="0" borderId="2" xfId="6" applyNumberFormat="1" applyFont="1" applyFill="1" applyBorder="1" applyAlignment="1">
      <alignment horizontal="center" vertical="center" textRotation="255" wrapText="1"/>
    </xf>
    <xf numFmtId="0" fontId="307" fillId="0" borderId="5" xfId="6" applyFont="1" applyFill="1" applyBorder="1" applyAlignment="1">
      <alignment horizontal="center" vertical="center" wrapText="1"/>
    </xf>
    <xf numFmtId="0" fontId="307" fillId="0" borderId="8" xfId="6" applyFont="1" applyFill="1" applyBorder="1" applyAlignment="1">
      <alignment horizontal="center" vertical="center" wrapText="1"/>
    </xf>
    <xf numFmtId="0" fontId="307" fillId="0" borderId="9" xfId="6" applyFont="1" applyFill="1" applyBorder="1" applyAlignment="1">
      <alignment horizontal="center" vertical="center" wrapText="1"/>
    </xf>
    <xf numFmtId="0" fontId="307" fillId="3" borderId="2" xfId="6"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6" fillId="0" borderId="19" xfId="6" applyFont="1" applyFill="1" applyBorder="1" applyAlignment="1">
      <alignment horizontal="center" vertical="center" wrapText="1"/>
    </xf>
    <xf numFmtId="0" fontId="307" fillId="0" borderId="2" xfId="6" applyFont="1" applyFill="1" applyBorder="1" applyAlignment="1">
      <alignment vertical="center" wrapText="1"/>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305" fillId="0" borderId="11" xfId="0" applyFont="1" applyFill="1" applyBorder="1" applyAlignment="1" applyProtection="1">
      <alignment horizontal="center" vertical="center" wrapText="1"/>
      <protection locked="0"/>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cellXfs>
  <cellStyles count="72">
    <cellStyle name="_ET_STYLE_NoName_00_" xfId="19"/>
    <cellStyle name="百分比 2" xfId="11"/>
    <cellStyle name="标题 1 2" xfId="20"/>
    <cellStyle name="标题 1 3" xfId="21"/>
    <cellStyle name="标题 2 2" xfId="22"/>
    <cellStyle name="标题 2 3" xfId="23"/>
    <cellStyle name="标题 3 2" xfId="24"/>
    <cellStyle name="标题 3 3" xfId="25"/>
    <cellStyle name="标题 4 2" xfId="26"/>
    <cellStyle name="标题 4 3" xfId="27"/>
    <cellStyle name="标题 5" xfId="28"/>
    <cellStyle name="标题 6" xfId="29"/>
    <cellStyle name="标题 7" xfId="30"/>
    <cellStyle name="标题 8" xfId="31"/>
    <cellStyle name="差 2" xfId="32"/>
    <cellStyle name="差 3" xfId="33"/>
    <cellStyle name="常规" xfId="0" builtinId="0"/>
    <cellStyle name="常规 10" xfId="16"/>
    <cellStyle name="常规 11" xfId="17"/>
    <cellStyle name="常规 16" xfId="1"/>
    <cellStyle name="常规 2" xfId="2"/>
    <cellStyle name="常规 2 2" xfId="3"/>
    <cellStyle name="常规 2 2 2 2 3" xfId="12"/>
    <cellStyle name="常规 2 3" xfId="34"/>
    <cellStyle name="常规 2 4" xfId="35"/>
    <cellStyle name="常规 2 5" xfId="36"/>
    <cellStyle name="常规 2 6" xfId="37"/>
    <cellStyle name="常规 3" xfId="4"/>
    <cellStyle name="常规 3 2" xfId="5"/>
    <cellStyle name="常规 3 2 2 17" xfId="38"/>
    <cellStyle name="常规 3 2 2 17 2" xfId="39"/>
    <cellStyle name="常规 4" xfId="6"/>
    <cellStyle name="常规 4 2" xfId="40"/>
    <cellStyle name="常规 4 3" xfId="41"/>
    <cellStyle name="常规 4 4" xfId="42"/>
    <cellStyle name="常规 4 5" xfId="43"/>
    <cellStyle name="常规 4 6" xfId="44"/>
    <cellStyle name="常规 4 7" xfId="45"/>
    <cellStyle name="常规 4 8" xfId="46"/>
    <cellStyle name="常规 5" xfId="7"/>
    <cellStyle name="常规 6" xfId="8"/>
    <cellStyle name="常规 6 2" xfId="10"/>
    <cellStyle name="常规 6 2 2" xfId="13"/>
    <cellStyle name="常规 7" xfId="9"/>
    <cellStyle name="常规 8" xfId="15"/>
    <cellStyle name="常规 9" xfId="14"/>
    <cellStyle name="常规_2012第9期专家会终稿" xfId="18"/>
    <cellStyle name="好 2" xfId="47"/>
    <cellStyle name="好 3" xfId="48"/>
    <cellStyle name="汇总 2" xfId="49"/>
    <cellStyle name="汇总 3" xfId="50"/>
    <cellStyle name="计算 2" xfId="51"/>
    <cellStyle name="计算 3" xfId="52"/>
    <cellStyle name="检查单元格 2" xfId="53"/>
    <cellStyle name="检查单元格 3" xfId="54"/>
    <cellStyle name="解释性文本 2" xfId="55"/>
    <cellStyle name="解释性文本 3" xfId="56"/>
    <cellStyle name="警告文本 2" xfId="57"/>
    <cellStyle name="警告文本 3" xfId="58"/>
    <cellStyle name="链接单元格 2" xfId="59"/>
    <cellStyle name="链接单元格 3" xfId="60"/>
    <cellStyle name="适中 2" xfId="61"/>
    <cellStyle name="适中 3" xfId="62"/>
    <cellStyle name="输出 2" xfId="63"/>
    <cellStyle name="输出 3" xfId="64"/>
    <cellStyle name="输入 2" xfId="65"/>
    <cellStyle name="输入 3" xfId="66"/>
    <cellStyle name="注释 2" xfId="67"/>
    <cellStyle name="注释 3" xfId="68"/>
    <cellStyle name="注释 4" xfId="69"/>
    <cellStyle name="注释 5" xfId="70"/>
    <cellStyle name="注释 6" xfId="7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1504950</xdr:colOff>
      <xdr:row>1</xdr:row>
      <xdr:rowOff>76200</xdr:rowOff>
    </xdr:from>
    <xdr:to>
      <xdr:col>12</xdr:col>
      <xdr:colOff>418343</xdr:colOff>
      <xdr:row>36</xdr:row>
      <xdr:rowOff>65884</xdr:rowOff>
    </xdr:to>
    <xdr:pic>
      <xdr:nvPicPr>
        <xdr:cNvPr id="2" name="图片 1"/>
        <xdr:cNvPicPr>
          <a:picLocks noChangeAspect="1"/>
        </xdr:cNvPicPr>
      </xdr:nvPicPr>
      <xdr:blipFill>
        <a:blip xmlns:r="http://schemas.openxmlformats.org/officeDocument/2006/relationships" r:embed="rId1"/>
        <a:stretch>
          <a:fillRect/>
        </a:stretch>
      </xdr:blipFill>
      <xdr:spPr>
        <a:xfrm>
          <a:off x="4933950" y="247650"/>
          <a:ext cx="6057143" cy="6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12989</xdr:colOff>
      <xdr:row>10</xdr:row>
      <xdr:rowOff>4329</xdr:rowOff>
    </xdr:from>
    <xdr:to>
      <xdr:col>2</xdr:col>
      <xdr:colOff>0</xdr:colOff>
      <xdr:row>10</xdr:row>
      <xdr:rowOff>441613</xdr:rowOff>
    </xdr:to>
    <xdr:cxnSp macro="">
      <xdr:nvCxnSpPr>
        <xdr:cNvPr id="2" name="直接连接符 1" hidden="1"/>
        <xdr:cNvCxnSpPr/>
      </xdr:nvCxnSpPr>
      <xdr:spPr>
        <a:xfrm>
          <a:off x="12989" y="4214379"/>
          <a:ext cx="1539586" cy="4372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8</xdr:row>
      <xdr:rowOff>18876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1390476"/>
        </a:xfrm>
        <a:prstGeom prst="rect">
          <a:avLst/>
        </a:prstGeom>
      </xdr:spPr>
    </xdr:pic>
    <xdr:clientData/>
  </xdr:twoCellAnchor>
  <xdr:twoCellAnchor editAs="oneCell">
    <xdr:from>
      <xdr:col>0</xdr:col>
      <xdr:colOff>0</xdr:colOff>
      <xdr:row>9</xdr:row>
      <xdr:rowOff>0</xdr:rowOff>
    </xdr:from>
    <xdr:to>
      <xdr:col>12</xdr:col>
      <xdr:colOff>541829</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771429" cy="1447619"/>
        </a:xfrm>
        <a:prstGeom prst="rect">
          <a:avLst/>
        </a:prstGeom>
      </xdr:spPr>
    </xdr:pic>
    <xdr:clientData/>
  </xdr:twoCellAnchor>
  <xdr:twoCellAnchor editAs="oneCell">
    <xdr:from>
      <xdr:col>0</xdr:col>
      <xdr:colOff>0</xdr:colOff>
      <xdr:row>18</xdr:row>
      <xdr:rowOff>0</xdr:rowOff>
    </xdr:from>
    <xdr:to>
      <xdr:col>12</xdr:col>
      <xdr:colOff>627543</xdr:colOff>
      <xdr:row>26</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857143" cy="1504762"/>
        </a:xfrm>
        <a:prstGeom prst="rect">
          <a:avLst/>
        </a:prstGeom>
      </xdr:spPr>
    </xdr:pic>
    <xdr:clientData/>
  </xdr:twoCellAnchor>
  <xdr:twoCellAnchor editAs="oneCell">
    <xdr:from>
      <xdr:col>0</xdr:col>
      <xdr:colOff>19050</xdr:colOff>
      <xdr:row>82</xdr:row>
      <xdr:rowOff>95250</xdr:rowOff>
    </xdr:from>
    <xdr:to>
      <xdr:col>10</xdr:col>
      <xdr:colOff>76200</xdr:colOff>
      <xdr:row>114</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14154150"/>
          <a:ext cx="6915150" cy="5448300"/>
        </a:xfrm>
        <a:prstGeom prst="rect">
          <a:avLst/>
        </a:prstGeom>
      </xdr:spPr>
    </xdr:pic>
    <xdr:clientData/>
  </xdr:twoCellAnchor>
  <xdr:twoCellAnchor editAs="oneCell">
    <xdr:from>
      <xdr:col>0</xdr:col>
      <xdr:colOff>0</xdr:colOff>
      <xdr:row>50</xdr:row>
      <xdr:rowOff>130950</xdr:rowOff>
    </xdr:from>
    <xdr:to>
      <xdr:col>10</xdr:col>
      <xdr:colOff>172432</xdr:colOff>
      <xdr:row>81</xdr:row>
      <xdr:rowOff>131692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703450"/>
          <a:ext cx="7030432" cy="5315692"/>
        </a:xfrm>
        <a:prstGeom prst="rect">
          <a:avLst/>
        </a:prstGeom>
      </xdr:spPr>
    </xdr:pic>
    <xdr:clientData/>
  </xdr:twoCellAnchor>
  <xdr:twoCellAnchor editAs="oneCell">
    <xdr:from>
      <xdr:col>10</xdr:col>
      <xdr:colOff>280950</xdr:colOff>
      <xdr:row>51</xdr:row>
      <xdr:rowOff>166650</xdr:rowOff>
    </xdr:from>
    <xdr:to>
      <xdr:col>20</xdr:col>
      <xdr:colOff>147600</xdr:colOff>
      <xdr:row>75</xdr:row>
      <xdr:rowOff>109500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8950" y="8910600"/>
          <a:ext cx="7124700" cy="4057650"/>
        </a:xfrm>
        <a:prstGeom prst="rect">
          <a:avLst/>
        </a:prstGeom>
      </xdr:spPr>
    </xdr:pic>
    <xdr:clientData/>
  </xdr:twoCellAnchor>
  <xdr:twoCellAnchor editAs="oneCell">
    <xdr:from>
      <xdr:col>0</xdr:col>
      <xdr:colOff>0</xdr:colOff>
      <xdr:row>24</xdr:row>
      <xdr:rowOff>116625</xdr:rowOff>
    </xdr:from>
    <xdr:to>
      <xdr:col>10</xdr:col>
      <xdr:colOff>76200</xdr:colOff>
      <xdr:row>51</xdr:row>
      <xdr:rowOff>148166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31425"/>
          <a:ext cx="6934200" cy="4660691"/>
        </a:xfrm>
        <a:prstGeom prst="rect">
          <a:avLst/>
        </a:prstGeom>
      </xdr:spPr>
    </xdr:pic>
    <xdr:clientData/>
  </xdr:twoCellAnchor>
  <xdr:twoCellAnchor editAs="oneCell">
    <xdr:from>
      <xdr:col>10</xdr:col>
      <xdr:colOff>199950</xdr:colOff>
      <xdr:row>29</xdr:row>
      <xdr:rowOff>85650</xdr:rowOff>
    </xdr:from>
    <xdr:to>
      <xdr:col>19</xdr:col>
      <xdr:colOff>514275</xdr:colOff>
      <xdr:row>38</xdr:row>
      <xdr:rowOff>85650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57950" y="5057700"/>
          <a:ext cx="6886575" cy="1543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14</xdr:row>
      <xdr:rowOff>0</xdr:rowOff>
    </xdr:from>
    <xdr:to>
      <xdr:col>19</xdr:col>
      <xdr:colOff>475591</xdr:colOff>
      <xdr:row>21</xdr:row>
      <xdr:rowOff>56991</xdr:rowOff>
    </xdr:to>
    <xdr:pic>
      <xdr:nvPicPr>
        <xdr:cNvPr id="3" name="图片 2"/>
        <xdr:cNvPicPr>
          <a:picLocks noChangeAspect="1"/>
        </xdr:cNvPicPr>
      </xdr:nvPicPr>
      <xdr:blipFill>
        <a:blip xmlns:r="http://schemas.openxmlformats.org/officeDocument/2006/relationships" r:embed="rId1"/>
        <a:stretch>
          <a:fillRect/>
        </a:stretch>
      </xdr:blipFill>
      <xdr:spPr>
        <a:xfrm>
          <a:off x="8191500" y="2676525"/>
          <a:ext cx="5276191"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Desktop\&#27979;&#31639;-&#39034;&#20041;&#65288;&#20303;&#23429;&#65289;&#20845;&#36890;-&#24120;&#30021;20190626-092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910;&#20648;/2019-1-0651-F01SGCB6%20&#21271;&#20140;&#24066;&#23494;&#20113;&#21306;&#27264;&#33829;&#20065;MY00-0103-6023&#22320;&#22359;R2&#20108;&#31867;&#23621;&#20303;&#29992;&#22320;&#12289;MY00-0103-6024&#22320;&#22359;A33&#22522;&#30784;&#25945;&#32946;&#29992;&#22320;&#20272;&#20215;/F01/&#26368;&#32456;/F01&#27979;&#31639;/&#20303;1&#23429;&#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150;&#20844;&#23494;&#20113;&#27264;&#35199;&#36335;&#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830;&#19994;&#23494;&#20113;&#27264;&#35199;&#36335;&#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830;&#19994;&#65289;F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150;&#20844;&#65289;F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0303;&#23429;&#65289;F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初审"/>
      <sheetName val="汇总表"/>
      <sheetName val="结果表"/>
      <sheetName val="剩余法（住宅）"/>
      <sheetName val="剩余法-现房"/>
      <sheetName val="比较法-住宅、综合"/>
      <sheetName val="比较法-工业"/>
      <sheetName val="剩余法（办公)"/>
      <sheetName val="剩余法（商业)"/>
      <sheetName val="基准地价（住宅）"/>
      <sheetName val="基准地价（商业）"/>
      <sheetName val="基准地价（办公）"/>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办公案例"/>
      <sheetName val="不动产比较法（商业）"/>
      <sheetName val="商业案例"/>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基准地价（商业）</v>
          </cell>
        </row>
        <row r="21">
          <cell r="A21" t="str">
            <v>戊类库房</v>
          </cell>
          <cell r="B21" t="str">
            <v>基准地价（住宅）</v>
          </cell>
        </row>
        <row r="22">
          <cell r="A22" t="str">
            <v>燃品库房</v>
          </cell>
          <cell r="B22" t="str">
            <v>剩余法（商业）</v>
          </cell>
        </row>
        <row r="23">
          <cell r="A23" t="str">
            <v>非燃品库房</v>
          </cell>
          <cell r="B23" t="str">
            <v>剩余法（办公）</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21">
          <cell r="C21">
            <v>285163</v>
          </cell>
        </row>
      </sheetData>
      <sheetData sheetId="10"/>
      <sheetData sheetId="11"/>
      <sheetData sheetId="12">
        <row r="17">
          <cell r="C17" t="str">
            <v>项目类型</v>
          </cell>
        </row>
        <row r="18">
          <cell r="C18">
            <v>0</v>
          </cell>
        </row>
        <row r="19">
          <cell r="C19" t="str">
            <v>办公</v>
          </cell>
        </row>
        <row r="20">
          <cell r="C20" t="str">
            <v>商业</v>
          </cell>
        </row>
        <row r="21">
          <cell r="C21" t="str">
            <v>住宅</v>
          </cell>
        </row>
        <row r="22">
          <cell r="C22">
            <v>0</v>
          </cell>
        </row>
        <row r="23">
          <cell r="C23">
            <v>0</v>
          </cell>
        </row>
        <row r="24">
          <cell r="C24">
            <v>0</v>
          </cell>
        </row>
        <row r="25">
          <cell r="C25">
            <v>0</v>
          </cell>
        </row>
        <row r="26">
          <cell r="C26">
            <v>0</v>
          </cell>
        </row>
      </sheetData>
      <sheetData sheetId="13">
        <row r="6">
          <cell r="L6">
            <v>4000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20">
          <cell r="C20">
            <v>18053</v>
          </cell>
        </row>
      </sheetData>
      <sheetData sheetId="19">
        <row r="8">
          <cell r="C8">
            <v>36903</v>
          </cell>
        </row>
      </sheetData>
      <sheetData sheetId="20"/>
      <sheetData sheetId="2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3"/>
      <sheetData sheetId="24"/>
      <sheetData sheetId="25">
        <row r="3">
          <cell r="B3">
            <v>5896</v>
          </cell>
        </row>
      </sheetData>
      <sheetData sheetId="26"/>
      <sheetData sheetId="27"/>
      <sheetData sheetId="2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9"/>
      <sheetData sheetId="30"/>
      <sheetData sheetId="31"/>
      <sheetData sheetId="32"/>
      <sheetData sheetId="33"/>
      <sheetData sheetId="34"/>
      <sheetData sheetId="35"/>
      <sheetData sheetId="36"/>
      <sheetData sheetId="37"/>
      <sheetData sheetId="3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高层</v>
          </cell>
          <cell r="D101" t="str">
            <v>中层</v>
          </cell>
          <cell r="E101" t="str">
            <v>低层</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普装</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物业公司管理</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标准层高</v>
          </cell>
          <cell r="D119">
            <v>0</v>
          </cell>
          <cell r="E119">
            <v>0</v>
          </cell>
          <cell r="F119">
            <v>0</v>
          </cell>
          <cell r="G119">
            <v>0</v>
          </cell>
          <cell r="H119">
            <v>0</v>
          </cell>
          <cell r="I119">
            <v>0</v>
          </cell>
          <cell r="J119">
            <v>0</v>
          </cell>
          <cell r="K119">
            <v>0</v>
          </cell>
          <cell r="L119">
            <v>0</v>
          </cell>
          <cell r="M119">
            <v>0</v>
          </cell>
        </row>
        <row r="123">
          <cell r="B123" t="str">
            <v>内部装修</v>
          </cell>
          <cell r="C123" t="str">
            <v>普装</v>
          </cell>
          <cell r="D123" t="str">
            <v>简装</v>
          </cell>
          <cell r="E123" t="str">
            <v>毛坯</v>
          </cell>
          <cell r="F123">
            <v>0</v>
          </cell>
          <cell r="G123">
            <v>0</v>
          </cell>
          <cell r="H123">
            <v>0</v>
          </cell>
          <cell r="I123">
            <v>0</v>
          </cell>
          <cell r="J123">
            <v>0</v>
          </cell>
          <cell r="K123">
            <v>0</v>
          </cell>
          <cell r="L123">
            <v>0</v>
          </cell>
          <cell r="M123">
            <v>0</v>
          </cell>
        </row>
      </sheetData>
      <sheetData sheetId="4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临街</v>
          </cell>
          <cell r="D86" t="str">
            <v>不临街</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住宅配套</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t="str">
            <v>普装</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t="str">
            <v>标准层高</v>
          </cell>
          <cell r="D116">
            <v>0</v>
          </cell>
          <cell r="E116">
            <v>0</v>
          </cell>
          <cell r="F116">
            <v>0</v>
          </cell>
          <cell r="G116">
            <v>0</v>
          </cell>
          <cell r="H116">
            <v>0</v>
          </cell>
          <cell r="I116">
            <v>0</v>
          </cell>
          <cell r="J116">
            <v>0</v>
          </cell>
          <cell r="K116">
            <v>0</v>
          </cell>
          <cell r="L116">
            <v>0</v>
          </cell>
          <cell r="M116">
            <v>0</v>
          </cell>
        </row>
        <row r="120">
          <cell r="B120" t="str">
            <v>进深比</v>
          </cell>
          <cell r="C120" t="str">
            <v>较好</v>
          </cell>
          <cell r="D120" t="str">
            <v>一般</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商住比"/>
      <sheetName val="汇总表"/>
      <sheetName val="结果初审"/>
      <sheetName val="2019.1.15示例"/>
      <sheetName val="结果表"/>
      <sheetName val="基准地价"/>
      <sheetName val="剩余法-待开发"/>
      <sheetName val="剩余法-现房"/>
      <sheetName val="比较法-住宅、综合"/>
      <sheetName val="比较法-工业"/>
      <sheetName val="不动产比较法-住宅"/>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销售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办公租金案例"/>
      <sheetName val="地价"/>
      <sheetName val="不动产比较法-工业"/>
      <sheetName val="不动产比较法-车位"/>
      <sheetName val="不动产比较法-仓储"/>
      <sheetName val="典型户型修正"/>
      <sheetName val="存贷款利率"/>
      <sheetName val="办公出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0">
          <cell r="C20">
            <v>4526</v>
          </cell>
          <cell r="D20">
            <v>4749</v>
          </cell>
        </row>
      </sheetData>
      <sheetData sheetId="21" refreshError="1"/>
      <sheetData sheetId="22">
        <row r="8">
          <cell r="E8">
            <v>131.77305199648606</v>
          </cell>
        </row>
        <row r="37">
          <cell r="C37">
            <v>4749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0">
          <cell r="C50">
            <v>2.3199999999999998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比较法-商业"/>
      <sheetName val="商业出售案例"/>
      <sheetName val="不动产收益法"/>
      <sheetName val="酒店收入计算"/>
      <sheetName val="成本逼近法"/>
      <sheetName val="不动产比较法-住宅"/>
      <sheetName val="不动产比较法-办公"/>
      <sheetName val="商业租金案例"/>
      <sheetName val="地价"/>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0">
          <cell r="C20">
            <v>4595</v>
          </cell>
          <cell r="D20">
            <v>5453</v>
          </cell>
        </row>
      </sheetData>
      <sheetData sheetId="21" refreshError="1"/>
      <sheetData sheetId="22">
        <row r="8">
          <cell r="D8">
            <v>15822</v>
          </cell>
        </row>
        <row r="37">
          <cell r="C37">
            <v>5453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9">
          <cell r="C29">
            <v>4636</v>
          </cell>
        </row>
      </sheetData>
      <sheetData sheetId="19" refreshError="1">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9">
          <cell r="C29">
            <v>4746</v>
          </cell>
        </row>
      </sheetData>
      <sheetData sheetId="20" refreshError="1">
        <row r="37">
          <cell r="C37">
            <v>5883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表"/>
      <sheetName val="结果表"/>
      <sheetName val="建安取值"/>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K21">
            <v>43092</v>
          </cell>
        </row>
        <row r="22">
          <cell r="K22">
            <v>0</v>
          </cell>
        </row>
      </sheetData>
      <sheetData sheetId="11" refreshError="1"/>
      <sheetData sheetId="12" refreshError="1"/>
      <sheetData sheetId="13">
        <row r="6">
          <cell r="K6">
            <v>334812</v>
          </cell>
        </row>
      </sheetData>
      <sheetData sheetId="14" refreshError="1"/>
      <sheetData sheetId="15" refreshError="1"/>
      <sheetData sheetId="16" refreshError="1"/>
      <sheetData sheetId="17">
        <row r="20">
          <cell r="D20">
            <v>16009</v>
          </cell>
        </row>
      </sheetData>
      <sheetData sheetId="18" refreshError="1"/>
      <sheetData sheetId="19" refreshError="1"/>
      <sheetData sheetId="20" refreshError="1"/>
      <sheetData sheetId="21" refreshError="1"/>
      <sheetData sheetId="22" refreshError="1"/>
      <sheetData sheetId="23" refreshError="1"/>
      <sheetData sheetId="24">
        <row r="29">
          <cell r="C29">
            <v>5504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C19">
            <v>187568</v>
          </cell>
          <cell r="D19">
            <v>553349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64531.28平方米。根据《建设工程规划许可证》[]、《出让合同》[]，估价对象规划建筑面积为120662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本次评估为委托估价方了解标的物之市场价格提供参考依据而评估出让国有建设用地使用权市场价格。</v>
      </c>
    </row>
    <row r="10" spans="1:55" s="2829" customFormat="1">
      <c r="A10" s="2830" t="s">
        <v>2659</v>
      </c>
      <c r="B10" s="2831" t="str">
        <f>'预评函-1'!A11</f>
        <v>2019年11月11日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根据《国有土地使用证》[]，估价对象（分摊）出让国有建设用地使用权面积为64531.28平方米。根据《建设工程规划许可证》[]、《出让合同》[]，估价对象规划建筑面积为120662平方米。</v>
      </c>
    </row>
    <row r="16" spans="1:55" s="2829" customFormat="1">
      <c r="A16" s="2830" t="s">
        <v>2669</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c r="A20" s="2830" t="s">
        <v>2673</v>
      </c>
      <c r="B20" s="2831" t="str">
        <f>'预评函-1'!A27</f>
        <v>——</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估价期日：2019年11月11日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64531.28</v>
      </c>
    </row>
    <row r="44" spans="1:2">
      <c r="A44" s="2830" t="s">
        <v>2740</v>
      </c>
      <c r="B44" s="2831" t="str">
        <f>'预评函-2'!O3</f>
        <v>规划建筑面积/㎡</v>
      </c>
    </row>
    <row r="45" spans="1:2">
      <c r="A45" s="2830" t="s">
        <v>2722</v>
      </c>
      <c r="B45" s="2831">
        <f>'预评函-2'!O5</f>
        <v>120662</v>
      </c>
    </row>
    <row r="46" spans="1:2">
      <c r="A46" s="2830" t="s">
        <v>2723</v>
      </c>
      <c r="B46" s="2831">
        <f ca="1">'预评函-2'!P5</f>
        <v>11552</v>
      </c>
    </row>
    <row r="47" spans="1:2">
      <c r="A47" s="2830" t="s">
        <v>2724</v>
      </c>
      <c r="B47" s="2831">
        <f ca="1">'预评函-2'!Q5</f>
        <v>6178</v>
      </c>
    </row>
    <row r="48" spans="1:2">
      <c r="A48" s="2830" t="s">
        <v>2725</v>
      </c>
      <c r="B48" s="2831">
        <f ca="1">'预评函-2'!R5</f>
        <v>74548</v>
      </c>
    </row>
    <row r="49" spans="1:2">
      <c r="A49" s="2830" t="s">
        <v>2741</v>
      </c>
      <c r="B49" s="2831" t="str">
        <f>'预评函-2'!A6</f>
        <v>抵押价格</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v>
      </c>
    </row>
    <row r="67" spans="1:2">
      <c r="A67" s="2830" t="s">
        <v>2689</v>
      </c>
      <c r="B67" s="2837"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8" sqref="B8"/>
    </sheetView>
  </sheetViews>
  <sheetFormatPr defaultColWidth="10" defaultRowHeight="14.25"/>
  <cols>
    <col min="1" max="1" width="15.375" style="1672" customWidth="1"/>
    <col min="2" max="2" width="11.375" style="1672" customWidth="1"/>
    <col min="3" max="3" width="12.625" style="1672" customWidth="1"/>
    <col min="4" max="4" width="1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375" t="str">
        <f>IF(B10="北京市","北京市",C10)&amp;F10&amp;B16&amp;"国有建设用地使用权"&amp;B9&amp;"预评估"</f>
        <v>出让国有建设用地使用权预评估</v>
      </c>
      <c r="C1" s="3376"/>
      <c r="D1" s="3376"/>
      <c r="E1" s="3376"/>
      <c r="F1" s="3376"/>
      <c r="G1" s="3376"/>
      <c r="H1" s="3376"/>
      <c r="I1" s="3377"/>
      <c r="J1" s="1675"/>
      <c r="K1" s="2416" t="str">
        <f>IF(B10="北京市","北京市",C10)&amp;F10&amp;B16&amp;"国有建设用地使用权"&amp;B9</f>
        <v>出让国有建设用地使用权</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43768</v>
      </c>
      <c r="C3" s="1644" t="s">
        <v>1995</v>
      </c>
      <c r="D3" s="1643">
        <v>43780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2888</v>
      </c>
      <c r="C4" s="1827">
        <f>SUMIF(土地估价师,B4,估价师及机构信息!E3:E24)</f>
        <v>0</v>
      </c>
      <c r="D4" s="1824" t="s">
        <v>2888</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2990</v>
      </c>
      <c r="C8" s="1652"/>
      <c r="D8" s="3381" t="s">
        <v>1944</v>
      </c>
      <c r="E8" s="1825"/>
      <c r="F8" s="1653"/>
      <c r="G8" s="1641"/>
      <c r="H8" s="1641"/>
      <c r="I8" s="1688"/>
      <c r="J8" s="1675"/>
      <c r="K8" s="1755"/>
      <c r="L8" s="1704"/>
      <c r="M8" s="1704"/>
      <c r="N8" s="1675"/>
      <c r="O8" s="1676"/>
      <c r="P8" s="1675"/>
      <c r="Q8" s="1675"/>
      <c r="R8" s="1675"/>
      <c r="S8" s="1675"/>
      <c r="T8" s="1675"/>
      <c r="U8" s="1675"/>
    </row>
    <row r="9" spans="1:21" ht="15" thickBot="1">
      <c r="A9" s="1654" t="s">
        <v>1943</v>
      </c>
      <c r="B9" s="1655"/>
      <c r="C9" s="1656"/>
      <c r="D9" s="3382"/>
      <c r="E9" s="1655"/>
      <c r="F9" s="1728"/>
      <c r="G9" s="1723"/>
      <c r="H9" s="1723"/>
      <c r="I9" s="1724"/>
      <c r="J9" s="1675"/>
      <c r="K9" s="1755"/>
      <c r="L9" s="1704"/>
      <c r="M9" s="1704"/>
      <c r="N9" s="1675"/>
      <c r="O9" s="1676"/>
      <c r="P9" s="1675"/>
      <c r="Q9" s="1675"/>
      <c r="R9" s="1675"/>
      <c r="S9" s="1675"/>
      <c r="T9" s="1675"/>
      <c r="U9" s="1675"/>
    </row>
    <row r="10" spans="1:21" ht="15" thickTop="1">
      <c r="A10" s="1725" t="s">
        <v>1999</v>
      </c>
      <c r="B10" s="1700"/>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378"/>
      <c r="C12" s="3379"/>
      <c r="D12" s="3380"/>
      <c r="E12" s="1680" t="s">
        <v>2061</v>
      </c>
      <c r="F12" s="3396" t="s">
        <v>2889</v>
      </c>
      <c r="G12" s="3397"/>
      <c r="H12" s="3397"/>
      <c r="I12" s="3398"/>
      <c r="J12" s="1675"/>
      <c r="K12" s="1755"/>
      <c r="L12" s="1704"/>
      <c r="M12" s="1704"/>
      <c r="N12" s="1675"/>
      <c r="O12" s="1676"/>
      <c r="P12" s="1675"/>
      <c r="Q12" s="1675"/>
      <c r="R12" s="1675"/>
      <c r="S12" s="1675"/>
      <c r="T12" s="1675"/>
      <c r="U12" s="1675"/>
    </row>
    <row r="13" spans="1:21">
      <c r="A13" s="1668" t="s">
        <v>2059</v>
      </c>
      <c r="B13" s="3378"/>
      <c r="C13" s="3379"/>
      <c r="D13" s="3380"/>
      <c r="E13" s="1680" t="s">
        <v>2061</v>
      </c>
      <c r="F13" s="3396" t="s">
        <v>2890</v>
      </c>
      <c r="G13" s="3397"/>
      <c r="H13" s="3397"/>
      <c r="I13" s="3398"/>
      <c r="J13" s="1675"/>
      <c r="K13" s="1755"/>
      <c r="L13" s="1704"/>
      <c r="M13" s="1704"/>
      <c r="N13" s="1675"/>
      <c r="O13" s="1676"/>
      <c r="P13" s="1675"/>
      <c r="Q13" s="1675"/>
      <c r="R13" s="1675"/>
      <c r="S13" s="1675"/>
      <c r="T13" s="1675"/>
      <c r="U13" s="1675"/>
    </row>
    <row r="14" spans="1:21">
      <c r="A14" s="1642" t="s">
        <v>2062</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2990</v>
      </c>
      <c r="C16" s="1680" t="s">
        <v>1948</v>
      </c>
      <c r="D16" s="2607" t="s">
        <v>1949</v>
      </c>
      <c r="E16" s="1703" t="s">
        <v>3181</v>
      </c>
      <c r="F16" s="1703" t="s">
        <v>1677</v>
      </c>
      <c r="G16" s="1703"/>
      <c r="H16" s="1703"/>
      <c r="I16" s="1667" t="s">
        <v>1954</v>
      </c>
      <c r="J16" s="1675"/>
      <c r="K16" s="2417" t="str">
        <f>IF(D17="","",D16&amp;TEXT(D17,"yyyy年m月d日;;"))</f>
        <v>住宅2089年10月30日</v>
      </c>
      <c r="L16" s="1680" t="str">
        <f>IF(OR(K16="",M16=""),"","、")</f>
        <v>、</v>
      </c>
      <c r="M16" s="2417" t="str">
        <f>IF(E17="","",E16&amp;TEXT(E17,"yyyy年m月d日;;"))</f>
        <v>商业2059年10月30日</v>
      </c>
      <c r="N16" s="1680" t="str">
        <f>IF(OR(M16="",O16=""),"","、")</f>
        <v>、</v>
      </c>
      <c r="O16" s="2417" t="str">
        <f>IF(F17="","",F16&amp;TEXT(F17,"yyyy年m月d日;;"))</f>
        <v>办公2069年10月30日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69336</v>
      </c>
      <c r="E17" s="1681">
        <v>58378</v>
      </c>
      <c r="F17" s="1681">
        <v>62031</v>
      </c>
      <c r="G17" s="1681"/>
      <c r="H17" s="1681"/>
      <c r="I17" s="1681"/>
      <c r="J17" s="1675"/>
      <c r="K17" s="2416" t="str">
        <f>CONCATENATE(K16,L16,M16,N16,O16,P16,Q16,R16,S16,T16,,U16)</f>
        <v>住宅2089年10月30日、商业2059年10月30日、办公2069年10月30日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70</v>
      </c>
      <c r="E19" s="1666">
        <f>IF(B16="出让",IF(E17="","",ROUNDDOWN(MIN((E17-$D$3)/365,E18),2)),E18)</f>
        <v>39.99</v>
      </c>
      <c r="F19" s="1666">
        <f>IF(B16="出让",IF(F17="","",ROUNDDOWN(MIN((F17-$D$3)/365,F18),2)),F18)</f>
        <v>50</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393"/>
      <c r="E20" s="3394"/>
      <c r="F20" s="3394"/>
      <c r="G20" s="3394"/>
      <c r="H20" s="3394"/>
      <c r="I20" s="3395"/>
      <c r="J20" s="1675"/>
      <c r="K20" s="1755"/>
      <c r="L20" s="1704"/>
      <c r="M20" s="1704"/>
      <c r="N20" s="1675"/>
      <c r="O20" s="1676"/>
      <c r="P20" s="1675"/>
      <c r="Q20" s="1675"/>
      <c r="R20" s="1675"/>
      <c r="S20" s="1675"/>
      <c r="T20" s="1675"/>
      <c r="U20" s="1675"/>
    </row>
    <row r="21" spans="1:21">
      <c r="A21" s="1744" t="s">
        <v>1958</v>
      </c>
      <c r="B21" s="1745" t="s">
        <v>1959</v>
      </c>
      <c r="C21" s="1740">
        <f>'数据-汇总表'!E3</f>
        <v>120662</v>
      </c>
      <c r="D21" s="1741" t="s">
        <v>1960</v>
      </c>
      <c r="E21" s="3383" t="s">
        <v>1998</v>
      </c>
      <c r="F21" s="3384"/>
      <c r="G21" s="3384"/>
      <c r="H21" s="3384"/>
      <c r="I21" s="3385"/>
      <c r="J21" s="1675"/>
      <c r="K21" s="1755"/>
      <c r="L21" s="1704"/>
      <c r="M21" s="1704"/>
      <c r="N21" s="1675"/>
      <c r="O21" s="1676"/>
      <c r="P21" s="1675"/>
      <c r="Q21" s="1675"/>
      <c r="R21" s="1675"/>
      <c r="S21" s="1675"/>
      <c r="T21" s="1675"/>
      <c r="U21" s="1675"/>
    </row>
    <row r="22" spans="1:21">
      <c r="A22" s="3094" t="s">
        <v>952</v>
      </c>
      <c r="B22" s="1642" t="s">
        <v>1961</v>
      </c>
      <c r="C22" s="1667">
        <f>'数据-汇总表'!D3</f>
        <v>64531.28</v>
      </c>
      <c r="D22" s="1668" t="s">
        <v>1960</v>
      </c>
      <c r="E22" s="3383" t="s">
        <v>2891</v>
      </c>
      <c r="F22" s="3384"/>
      <c r="G22" s="3384"/>
      <c r="H22" s="3384"/>
      <c r="I22" s="3385"/>
      <c r="J22" s="1675"/>
      <c r="K22" s="1755"/>
      <c r="L22" s="1704"/>
      <c r="M22" s="1704"/>
      <c r="N22" s="1675"/>
      <c r="O22" s="1676"/>
      <c r="P22" s="1675"/>
      <c r="Q22" s="1675"/>
      <c r="R22" s="1675"/>
      <c r="S22" s="1675"/>
      <c r="T22" s="1675"/>
      <c r="U22" s="1675"/>
    </row>
    <row r="23" spans="1:21" ht="29.2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86" t="s">
        <v>1966</v>
      </c>
      <c r="C24" s="3387"/>
      <c r="D24" s="3388" t="s">
        <v>1967</v>
      </c>
      <c r="E24" s="3389"/>
      <c r="F24" s="1689" t="s">
        <v>1968</v>
      </c>
      <c r="G24" s="1675"/>
      <c r="H24" s="1675"/>
      <c r="I24" s="1688"/>
      <c r="J24" s="1675"/>
      <c r="K24" s="3374"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37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37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401" t="s">
        <v>2001</v>
      </c>
      <c r="B31" s="1745" t="s">
        <v>2002</v>
      </c>
      <c r="C31" s="3399"/>
      <c r="D31" s="3400"/>
      <c r="E31" s="1675"/>
      <c r="F31" s="1675"/>
      <c r="G31" s="1675"/>
      <c r="H31" s="1675"/>
      <c r="I31" s="1688"/>
      <c r="J31" s="1675"/>
      <c r="K31" s="2419"/>
      <c r="L31" s="1675"/>
      <c r="M31" s="1675"/>
      <c r="N31" s="1675"/>
      <c r="O31" s="1675"/>
      <c r="P31" s="1675"/>
      <c r="Q31" s="1675"/>
      <c r="R31" s="1675"/>
      <c r="S31" s="1675"/>
      <c r="T31" s="1675"/>
      <c r="U31" s="1675"/>
    </row>
    <row r="32" spans="1:21">
      <c r="A32" s="3401"/>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401"/>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402"/>
      <c r="B34" s="1642" t="s">
        <v>2005</v>
      </c>
      <c r="C34" s="3403"/>
      <c r="D34" s="3404"/>
      <c r="E34" s="1675"/>
      <c r="F34" s="1675"/>
      <c r="G34" s="1675"/>
      <c r="H34" s="1675"/>
      <c r="I34" s="1688"/>
      <c r="J34" s="1675"/>
      <c r="K34" s="2419"/>
      <c r="L34" s="1675"/>
      <c r="M34" s="1675"/>
      <c r="N34" s="1675"/>
      <c r="O34" s="1675"/>
      <c r="P34" s="1675"/>
      <c r="Q34" s="1675"/>
      <c r="R34" s="1675"/>
      <c r="S34" s="1675"/>
      <c r="T34" s="1675"/>
      <c r="U34" s="1675"/>
    </row>
    <row r="35" spans="1:21">
      <c r="A35" s="3405" t="s">
        <v>847</v>
      </c>
      <c r="B35" s="1703"/>
      <c r="C35" s="1757" t="str">
        <f>IF(B35="场地平整","——","具体情况：")</f>
        <v>具体情况：</v>
      </c>
      <c r="D35" s="3407"/>
      <c r="E35" s="3408"/>
      <c r="F35" s="3408"/>
      <c r="G35" s="3408"/>
      <c r="H35" s="3408"/>
      <c r="I35" s="3409"/>
      <c r="J35" s="1675"/>
      <c r="K35" s="1756"/>
      <c r="L35" s="1704"/>
      <c r="M35" s="1704"/>
      <c r="N35" s="1675"/>
      <c r="O35" s="1676"/>
      <c r="P35" s="1675"/>
      <c r="Q35" s="1675"/>
      <c r="R35" s="1675"/>
      <c r="S35" s="1675"/>
      <c r="T35" s="1675"/>
      <c r="U35" s="1675"/>
    </row>
    <row r="36" spans="1:21">
      <c r="A36" s="3401"/>
      <c r="B36" s="3410" t="s">
        <v>2054</v>
      </c>
      <c r="C36" s="3411"/>
      <c r="D36" s="1773"/>
      <c r="E36" s="3412"/>
      <c r="F36" s="3412"/>
      <c r="G36" s="1668" t="str">
        <f>IF(B35="场地未平整","估价结果处理","")</f>
        <v/>
      </c>
      <c r="H36" s="3413"/>
      <c r="I36" s="3413"/>
      <c r="J36" s="1675"/>
      <c r="K36" s="1756"/>
      <c r="L36" s="1704"/>
      <c r="M36" s="1704"/>
      <c r="N36" s="1675"/>
      <c r="O36" s="1676"/>
      <c r="P36" s="1675"/>
      <c r="Q36" s="1675"/>
      <c r="R36" s="1675"/>
      <c r="S36" s="1675"/>
      <c r="T36" s="1675"/>
      <c r="U36" s="1675"/>
    </row>
    <row r="37" spans="1:21" ht="28.5">
      <c r="A37" s="3401"/>
      <c r="B37" s="339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401"/>
      <c r="B38" s="3391"/>
      <c r="C38" s="1650" t="s">
        <v>850</v>
      </c>
      <c r="D38" s="1772">
        <f>ROUNDDOWN(MIN(('数据-取费表'!$B$2-D37)/365,D34),1)</f>
        <v>119.9</v>
      </c>
      <c r="E38" s="1708" t="s">
        <v>851</v>
      </c>
      <c r="F38" s="1675"/>
      <c r="G38" s="1675"/>
      <c r="H38" s="1675"/>
      <c r="I38" s="1688"/>
      <c r="J38" s="1675"/>
      <c r="K38" s="1756"/>
      <c r="L38" s="1675"/>
      <c r="M38" s="1675"/>
      <c r="N38" s="1675"/>
      <c r="O38" s="1675"/>
      <c r="P38" s="1675"/>
      <c r="Q38" s="1675"/>
      <c r="R38" s="1675"/>
      <c r="S38" s="1675"/>
      <c r="T38" s="1675"/>
      <c r="U38" s="1675"/>
    </row>
    <row r="39" spans="1:21">
      <c r="A39" s="3402"/>
      <c r="B39" s="339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73" t="s">
        <v>1985</v>
      </c>
      <c r="T40" s="1712" t="str">
        <f>NUMBERSTRING(7-K40,1)&amp;"通"</f>
        <v>七通</v>
      </c>
      <c r="U40" s="1675"/>
    </row>
    <row r="41" spans="1:21">
      <c r="A41" s="1644"/>
      <c r="B41" s="3406" t="s">
        <v>1721</v>
      </c>
      <c r="C41" s="3406"/>
      <c r="D41" s="3406"/>
      <c r="E41" s="340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73"/>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1415</v>
      </c>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t="s">
        <v>3241</v>
      </c>
      <c r="C44" s="1719" t="s">
        <v>2998</v>
      </c>
      <c r="D44" s="1719" t="s">
        <v>2998</v>
      </c>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D24" sqref="D24"/>
    </sheetView>
  </sheetViews>
  <sheetFormatPr defaultColWidth="8.875" defaultRowHeight="14.25"/>
  <cols>
    <col min="1" max="1" width="13.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2333</v>
      </c>
      <c r="BA2" s="2322"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322">
        <f>60630.909+3900.373</f>
        <v>64531.281999999999</v>
      </c>
      <c r="B3" s="21">
        <f>IF(C3="否",G5-AT5,G5)</f>
        <v>120662</v>
      </c>
      <c r="C3" s="22" t="s">
        <v>1678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120662</v>
      </c>
      <c r="H5" s="26">
        <f t="shared" ref="H5:AT5" si="0">SUM(H13:H641)</f>
        <v>120662</v>
      </c>
      <c r="I5" s="26">
        <f t="shared" si="0"/>
        <v>120662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120662</v>
      </c>
      <c r="BA5" s="28">
        <f t="shared" si="1"/>
        <v>120662</v>
      </c>
      <c r="BB5" s="28">
        <f t="shared" si="1"/>
        <v>120662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64531.28</v>
      </c>
      <c r="F6" s="26" t="s">
        <v>1</v>
      </c>
      <c r="G6" s="26" t="s">
        <v>2</v>
      </c>
      <c r="H6" s="32">
        <f>SUMIF(I$12:AB$12,"总值",I6:AB6)</f>
        <v>64531.28</v>
      </c>
      <c r="I6" s="26">
        <f t="shared" ref="I6:AB6" si="2">ROUND($A$3*I5/$B$3,2)</f>
        <v>64531.28</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64531.28</v>
      </c>
      <c r="AZ6" s="26" t="s">
        <v>3</v>
      </c>
      <c r="BA6" s="26">
        <f>ROUND($AY$6*BA5/$AZ$5,2)</f>
        <v>64531.28</v>
      </c>
      <c r="BB6" s="26">
        <f>ROUND($AY$6*BB5/$AZ$5,2)</f>
        <v>64531.28</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3087</v>
      </c>
      <c r="J9" s="50"/>
      <c r="K9" s="2968" t="s">
        <v>3087</v>
      </c>
      <c r="L9" s="50"/>
      <c r="M9" s="2968" t="s">
        <v>3087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923</v>
      </c>
      <c r="J10" s="50"/>
      <c r="K10" s="2970" t="s">
        <v>3181</v>
      </c>
      <c r="L10" s="50"/>
      <c r="M10" s="2970" t="s">
        <v>1677</v>
      </c>
      <c r="N10" s="50"/>
      <c r="O10" s="65"/>
      <c r="P10" s="50"/>
      <c r="Q10" s="65"/>
      <c r="R10" s="50"/>
      <c r="S10" s="65"/>
      <c r="T10" s="50"/>
      <c r="U10" s="65"/>
      <c r="V10" s="50"/>
      <c r="W10" s="65"/>
      <c r="X10" s="50"/>
      <c r="Y10" s="65"/>
      <c r="Z10" s="50"/>
      <c r="AA10" s="65"/>
      <c r="AB10" s="50"/>
      <c r="AC10" s="54"/>
      <c r="AD10" s="2296" t="s">
        <v>2317</v>
      </c>
      <c r="AE10" s="2318"/>
      <c r="AF10" s="2296" t="s">
        <v>2317</v>
      </c>
      <c r="AG10" s="2318"/>
      <c r="AH10" s="2296" t="s">
        <v>2318</v>
      </c>
      <c r="AI10" s="2318"/>
      <c r="AJ10" s="25" t="s">
        <v>2331</v>
      </c>
      <c r="AK10" s="2315"/>
      <c r="AL10" s="2296" t="s">
        <v>2319</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2330</v>
      </c>
      <c r="AE11" s="999"/>
      <c r="AF11" s="2316" t="s">
        <v>2330</v>
      </c>
      <c r="AG11" s="999"/>
      <c r="AH11" s="2316" t="s">
        <v>2329</v>
      </c>
      <c r="AI11" s="2317"/>
      <c r="AJ11" s="2316" t="s">
        <v>2329</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v>6023</v>
      </c>
      <c r="D13" s="2964" t="s">
        <v>1678</v>
      </c>
      <c r="E13" s="26">
        <f t="shared" ref="E13:E20" si="6">IF($C$3="是",ROUND($A$3*G13/$B$3,2),ROUND($A$3*(G13-AT13)/$B$3,2))</f>
        <v>64531.28</v>
      </c>
      <c r="F13" s="80"/>
      <c r="G13" s="81">
        <f t="shared" ref="G13:G20" si="7">H13+AC13+AT13</f>
        <v>120662</v>
      </c>
      <c r="H13" s="32">
        <f t="shared" ref="H13:H20" si="8">SUMIF(I$12:AB$12,"总值",I13:AB13)</f>
        <v>120662</v>
      </c>
      <c r="I13" s="2967">
        <f>121262-600</f>
        <v>120662</v>
      </c>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6023</v>
      </c>
      <c r="AY13" s="993">
        <f t="shared" ref="AY13:AY20" si="11">ROUND($AY$6*AZ13/$AZ$5,2)</f>
        <v>64531.28</v>
      </c>
      <c r="AZ13" s="26">
        <f t="shared" ref="AZ13:AZ20" si="12">BA13+BL13</f>
        <v>120662</v>
      </c>
      <c r="BA13" s="26">
        <f t="shared" ref="BA13:BA20" si="13">SUM(BB13:BK13)</f>
        <v>120662</v>
      </c>
      <c r="BB13" s="26">
        <f t="shared" ref="BB13:BB20" si="14">IF($D13="是",I13-J13,0)</f>
        <v>120662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3"/>
      <c r="B14" s="2963"/>
      <c r="C14" s="2963">
        <v>6024</v>
      </c>
      <c r="D14" s="2964" t="s">
        <v>3086</v>
      </c>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6024</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4" t="s">
        <v>0</v>
      </c>
      <c r="B1" s="3414" t="s">
        <v>4</v>
      </c>
      <c r="C1" s="3414" t="s">
        <v>5</v>
      </c>
      <c r="D1" s="3415" t="s">
        <v>40</v>
      </c>
      <c r="E1" s="3415" t="s">
        <v>41</v>
      </c>
      <c r="F1" s="3415"/>
      <c r="G1" s="3415"/>
      <c r="H1" s="3415"/>
      <c r="I1" s="3415"/>
      <c r="J1" s="3415"/>
      <c r="K1" s="3415"/>
      <c r="L1" s="3415"/>
      <c r="M1" s="3415"/>
    </row>
    <row r="2" spans="1:13" ht="27" customHeight="1">
      <c r="A2" s="3414"/>
      <c r="B2" s="3414"/>
      <c r="C2" s="3414"/>
      <c r="D2" s="3415"/>
      <c r="E2" s="3415" t="s">
        <v>24</v>
      </c>
      <c r="F2" s="3415" t="s">
        <v>25</v>
      </c>
      <c r="G2" s="3415"/>
      <c r="H2" s="3415"/>
      <c r="I2" s="3415"/>
      <c r="J2" s="3415" t="s">
        <v>26</v>
      </c>
      <c r="K2" s="3415"/>
      <c r="L2" s="3415"/>
      <c r="M2" s="3415"/>
    </row>
    <row r="3" spans="1:13" ht="28.5">
      <c r="A3" s="3414"/>
      <c r="B3" s="3414"/>
      <c r="C3" s="3414"/>
      <c r="D3" s="3415"/>
      <c r="E3" s="34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5" t="s">
        <v>42</v>
      </c>
      <c r="B9" s="3415"/>
      <c r="C9" s="34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3" sqref="J1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425" t="s">
        <v>203</v>
      </c>
      <c r="B2" s="3425"/>
      <c r="C2" s="3425"/>
      <c r="D2" s="1957" t="s">
        <v>204</v>
      </c>
      <c r="E2" s="105" t="s">
        <v>205</v>
      </c>
      <c r="F2" s="1966"/>
      <c r="G2" s="1191"/>
      <c r="H2" s="1192"/>
      <c r="I2" s="1193" t="s">
        <v>857</v>
      </c>
      <c r="J2" s="1966"/>
      <c r="K2" s="1966"/>
      <c r="L2" s="1966"/>
    </row>
    <row r="3" spans="1:16" ht="15.75" thickBot="1">
      <c r="A3" s="3426" t="s">
        <v>206</v>
      </c>
      <c r="B3" s="3426"/>
      <c r="C3" s="3426"/>
      <c r="D3" s="106">
        <f>'数据-基础表'!AY6</f>
        <v>64531.28</v>
      </c>
      <c r="E3" s="106">
        <f>'数据-基础表'!AZ5</f>
        <v>120662</v>
      </c>
      <c r="F3" s="1966"/>
      <c r="G3" s="277" t="s">
        <v>858</v>
      </c>
      <c r="H3" s="272" t="s">
        <v>859</v>
      </c>
      <c r="I3" s="1958">
        <f>ROUND('数据-基础表'!B3/'数据-基础表'!A3,2)</f>
        <v>1.87</v>
      </c>
      <c r="J3" s="1966"/>
      <c r="K3" s="1966"/>
      <c r="L3" s="1966"/>
    </row>
    <row r="4" spans="1:16" ht="15">
      <c r="A4" s="3427"/>
      <c r="B4" s="3428"/>
      <c r="C4" s="3429"/>
      <c r="D4" s="107" t="s">
        <v>204</v>
      </c>
      <c r="E4" s="108" t="s">
        <v>205</v>
      </c>
      <c r="F4" s="1966"/>
      <c r="G4" s="1194"/>
      <c r="H4" s="272" t="s">
        <v>860</v>
      </c>
      <c r="I4" s="1958">
        <f>ROUND(SUMIF('数据-基础表'!I9:AS9,"地上",'数据-基础表'!I5:AS5)/'数据-基础表'!A3,2)</f>
        <v>1.87</v>
      </c>
      <c r="J4" s="1966"/>
      <c r="K4" s="1966"/>
      <c r="L4" s="1966"/>
    </row>
    <row r="5" spans="1:16">
      <c r="A5" s="109" t="s">
        <v>207</v>
      </c>
      <c r="B5" s="3430" t="s">
        <v>230</v>
      </c>
      <c r="C5" s="3430"/>
      <c r="D5" s="110">
        <f>ROUND($D$3*E5/$E$3,2)</f>
        <v>64531.28</v>
      </c>
      <c r="E5" s="111">
        <f>SUMIF('数据-基础表'!$11:$11,"住宅",'数据-基础表'!$5:$5)</f>
        <v>120662</v>
      </c>
      <c r="F5" s="1966"/>
      <c r="G5" s="277" t="s">
        <v>861</v>
      </c>
      <c r="H5" s="272" t="s">
        <v>859</v>
      </c>
      <c r="I5" s="1958">
        <f>ROUND(E31/D31,2)</f>
        <v>1.87</v>
      </c>
      <c r="J5" s="1966"/>
      <c r="K5" s="1966"/>
      <c r="L5" s="1966"/>
    </row>
    <row r="6" spans="1:16" ht="15" thickBot="1">
      <c r="A6" s="112"/>
      <c r="B6" s="3430" t="s">
        <v>208</v>
      </c>
      <c r="C6" s="3430"/>
      <c r="D6" s="110">
        <f>ROUND($D$3*E6/$E$3,2)</f>
        <v>0</v>
      </c>
      <c r="E6" s="111">
        <f>E3-E5</f>
        <v>0</v>
      </c>
      <c r="F6" s="1966"/>
      <c r="G6" s="1194"/>
      <c r="H6" s="272" t="s">
        <v>860</v>
      </c>
      <c r="I6" s="1958">
        <f>ROUND(F31/D31,2)</f>
        <v>1.87</v>
      </c>
      <c r="J6" s="1966"/>
      <c r="K6" s="1966"/>
      <c r="L6" s="1966"/>
    </row>
    <row r="7" spans="1:16" ht="15">
      <c r="A7" s="3422"/>
      <c r="B7" s="3423"/>
      <c r="C7" s="3424"/>
      <c r="D7" s="107" t="s">
        <v>204</v>
      </c>
      <c r="E7" s="113" t="s">
        <v>231</v>
      </c>
      <c r="F7" s="1966"/>
      <c r="G7" s="1149" t="s">
        <v>1645</v>
      </c>
      <c r="H7" s="1150"/>
      <c r="I7" s="1828">
        <v>2</v>
      </c>
      <c r="J7" s="1966"/>
      <c r="K7" s="1966"/>
      <c r="L7" s="1966"/>
    </row>
    <row r="8" spans="1:16">
      <c r="A8" s="109" t="s">
        <v>209</v>
      </c>
      <c r="B8" s="114" t="s">
        <v>210</v>
      </c>
      <c r="C8" s="110" t="s">
        <v>211</v>
      </c>
      <c r="D8" s="110">
        <f t="shared" ref="D8:D15" si="0">ROUND($D$3*E8/$E$3,2)</f>
        <v>64531.28</v>
      </c>
      <c r="E8" s="115">
        <f>SUMIF('数据-基础表'!BB10:BK10,"地上",'数据-基础表'!BB5:BK5)</f>
        <v>120662</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2327</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2334</v>
      </c>
      <c r="D13" s="110">
        <f t="shared" si="0"/>
        <v>0</v>
      </c>
      <c r="E13" s="115">
        <f>SUMPRODUCT(('数据-基础表'!BB10:BK10="地下")*('数据-基础表'!BB11:BK11="车库")*('数据-基础表'!BB5:BK5))</f>
        <v>0</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64531.28</v>
      </c>
      <c r="E16" s="119">
        <f>SUM(E8:E15)</f>
        <v>120662</v>
      </c>
      <c r="F16" s="1966"/>
      <c r="G16" s="1968"/>
      <c r="H16" s="965" t="s">
        <v>219</v>
      </c>
      <c r="I16" s="966"/>
      <c r="J16" s="1966"/>
      <c r="K16" s="3416" t="s">
        <v>2566</v>
      </c>
      <c r="L16" s="3417"/>
      <c r="M16" s="3417"/>
      <c r="N16" s="3417"/>
      <c r="O16" s="3417"/>
      <c r="P16" s="3418"/>
    </row>
    <row r="17" spans="1:19" ht="15">
      <c r="A17" s="120" t="s">
        <v>216</v>
      </c>
      <c r="B17" s="121" t="s">
        <v>217</v>
      </c>
      <c r="C17" s="2280" t="s">
        <v>2313</v>
      </c>
      <c r="D17" s="107" t="s">
        <v>204</v>
      </c>
      <c r="E17" s="123" t="s">
        <v>205</v>
      </c>
      <c r="F17" s="124"/>
      <c r="G17" s="1359"/>
      <c r="H17" s="967" t="s">
        <v>218</v>
      </c>
      <c r="I17" s="968" t="s">
        <v>2312</v>
      </c>
      <c r="J17" s="1966"/>
      <c r="K17" s="3419" t="s">
        <v>2567</v>
      </c>
      <c r="L17" s="3420"/>
      <c r="M17" s="3421"/>
      <c r="N17" s="3419" t="s">
        <v>2568</v>
      </c>
      <c r="O17" s="3420"/>
      <c r="P17" s="3421"/>
      <c r="R17" s="2281" t="s">
        <v>2311</v>
      </c>
      <c r="S17" s="143"/>
    </row>
    <row r="18" spans="1:19" ht="15">
      <c r="A18" s="116"/>
      <c r="B18" s="127"/>
      <c r="C18" s="128"/>
      <c r="D18" s="2603"/>
      <c r="E18" s="129" t="s">
        <v>220</v>
      </c>
      <c r="F18" s="130" t="s">
        <v>221</v>
      </c>
      <c r="G18" s="1360" t="s">
        <v>222</v>
      </c>
      <c r="H18" s="969" t="s">
        <v>223</v>
      </c>
      <c r="I18" s="970" t="s">
        <v>224</v>
      </c>
      <c r="J18" s="1966"/>
      <c r="K18" s="2566" t="s">
        <v>2569</v>
      </c>
      <c r="L18" s="2567" t="s">
        <v>2570</v>
      </c>
      <c r="M18" s="2568" t="s">
        <v>2571</v>
      </c>
      <c r="N18" s="2566" t="s">
        <v>2569</v>
      </c>
      <c r="O18" s="2567" t="s">
        <v>2570</v>
      </c>
      <c r="P18" s="2568" t="s">
        <v>2571</v>
      </c>
      <c r="R18" s="2282" t="s">
        <v>2309</v>
      </c>
      <c r="S18" s="2282" t="s">
        <v>2310</v>
      </c>
    </row>
    <row r="19" spans="1:19">
      <c r="A19" s="132"/>
      <c r="B19" s="114" t="s">
        <v>225</v>
      </c>
      <c r="C19" s="2974" t="s">
        <v>3088</v>
      </c>
      <c r="D19" s="110">
        <f t="shared" ref="D19:D26" si="1">ROUND($D$3*E19/$E$3,2)</f>
        <v>64531.28</v>
      </c>
      <c r="E19" s="133">
        <f t="shared" ref="E19:E26" si="2">SUM(F19:G19)</f>
        <v>120662</v>
      </c>
      <c r="F19" s="134">
        <f>'数据-基础表'!I13</f>
        <v>120662</v>
      </c>
      <c r="G19" s="1361"/>
      <c r="H19" s="971">
        <f>ROUND($D$3*I19/$E$3,2)</f>
        <v>0</v>
      </c>
      <c r="I19" s="115">
        <f>IF($I$17="自定义",P19,M19)</f>
        <v>0</v>
      </c>
      <c r="J19" s="1966"/>
      <c r="K19" s="2569">
        <f t="shared" ref="K19:K26" si="3">ROUND(E$28*E19/E$27,2)</f>
        <v>0</v>
      </c>
      <c r="L19" s="272">
        <f t="shared" ref="L19:L26" si="4">ROUND(IF(COUNTIF(C19,"*住宅*")&gt;0,E$29*E19/E$32,0),2)</f>
        <v>0</v>
      </c>
      <c r="M19" s="2570">
        <f>K19+L19</f>
        <v>0</v>
      </c>
      <c r="N19" s="2571"/>
      <c r="O19" s="2572"/>
      <c r="P19" s="2573">
        <f>N19+O19</f>
        <v>0</v>
      </c>
      <c r="R19" s="272">
        <f t="shared" ref="R19:S26" si="5">D19+H19</f>
        <v>64531.28</v>
      </c>
      <c r="S19" s="2283">
        <f t="shared" si="5"/>
        <v>120662</v>
      </c>
    </row>
    <row r="20" spans="1:19">
      <c r="A20" s="137"/>
      <c r="B20" s="114" t="s">
        <v>226</v>
      </c>
      <c r="C20" s="2974"/>
      <c r="D20" s="110">
        <f t="shared" si="1"/>
        <v>0</v>
      </c>
      <c r="E20" s="133">
        <f t="shared" si="2"/>
        <v>0</v>
      </c>
      <c r="F20" s="134"/>
      <c r="G20" s="1361"/>
      <c r="H20" s="971">
        <f t="shared" ref="H20:H26" si="6">ROUND($D$3*I20/$E$3,2)</f>
        <v>0</v>
      </c>
      <c r="I20" s="115">
        <f t="shared" ref="I20:I26" si="7">IF($I$17="自定义",P20,M20)</f>
        <v>0</v>
      </c>
      <c r="J20" s="1966"/>
      <c r="K20" s="2569">
        <f t="shared" si="3"/>
        <v>0</v>
      </c>
      <c r="L20" s="272">
        <f t="shared" si="4"/>
        <v>0</v>
      </c>
      <c r="M20" s="2570">
        <f t="shared" ref="M20:M26" si="8">K20+L20</f>
        <v>0</v>
      </c>
      <c r="N20" s="2571"/>
      <c r="O20" s="2572"/>
      <c r="P20" s="2573">
        <f t="shared" ref="P20:P26" si="9">N20+O20</f>
        <v>0</v>
      </c>
      <c r="R20" s="272">
        <f t="shared" si="5"/>
        <v>0</v>
      </c>
      <c r="S20" s="2283">
        <f t="shared" si="5"/>
        <v>0</v>
      </c>
    </row>
    <row r="21" spans="1:19">
      <c r="A21" s="137"/>
      <c r="B21" s="114" t="s">
        <v>226</v>
      </c>
      <c r="C21" s="2974"/>
      <c r="D21" s="110">
        <f t="shared" si="1"/>
        <v>0</v>
      </c>
      <c r="E21" s="133">
        <f t="shared" si="2"/>
        <v>0</v>
      </c>
      <c r="F21" s="134"/>
      <c r="G21" s="1361"/>
      <c r="H21" s="971">
        <f t="shared" si="6"/>
        <v>0</v>
      </c>
      <c r="I21" s="115">
        <f t="shared" si="7"/>
        <v>0</v>
      </c>
      <c r="J21" s="1966"/>
      <c r="K21" s="2569">
        <f t="shared" si="3"/>
        <v>0</v>
      </c>
      <c r="L21" s="272">
        <f t="shared" si="4"/>
        <v>0</v>
      </c>
      <c r="M21" s="2570">
        <f t="shared" si="8"/>
        <v>0</v>
      </c>
      <c r="N21" s="2571"/>
      <c r="O21" s="2572"/>
      <c r="P21" s="2573">
        <f t="shared" si="9"/>
        <v>0</v>
      </c>
      <c r="R21" s="272">
        <f t="shared" si="5"/>
        <v>0</v>
      </c>
      <c r="S21" s="2283">
        <f t="shared" si="5"/>
        <v>0</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2">
        <f t="shared" si="4"/>
        <v>0</v>
      </c>
      <c r="M22" s="2570">
        <f t="shared" si="8"/>
        <v>0</v>
      </c>
      <c r="N22" s="2571"/>
      <c r="O22" s="2572"/>
      <c r="P22" s="2573">
        <f t="shared" si="9"/>
        <v>0</v>
      </c>
      <c r="R22" s="272">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2">
        <f t="shared" si="4"/>
        <v>0</v>
      </c>
      <c r="M23" s="2570">
        <f t="shared" si="8"/>
        <v>0</v>
      </c>
      <c r="N23" s="2571"/>
      <c r="O23" s="2572"/>
      <c r="P23" s="2573">
        <f t="shared" si="9"/>
        <v>0</v>
      </c>
      <c r="R23" s="272">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2">
        <f t="shared" si="4"/>
        <v>0</v>
      </c>
      <c r="M24" s="2570">
        <f t="shared" si="8"/>
        <v>0</v>
      </c>
      <c r="N24" s="2571"/>
      <c r="O24" s="2572"/>
      <c r="P24" s="2573">
        <f t="shared" si="9"/>
        <v>0</v>
      </c>
      <c r="R24" s="272">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2">
        <f t="shared" si="4"/>
        <v>0</v>
      </c>
      <c r="M25" s="2570">
        <f t="shared" si="8"/>
        <v>0</v>
      </c>
      <c r="N25" s="2571"/>
      <c r="O25" s="2572"/>
      <c r="P25" s="2573">
        <f t="shared" si="9"/>
        <v>0</v>
      </c>
      <c r="R25" s="272">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7">
        <f t="shared" si="4"/>
        <v>0</v>
      </c>
      <c r="M26" s="145">
        <f t="shared" si="8"/>
        <v>0</v>
      </c>
      <c r="N26" s="2575"/>
      <c r="O26" s="2576"/>
      <c r="P26" s="2577">
        <f t="shared" si="9"/>
        <v>0</v>
      </c>
      <c r="R26" s="272">
        <f t="shared" si="5"/>
        <v>0</v>
      </c>
      <c r="S26" s="2283">
        <f t="shared" si="5"/>
        <v>0</v>
      </c>
    </row>
    <row r="27" spans="1:19" ht="15.75" thickBot="1">
      <c r="A27" s="137"/>
      <c r="B27" s="110"/>
      <c r="C27" s="126" t="s">
        <v>215</v>
      </c>
      <c r="D27" s="133">
        <f>SUM(D19:D26)</f>
        <v>64531.28</v>
      </c>
      <c r="E27" s="142">
        <f>IF(SUM(E19:E26)='数据-基础表'!BA5,SUM(E19:E26),IF(F27="地上面积有误","面积有误","地下面积有误"))</f>
        <v>120662</v>
      </c>
      <c r="F27" s="133">
        <f>IF(SUM(F19:F26)=E8,SUM(F19:F26),"地上面积有误")</f>
        <v>120662</v>
      </c>
      <c r="G27" s="111">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64531.28</v>
      </c>
      <c r="S27" s="272">
        <f>IF(SUM(S19:S26)=$E$3,SUM(S19:S26),SUM(S19:S26)&amp;"误差"&amp;ROUND(SUM(S19:S26)-E3,2))</f>
        <v>120662</v>
      </c>
    </row>
    <row r="28" spans="1:19">
      <c r="A28" s="137"/>
      <c r="B28" s="114" t="s">
        <v>227</v>
      </c>
      <c r="C28" s="135" t="s">
        <v>228</v>
      </c>
      <c r="D28" s="110">
        <f>ROUND($D$3*E28/$E$3,2)</f>
        <v>0</v>
      </c>
      <c r="E28" s="133">
        <f>SUM(F28:G28)</f>
        <v>0</v>
      </c>
      <c r="F28" s="143">
        <f>'数据-基础表'!BQ5+'数据-基础表'!BS5</f>
        <v>0</v>
      </c>
      <c r="G28" s="144">
        <f>'数据-基础表'!BR5+'数据-基础表'!BT5</f>
        <v>0</v>
      </c>
      <c r="H28" s="1966"/>
      <c r="I28" s="1966"/>
      <c r="J28" s="1966"/>
      <c r="K28" s="1966"/>
      <c r="L28" s="1966"/>
    </row>
    <row r="29" spans="1:19">
      <c r="A29" s="137"/>
      <c r="B29" s="114" t="s">
        <v>227</v>
      </c>
      <c r="C29" s="2295" t="s">
        <v>2320</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0</v>
      </c>
      <c r="E30" s="133">
        <f>SUM(E28:E29)</f>
        <v>0</v>
      </c>
      <c r="F30" s="133">
        <f>SUM(F28:F29)</f>
        <v>0</v>
      </c>
      <c r="G30" s="111">
        <f>SUM(G28:G29)</f>
        <v>0</v>
      </c>
      <c r="H30" s="1966"/>
      <c r="I30" s="1966"/>
      <c r="J30" s="1966"/>
      <c r="K30" s="1966"/>
      <c r="L30" s="1966"/>
    </row>
    <row r="31" spans="1:19" ht="32.25" customHeight="1" thickBot="1">
      <c r="A31" s="1363"/>
      <c r="B31" s="1364" t="s">
        <v>229</v>
      </c>
      <c r="C31" s="2312" t="s">
        <v>2322</v>
      </c>
      <c r="D31" s="1365">
        <f>D27+D30</f>
        <v>64531.28</v>
      </c>
      <c r="E31" s="1365">
        <f>E27+E30</f>
        <v>120662</v>
      </c>
      <c r="F31" s="1366">
        <f>F27+F30</f>
        <v>120662</v>
      </c>
      <c r="G31" s="1367">
        <f>G27+G30</f>
        <v>0</v>
      </c>
      <c r="H31" s="1966"/>
      <c r="I31" s="1966"/>
      <c r="J31" s="1966"/>
      <c r="K31" s="1966"/>
      <c r="L31" s="1966"/>
    </row>
    <row r="32" spans="1:19">
      <c r="A32" s="1966"/>
      <c r="B32" s="2324" t="s">
        <v>2321</v>
      </c>
      <c r="C32" s="2608"/>
      <c r="D32" s="1194"/>
      <c r="E32" s="1194">
        <f>SUMIF(C19:C26,"*住宅*",E19:E26)</f>
        <v>120662</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43780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2" t="s">
        <v>2572</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2323</v>
      </c>
      <c r="AI5" s="170" t="s">
        <v>2292</v>
      </c>
      <c r="AJ5" s="170" t="s">
        <v>258</v>
      </c>
      <c r="AK5" s="158" t="s">
        <v>259</v>
      </c>
      <c r="AL5" s="158" t="s">
        <v>260</v>
      </c>
      <c r="AM5" s="171"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923</v>
      </c>
      <c r="D6" s="2290">
        <f>SUMIF(项目基本情况!D$15:I$15,C6,项目基本情况!D$18:I$18)</f>
        <v>70</v>
      </c>
      <c r="E6" s="2291">
        <f>IF(B6="","",SUMIF(项目基本情况!D$15:I$15,C6,项目基本情况!D$17:I$17))</f>
        <v>69336</v>
      </c>
      <c r="F6" s="173">
        <f>SUMIF(项目基本情况!D$15:I$15,C6,项目基本情况!D$19:I$19)</f>
        <v>70</v>
      </c>
      <c r="G6" s="174">
        <f>IF(ISERROR(ROUND(POWER(1+H6,D6-F6)*(POWER(1+H6,F6)-1)/(POWER(1+H6,D6)-1),3)),0,ROUND(POWER(1+H6,D6-F6)*(POWER(1+H6,F6)-1)/(POWER(1+H6,D6)-1),3))</f>
        <v>1</v>
      </c>
      <c r="H6" s="2975">
        <v>0.04</v>
      </c>
      <c r="I6" s="2975">
        <f>建安汇总!C9</f>
        <v>0.04</v>
      </c>
      <c r="J6" s="175">
        <v>0.05</v>
      </c>
      <c r="K6" s="178">
        <f>SUMIF('数据-汇总表'!C$19:C$33,'数据-取费表'!A6,'数据-汇总表'!E$19:E$33)+600</f>
        <v>121262</v>
      </c>
      <c r="L6" s="2976">
        <f>建安汇总!C4</f>
        <v>4400</v>
      </c>
      <c r="M6" s="176">
        <f t="shared" ref="M6:M14" si="0">ROUND(K6*L6/10000,0)</f>
        <v>53355</v>
      </c>
      <c r="N6" s="2977">
        <v>0</v>
      </c>
      <c r="O6" s="176">
        <f>IF($N$5="成新度","——",ROUND(M6*N6,0))</f>
        <v>0</v>
      </c>
      <c r="P6" s="177">
        <f>IF($N$5="成新度","——",M6-O6)</f>
        <v>53355</v>
      </c>
      <c r="Q6" s="2978">
        <f>建安汇总!C5</f>
        <v>0.3</v>
      </c>
      <c r="R6" s="178">
        <f>SUMIF('数据-汇总表'!C$19:C$33,A6,'数据-汇总表'!R$19:R$33)</f>
        <v>64531.28</v>
      </c>
      <c r="S6" s="131">
        <f>IF('数据-汇总表'!$I$17="按面积比例",SUMIF('数据-汇总表'!C$19:C$33,A6,'数据-汇总表'!K$19:K$33),SUMIF('数据-汇总表'!C$19:C$33,A6,'数据-汇总表'!N$19:N$33))</f>
        <v>0</v>
      </c>
      <c r="T6" s="2216" t="str">
        <f>IF($T$4="按面积比例",IF(ISERROR(ROUND($M$14*S6/S$16,0)),"0",ROUND($M$14*S6/S$16,0)),"需自行计算录入")</f>
        <v>0</v>
      </c>
      <c r="U6" s="179"/>
      <c r="V6" s="180">
        <v>0</v>
      </c>
      <c r="W6" s="180">
        <f>建安汇总!C11</f>
        <v>0</v>
      </c>
      <c r="X6" s="2303"/>
      <c r="Y6" s="181">
        <v>1</v>
      </c>
      <c r="Z6" s="182"/>
      <c r="AA6" s="175"/>
      <c r="AB6" s="175"/>
      <c r="AC6" s="2306"/>
      <c r="AD6" s="183"/>
      <c r="AE6" s="969">
        <f ca="1">IF(AN6="",0,SUMIF(INDIRECT("'"&amp;AN6&amp;"'"&amp;"!E:E"),$AE$5,INDIRECT("'"&amp;AN6&amp;"'"&amp;"!F:F")))</f>
        <v>0</v>
      </c>
      <c r="AF6" s="140"/>
      <c r="AG6" s="1206">
        <f>IF(AF6="",0,AE6-AF6)</f>
        <v>0</v>
      </c>
      <c r="AH6" s="140"/>
      <c r="AI6" s="186">
        <v>365</v>
      </c>
      <c r="AJ6" s="187"/>
      <c r="AK6" s="188">
        <v>0.01</v>
      </c>
      <c r="AL6" s="189">
        <v>1E-3</v>
      </c>
      <c r="AM6" s="2989">
        <v>0.01</v>
      </c>
      <c r="AN6" s="2353"/>
      <c r="AO6" s="1982"/>
      <c r="AP6" s="1197">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2" t="s">
        <v>3181</v>
      </c>
      <c r="D7" s="2290">
        <f>SUMIF(项目基本情况!D$15:I$15,C7,项目基本情况!D$18:I$18)</f>
        <v>40</v>
      </c>
      <c r="E7" s="2291" t="str">
        <f>IF(B7="","",SUMIF(项目基本情况!D$15:I$15,C7,项目基本情况!D$17:I$17))</f>
        <v/>
      </c>
      <c r="F7" s="173">
        <f>SUMIF(项目基本情况!D$15:I$15,C7,项目基本情况!D$19:I$19)</f>
        <v>39.99</v>
      </c>
      <c r="G7" s="174">
        <f t="shared" ref="G7:G11" si="2">IF(ISERROR(ROUND(POWER(1+H7,D7-F7)*(POWER(1+H7,F7)-1)/(POWER(1+H7,D7)-1),3)),0,ROUND(POWER(1+H7,D7-F7)*(POWER(1+H7,F7)-1)/(POWER(1+H7,D7)-1),3))</f>
        <v>1</v>
      </c>
      <c r="H7" s="2975">
        <v>4.4999999999999998E-2</v>
      </c>
      <c r="I7" s="2975">
        <f>建安汇总!D9</f>
        <v>4.4999999999999998E-2</v>
      </c>
      <c r="J7" s="175">
        <v>5.5E-2</v>
      </c>
      <c r="K7" s="178">
        <f>SUMIF('数据-汇总表'!C$19:C$33,'数据-取费表'!A7,'数据-汇总表'!E$19:E$33)</f>
        <v>0</v>
      </c>
      <c r="L7" s="2976">
        <f>建安汇总!D4</f>
        <v>4300</v>
      </c>
      <c r="M7" s="176">
        <f t="shared" si="0"/>
        <v>0</v>
      </c>
      <c r="N7" s="2977">
        <v>0</v>
      </c>
      <c r="O7" s="176">
        <f t="shared" ref="O7:O14" si="3">IF($N$5="成新度","——",ROUND(M7*N7,0))</f>
        <v>0</v>
      </c>
      <c r="P7" s="177">
        <f t="shared" ref="P7:P14" si="4">IF($N$5="成新度","——",M7-O7)</f>
        <v>0</v>
      </c>
      <c r="Q7" s="2978">
        <f>建安汇总!D5</f>
        <v>0.25</v>
      </c>
      <c r="R7" s="178">
        <f>SUMIF('数据-汇总表'!C$19:C$33,A7,'数据-汇总表'!R$19:R$33)</f>
        <v>0</v>
      </c>
      <c r="S7" s="131">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v>0</v>
      </c>
      <c r="W7" s="180">
        <f>建安汇总!D11</f>
        <v>0</v>
      </c>
      <c r="X7" s="2303"/>
      <c r="Y7" s="181">
        <v>1</v>
      </c>
      <c r="Z7" s="182"/>
      <c r="AA7" s="175"/>
      <c r="AB7" s="175"/>
      <c r="AC7" s="2306"/>
      <c r="AD7" s="183"/>
      <c r="AE7" s="969">
        <f t="shared" ref="AE7:AE13" ca="1" si="6">IF(AN7="",0,SUMIF(INDIRECT("'"&amp;AN7&amp;"'"&amp;"!E:E"),$AE$5,INDIRECT("'"&amp;AN7&amp;"'"&amp;"!F:F")))</f>
        <v>0</v>
      </c>
      <c r="AF7" s="140"/>
      <c r="AG7" s="1206">
        <f t="shared" ref="AG7:AG13" si="7">IF(AF7="",0,AE7-AF7)</f>
        <v>0</v>
      </c>
      <c r="AH7" s="140"/>
      <c r="AI7" s="186">
        <v>365</v>
      </c>
      <c r="AJ7" s="187"/>
      <c r="AK7" s="188">
        <v>0.01</v>
      </c>
      <c r="AL7" s="189">
        <v>1E-3</v>
      </c>
      <c r="AM7" s="2989">
        <v>0.01</v>
      </c>
      <c r="AN7" s="2353" t="s">
        <v>3182</v>
      </c>
      <c r="AO7" s="1982"/>
      <c r="AP7" s="1197">
        <f t="shared" ref="AP7:AP13" si="8">ROUND(1-1/(1+H7)^F7,3)</f>
        <v>0.82799999999999996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t="s">
        <v>1677</v>
      </c>
      <c r="D8" s="2290">
        <f>SUMIF(项目基本情况!D$15:I$15,C8,项目基本情况!D$18:I$18)</f>
        <v>50</v>
      </c>
      <c r="E8" s="2291" t="str">
        <f>IF(B8="","",SUMIF(项目基本情况!D$15:I$15,C8,项目基本情况!D$17:I$17))</f>
        <v/>
      </c>
      <c r="F8" s="173">
        <f>SUMIF(项目基本情况!D$15:I$15,C8,项目基本情况!D$19:I$19)</f>
        <v>50</v>
      </c>
      <c r="G8" s="174">
        <f t="shared" si="2"/>
        <v>1</v>
      </c>
      <c r="H8" s="2975">
        <v>0.04</v>
      </c>
      <c r="I8" s="2975">
        <f>建安汇总!E9</f>
        <v>0.04</v>
      </c>
      <c r="J8" s="175">
        <v>0.05</v>
      </c>
      <c r="K8" s="178">
        <f>SUMIF('数据-汇总表'!C$19:C$33,'数据-取费表'!A8,'数据-汇总表'!E$19:E$33)</f>
        <v>0</v>
      </c>
      <c r="L8" s="2976">
        <f>建安汇总!E4</f>
        <v>4000</v>
      </c>
      <c r="M8" s="176">
        <f>ROUND(K8*L8/10000,0)</f>
        <v>0</v>
      </c>
      <c r="N8" s="2977">
        <v>0</v>
      </c>
      <c r="O8" s="176">
        <f t="shared" si="3"/>
        <v>0</v>
      </c>
      <c r="P8" s="177">
        <f t="shared" si="4"/>
        <v>0</v>
      </c>
      <c r="Q8" s="2978">
        <f>建安汇总!E5</f>
        <v>0.15</v>
      </c>
      <c r="R8" s="178">
        <f>SUMIF('数据-汇总表'!C$19:C$33,A8,'数据-汇总表'!R$19:R$33)</f>
        <v>0</v>
      </c>
      <c r="S8" s="131">
        <f>IF('数据-汇总表'!$I$17="按面积比例",SUMIF('数据-汇总表'!C$19:C$33,A8,'数据-汇总表'!K$19:K$33),SUMIF('数据-汇总表'!C$19:C$33,A8,'数据-汇总表'!N$19:N$33))</f>
        <v>0</v>
      </c>
      <c r="T8" s="2216" t="str">
        <f t="shared" si="5"/>
        <v>0</v>
      </c>
      <c r="U8" s="179"/>
      <c r="V8" s="180">
        <v>0</v>
      </c>
      <c r="W8" s="180">
        <f>建安汇总!E11</f>
        <v>0.08</v>
      </c>
      <c r="X8" s="2303"/>
      <c r="Y8" s="181">
        <v>1</v>
      </c>
      <c r="Z8" s="182"/>
      <c r="AA8" s="175"/>
      <c r="AB8" s="175"/>
      <c r="AC8" s="2306"/>
      <c r="AD8" s="183"/>
      <c r="AE8" s="969">
        <f t="shared" ca="1" si="6"/>
        <v>0</v>
      </c>
      <c r="AF8" s="140"/>
      <c r="AG8" s="1206">
        <f t="shared" si="7"/>
        <v>0</v>
      </c>
      <c r="AH8" s="140"/>
      <c r="AI8" s="186">
        <v>365</v>
      </c>
      <c r="AJ8" s="187"/>
      <c r="AK8" s="188">
        <v>0.01</v>
      </c>
      <c r="AL8" s="189">
        <v>1E-3</v>
      </c>
      <c r="AM8" s="2989">
        <v>0.01</v>
      </c>
      <c r="AN8" s="2353"/>
      <c r="AO8" s="1982"/>
      <c r="AP8" s="1197">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2314</v>
      </c>
      <c r="B14" s="2288" t="s">
        <v>1679</v>
      </c>
      <c r="C14" s="2289" t="s">
        <v>2314</v>
      </c>
      <c r="D14" s="2290"/>
      <c r="E14" s="2291"/>
      <c r="F14" s="173"/>
      <c r="G14" s="174"/>
      <c r="H14" s="2292"/>
      <c r="I14" s="2292"/>
      <c r="J14" s="2292"/>
      <c r="K14" s="178">
        <f>SUMIF('数据-汇总表'!C$19:C$33,'数据-取费表'!A14,'数据-汇总表'!E$19:E$33)</f>
        <v>0</v>
      </c>
      <c r="L14" s="192">
        <v>3000</v>
      </c>
      <c r="M14" s="176">
        <f t="shared" si="0"/>
        <v>0</v>
      </c>
      <c r="N14" s="193">
        <v>0</v>
      </c>
      <c r="O14" s="176">
        <f t="shared" si="3"/>
        <v>0</v>
      </c>
      <c r="P14" s="177">
        <f t="shared" si="4"/>
        <v>0</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2316</v>
      </c>
      <c r="B15" s="2288" t="s">
        <v>1679</v>
      </c>
      <c r="C15" s="2289" t="s">
        <v>2315</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121262</v>
      </c>
      <c r="L16" s="205">
        <f>ROUND(M16*10000/SUM(K6:K14),0)</f>
        <v>4400</v>
      </c>
      <c r="M16" s="205">
        <f>SUM(M6:M14)</f>
        <v>53355</v>
      </c>
      <c r="N16" s="206">
        <f>ROUND(SUMPRODUCT(M6:M14,N6:N14)/M16,3)</f>
        <v>0</v>
      </c>
      <c r="O16" s="205">
        <f>SUM(O6:O14)</f>
        <v>0</v>
      </c>
      <c r="P16" s="205">
        <f>SUM(P6:P14)</f>
        <v>53355</v>
      </c>
      <c r="Q16" s="207">
        <f>ROUND(SUMPRODUCT(Q6:Q13,K6:K13)/SUMPRODUCT((Q6:Q13&gt;0)*(K6:K13)),2)</f>
        <v>0.3</v>
      </c>
      <c r="R16" s="2293">
        <f>SUM(R6:R13)</f>
        <v>64531.28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0.93600000000000005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f>建安汇总!C7</f>
        <v>2.5</v>
      </c>
      <c r="C20" s="2325" t="s">
        <v>2335</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2338</v>
      </c>
      <c r="B27" s="226">
        <v>150</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2339</v>
      </c>
      <c r="B28" s="228">
        <v>190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2337</v>
      </c>
      <c r="B29" s="231"/>
      <c r="C29" s="1536"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3"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4"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0.05</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324">
        <v>0.15</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300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2">
        <v>1.4999999999999999E-2</v>
      </c>
      <c r="C36" s="2326" t="s">
        <v>2896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3325">
        <v>0.03</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3324">
        <v>0.15</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5">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7">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38">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6" t="s">
        <v>285</v>
      </c>
      <c r="B44" s="239">
        <v>0.05</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6" t="s">
        <v>286</v>
      </c>
      <c r="B45" s="237">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6" t="s">
        <v>287</v>
      </c>
      <c r="B46" s="237">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0" t="s">
        <v>288</v>
      </c>
      <c r="B47" s="241"/>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2" t="s">
        <v>289</v>
      </c>
      <c r="B48" s="243">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4" t="s">
        <v>290</v>
      </c>
      <c r="B49" s="237">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4" t="s">
        <v>291</v>
      </c>
      <c r="B50" s="245">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6">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4" t="s">
        <v>293</v>
      </c>
      <c r="B52" s="247">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48" t="s">
        <v>1415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49"/>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0"/>
      <c r="D64" s="1981"/>
      <c r="K64" s="56"/>
      <c r="L64" s="56"/>
    </row>
    <row r="65" spans="1:12" s="1980" customFormat="1">
      <c r="A65" s="250"/>
      <c r="D65" s="1981"/>
      <c r="K65" s="56"/>
      <c r="L65" s="56"/>
    </row>
    <row r="66" spans="1:12" s="1980" customFormat="1">
      <c r="A66" s="250"/>
      <c r="D66" s="1981"/>
      <c r="K66" s="56"/>
      <c r="L66" s="56"/>
    </row>
    <row r="67" spans="1:12" s="1980" customFormat="1">
      <c r="A67" s="250"/>
      <c r="D67" s="1981"/>
      <c r="K67" s="56"/>
      <c r="L67" s="56"/>
    </row>
    <row r="68" spans="1:12" s="1980" customFormat="1">
      <c r="A68" s="250"/>
      <c r="D68" s="1981"/>
      <c r="K68" s="56"/>
      <c r="L68" s="56"/>
    </row>
    <row r="69" spans="1:12" s="1980" customFormat="1">
      <c r="A69" s="250"/>
      <c r="D69" s="1981"/>
      <c r="K69" s="56"/>
      <c r="L69" s="56"/>
    </row>
    <row r="70" spans="1:12" s="1980" customFormat="1">
      <c r="A70" s="250"/>
      <c r="D70" s="1981"/>
      <c r="K70" s="56"/>
      <c r="L70" s="56"/>
    </row>
    <row r="71" spans="1:12" s="1980" customFormat="1">
      <c r="A71" s="250"/>
      <c r="D71" s="1981"/>
      <c r="K71" s="56"/>
      <c r="L71" s="56"/>
    </row>
    <row r="72" spans="1:12" s="1980" customFormat="1">
      <c r="A72" s="250"/>
      <c r="D72" s="1981"/>
      <c r="K72" s="56"/>
      <c r="L72" s="56"/>
    </row>
    <row r="73" spans="1:12" s="1980" customFormat="1">
      <c r="A73" s="250"/>
      <c r="D73" s="1981"/>
      <c r="K73" s="56"/>
      <c r="L73" s="56"/>
    </row>
    <row r="74" spans="1:12" s="1980" customFormat="1">
      <c r="A74" s="250"/>
      <c r="D74" s="1981"/>
      <c r="K74" s="56"/>
      <c r="L74" s="56"/>
    </row>
    <row r="75" spans="1:12" s="1980" customFormat="1">
      <c r="A75" s="250"/>
      <c r="D75" s="1981"/>
      <c r="K75" s="56"/>
      <c r="L75" s="56"/>
    </row>
    <row r="76" spans="1:12" s="1980" customFormat="1">
      <c r="A76" s="250"/>
      <c r="D76" s="1981"/>
      <c r="K76" s="56"/>
      <c r="L76" s="56"/>
    </row>
    <row r="77" spans="1:12" s="1980" customFormat="1">
      <c r="A77" s="250"/>
      <c r="D77" s="1981"/>
      <c r="K77" s="56"/>
      <c r="L77" s="56"/>
    </row>
    <row r="78" spans="1:12" s="1980" customFormat="1">
      <c r="A78" s="250"/>
      <c r="D78" s="1981"/>
      <c r="K78" s="56"/>
      <c r="L78" s="56"/>
    </row>
    <row r="79" spans="1:12" s="1980" customFormat="1">
      <c r="A79" s="250"/>
      <c r="D79" s="1981"/>
      <c r="K79" s="56"/>
      <c r="L79" s="56"/>
    </row>
    <row r="80" spans="1:12" s="1980" customFormat="1">
      <c r="A80" s="250"/>
      <c r="D80" s="1981"/>
      <c r="K80" s="56"/>
      <c r="L80" s="56"/>
    </row>
    <row r="81" spans="1:12" s="1980" customFormat="1">
      <c r="A81" s="250"/>
      <c r="D81" s="1981"/>
      <c r="K81" s="56"/>
      <c r="L81" s="56"/>
    </row>
    <row r="82" spans="1:12" s="1980" customFormat="1">
      <c r="A82" s="250"/>
      <c r="D82" s="1981"/>
      <c r="K82" s="56"/>
      <c r="L82" s="56"/>
    </row>
    <row r="83" spans="1:12" s="1980" customFormat="1">
      <c r="A83" s="250"/>
      <c r="D83" s="1981"/>
      <c r="K83" s="56"/>
      <c r="L83" s="56"/>
    </row>
    <row r="84" spans="1:12" s="1980" customFormat="1">
      <c r="A84" s="250"/>
      <c r="D84" s="1981"/>
      <c r="K84" s="56"/>
      <c r="L84" s="56"/>
    </row>
    <row r="85" spans="1:12" s="1980" customFormat="1">
      <c r="A85" s="250"/>
      <c r="D85" s="1981"/>
      <c r="K85" s="56"/>
      <c r="L85" s="56"/>
    </row>
    <row r="86" spans="1:12" s="1980" customFormat="1">
      <c r="A86" s="250"/>
      <c r="D86" s="1981"/>
      <c r="K86" s="56"/>
      <c r="L86" s="56"/>
    </row>
    <row r="87" spans="1:12" s="1980" customFormat="1">
      <c r="A87" s="250"/>
      <c r="D87" s="1981"/>
      <c r="K87" s="56"/>
      <c r="L87" s="56"/>
    </row>
    <row r="88" spans="1:12" s="1980" customFormat="1">
      <c r="A88" s="250"/>
      <c r="D88" s="1981"/>
      <c r="K88" s="56"/>
      <c r="L88" s="56"/>
    </row>
    <row r="89" spans="1:12" s="1980" customFormat="1">
      <c r="A89" s="250"/>
      <c r="D89" s="1981"/>
      <c r="K89" s="56"/>
      <c r="L89" s="56"/>
    </row>
    <row r="90" spans="1:12" s="1980" customFormat="1">
      <c r="A90" s="250"/>
      <c r="D90" s="1981"/>
      <c r="K90" s="56"/>
      <c r="L90" s="56"/>
    </row>
    <row r="91" spans="1:12" s="1980" customFormat="1">
      <c r="A91" s="250"/>
      <c r="D91" s="1981"/>
      <c r="K91" s="56"/>
      <c r="L91" s="56"/>
    </row>
    <row r="92" spans="1:12" s="1980" customFormat="1">
      <c r="A92" s="250"/>
      <c r="D92" s="1981"/>
      <c r="K92" s="56"/>
      <c r="L92" s="56"/>
    </row>
    <row r="93" spans="1:12" s="1980" customFormat="1">
      <c r="A93" s="250"/>
      <c r="D93" s="1981"/>
      <c r="K93" s="56"/>
      <c r="L93" s="56"/>
    </row>
    <row r="94" spans="1:12" s="1980" customFormat="1">
      <c r="A94" s="250"/>
      <c r="D94" s="1981"/>
      <c r="K94" s="56"/>
      <c r="L94" s="56"/>
    </row>
    <row r="95" spans="1:12" s="1980" customFormat="1">
      <c r="A95" s="250"/>
      <c r="D95" s="1981"/>
      <c r="K95" s="56"/>
      <c r="L95" s="56"/>
    </row>
    <row r="96" spans="1:12" s="1980" customFormat="1">
      <c r="A96" s="250"/>
      <c r="D96" s="1981"/>
      <c r="K96" s="56"/>
      <c r="L96" s="56"/>
    </row>
    <row r="97" spans="1:12" s="1980" customFormat="1">
      <c r="A97" s="250"/>
      <c r="D97" s="1981"/>
      <c r="K97" s="56"/>
      <c r="L97" s="56"/>
    </row>
    <row r="98" spans="1:12" s="1980" customFormat="1">
      <c r="A98" s="250"/>
      <c r="D98" s="1981"/>
      <c r="K98" s="56"/>
      <c r="L98" s="56"/>
    </row>
    <row r="99" spans="1:12" s="1980" customFormat="1">
      <c r="A99" s="250"/>
      <c r="D99" s="1981"/>
      <c r="K99" s="56"/>
      <c r="L99" s="56"/>
    </row>
    <row r="100" spans="1:12" s="1980" customFormat="1">
      <c r="A100" s="250"/>
      <c r="D100" s="1981"/>
      <c r="K100" s="56"/>
      <c r="L100" s="56"/>
    </row>
    <row r="101" spans="1:12" s="1980" customFormat="1">
      <c r="A101" s="250"/>
      <c r="D101" s="1981"/>
      <c r="K101" s="56"/>
      <c r="L101" s="56"/>
    </row>
    <row r="102" spans="1:12" s="1980" customFormat="1">
      <c r="A102" s="250"/>
      <c r="D102" s="1981"/>
      <c r="K102" s="56"/>
      <c r="L102" s="56"/>
    </row>
    <row r="103" spans="1:12" s="1980" customFormat="1">
      <c r="A103" s="250"/>
      <c r="D103" s="1981"/>
      <c r="K103" s="56"/>
      <c r="L103" s="56"/>
    </row>
    <row r="104" spans="1:12" s="1980" customFormat="1">
      <c r="A104" s="250"/>
      <c r="D104" s="1981"/>
      <c r="K104" s="56"/>
      <c r="L104" s="56"/>
    </row>
    <row r="105" spans="1:12" s="1980" customFormat="1">
      <c r="A105" s="250"/>
      <c r="D105" s="1981"/>
      <c r="K105" s="56"/>
      <c r="L105" s="56"/>
    </row>
    <row r="106" spans="1:12" s="1980" customFormat="1">
      <c r="A106" s="250"/>
      <c r="D106" s="1981"/>
      <c r="K106" s="56"/>
      <c r="L106" s="56"/>
    </row>
    <row r="107" spans="1:12" s="1980" customFormat="1">
      <c r="A107" s="250"/>
      <c r="D107" s="1981"/>
      <c r="K107" s="56"/>
      <c r="L107" s="56"/>
    </row>
    <row r="108" spans="1:12" s="1980" customFormat="1">
      <c r="A108" s="250"/>
      <c r="D108" s="1981"/>
      <c r="K108" s="56"/>
      <c r="L108" s="56"/>
    </row>
    <row r="109" spans="1:12" s="1980" customFormat="1">
      <c r="A109" s="250"/>
      <c r="D109" s="1981"/>
      <c r="K109" s="56"/>
      <c r="L109" s="56"/>
    </row>
    <row r="110" spans="1:12" s="1980" customFormat="1">
      <c r="A110" s="250"/>
      <c r="D110" s="1981"/>
      <c r="K110" s="56"/>
      <c r="L110" s="56"/>
    </row>
    <row r="111" spans="1:12" s="1980" customFormat="1">
      <c r="A111" s="250"/>
      <c r="D111" s="1981"/>
      <c r="K111" s="56"/>
      <c r="L111" s="56"/>
    </row>
    <row r="112" spans="1:12" s="1980" customFormat="1">
      <c r="A112" s="250"/>
      <c r="D112" s="1981"/>
      <c r="K112" s="56"/>
      <c r="L112" s="56"/>
    </row>
    <row r="113" spans="1:12" s="1980" customFormat="1">
      <c r="A113" s="250"/>
      <c r="D113" s="1981"/>
      <c r="K113" s="56"/>
      <c r="L113" s="56"/>
    </row>
    <row r="114" spans="1:12" s="1980" customFormat="1">
      <c r="A114" s="250"/>
      <c r="D114" s="1981"/>
      <c r="K114" s="56"/>
      <c r="L114" s="56"/>
    </row>
    <row r="115" spans="1:12" s="1980" customFormat="1">
      <c r="A115" s="250"/>
      <c r="D115" s="1981"/>
      <c r="K115" s="56"/>
      <c r="L115" s="56"/>
    </row>
    <row r="116" spans="1:12" s="1980" customFormat="1">
      <c r="A116" s="250"/>
      <c r="D116" s="1981"/>
      <c r="K116" s="56"/>
      <c r="L116" s="56"/>
    </row>
    <row r="117" spans="1:12" s="1980" customFormat="1">
      <c r="A117" s="250"/>
      <c r="D117" s="1981"/>
      <c r="K117" s="56"/>
      <c r="L117" s="56"/>
    </row>
    <row r="118" spans="1:12" s="1980" customFormat="1">
      <c r="A118" s="250"/>
      <c r="D118" s="1981"/>
      <c r="K118" s="56"/>
      <c r="L118" s="56"/>
    </row>
    <row r="119" spans="1:12" s="1980" customFormat="1">
      <c r="A119" s="250"/>
      <c r="D119" s="1981"/>
      <c r="K119" s="56"/>
      <c r="L119" s="56"/>
    </row>
    <row r="120" spans="1:12" s="1980" customFormat="1">
      <c r="A120" s="250"/>
      <c r="D120" s="1981"/>
      <c r="K120" s="56"/>
      <c r="L120" s="56"/>
    </row>
    <row r="121" spans="1:12" s="1980" customFormat="1">
      <c r="A121" s="250"/>
      <c r="D121" s="1981"/>
      <c r="K121" s="56"/>
      <c r="L121" s="56"/>
    </row>
    <row r="122" spans="1:12" s="1980" customFormat="1">
      <c r="A122" s="250"/>
      <c r="D122" s="1981"/>
      <c r="K122" s="56"/>
      <c r="L122" s="56"/>
    </row>
    <row r="123" spans="1:12" s="1980" customFormat="1">
      <c r="A123" s="250"/>
      <c r="D123" s="1981"/>
      <c r="K123" s="56"/>
      <c r="L123" s="56"/>
    </row>
    <row r="124" spans="1:12" s="1980" customFormat="1">
      <c r="A124" s="250"/>
      <c r="D124" s="1981"/>
      <c r="K124" s="56"/>
      <c r="L124" s="56"/>
    </row>
    <row r="125" spans="1:12" s="1980" customFormat="1">
      <c r="A125" s="250"/>
      <c r="D125" s="1981"/>
      <c r="K125" s="56"/>
      <c r="L125" s="56"/>
    </row>
    <row r="126" spans="1:12" s="1980" customFormat="1">
      <c r="A126" s="250"/>
      <c r="D126" s="1981"/>
      <c r="K126" s="56"/>
      <c r="L126" s="56"/>
    </row>
    <row r="127" spans="1:12" s="1980" customFormat="1">
      <c r="A127" s="250"/>
      <c r="D127" s="1981"/>
      <c r="K127" s="56"/>
      <c r="L127" s="56"/>
    </row>
    <row r="128" spans="1:12" s="1980" customFormat="1">
      <c r="A128" s="250"/>
      <c r="D128" s="1981"/>
      <c r="K128" s="56"/>
      <c r="L128" s="56"/>
    </row>
    <row r="129" spans="1:12" s="1980" customFormat="1">
      <c r="A129" s="250"/>
      <c r="D129" s="1981"/>
      <c r="K129" s="56"/>
      <c r="L129" s="56"/>
    </row>
    <row r="130" spans="1:12" s="1980" customFormat="1">
      <c r="A130" s="250"/>
      <c r="D130" s="1981"/>
      <c r="K130" s="56"/>
      <c r="L130" s="56"/>
    </row>
    <row r="131" spans="1:12" s="1980" customFormat="1">
      <c r="A131" s="250"/>
      <c r="D131" s="1981"/>
      <c r="K131" s="56"/>
      <c r="L131" s="56"/>
    </row>
    <row r="132" spans="1:12" s="1980" customFormat="1">
      <c r="A132" s="250"/>
      <c r="D132" s="1981"/>
      <c r="K132" s="56"/>
      <c r="L132" s="56"/>
    </row>
    <row r="133" spans="1:12" s="1980" customFormat="1">
      <c r="A133" s="250"/>
      <c r="D133" s="1981"/>
      <c r="K133" s="56"/>
      <c r="L133" s="56"/>
    </row>
    <row r="134" spans="1:12" s="1980" customFormat="1">
      <c r="A134" s="250"/>
      <c r="D134" s="1981"/>
      <c r="K134" s="56"/>
      <c r="L134" s="56"/>
    </row>
    <row r="135" spans="1:12" s="1980" customFormat="1">
      <c r="A135" s="250"/>
      <c r="D135" s="1981"/>
      <c r="K135" s="56"/>
      <c r="L135" s="56"/>
    </row>
    <row r="136" spans="1:12" s="1980" customFormat="1">
      <c r="A136" s="250"/>
      <c r="D136" s="1981"/>
      <c r="K136" s="56"/>
      <c r="L136" s="56"/>
    </row>
    <row r="137" spans="1:12" s="1980" customFormat="1">
      <c r="A137" s="250"/>
      <c r="D137" s="1981"/>
      <c r="K137" s="56"/>
      <c r="L137" s="56"/>
    </row>
    <row r="138" spans="1:12" s="1980" customFormat="1">
      <c r="A138" s="250"/>
      <c r="D138" s="1981"/>
      <c r="K138" s="56"/>
      <c r="L138" s="56"/>
    </row>
    <row r="139" spans="1:12" s="1980" customFormat="1">
      <c r="A139" s="250"/>
      <c r="D139" s="1981"/>
      <c r="K139" s="56"/>
      <c r="L139" s="56"/>
    </row>
    <row r="140" spans="1:12" s="1980" customFormat="1">
      <c r="A140" s="250"/>
      <c r="D140" s="1981"/>
      <c r="K140" s="56"/>
      <c r="L140" s="56"/>
    </row>
    <row r="141" spans="1:12" s="1980" customFormat="1">
      <c r="A141" s="250"/>
      <c r="D141" s="1981"/>
      <c r="K141" s="56"/>
      <c r="L141" s="56"/>
    </row>
    <row r="142" spans="1:12" s="1980" customFormat="1">
      <c r="A142" s="250"/>
      <c r="D142" s="1981"/>
      <c r="K142" s="56"/>
      <c r="L142" s="56"/>
    </row>
    <row r="143" spans="1:12" s="1980" customFormat="1">
      <c r="A143" s="250"/>
      <c r="D143" s="1981"/>
      <c r="K143" s="56"/>
      <c r="L143" s="56"/>
    </row>
    <row r="144" spans="1:12" s="1980" customFormat="1">
      <c r="A144" s="250"/>
      <c r="D144" s="1981"/>
      <c r="K144" s="56"/>
      <c r="L144" s="56"/>
    </row>
    <row r="145" spans="1:12" s="1980" customFormat="1">
      <c r="A145" s="250"/>
      <c r="D145" s="1981"/>
      <c r="K145" s="56"/>
      <c r="L145" s="56"/>
    </row>
    <row r="146" spans="1:12" s="1980" customFormat="1">
      <c r="A146" s="250"/>
      <c r="D146" s="1981"/>
      <c r="K146" s="56"/>
      <c r="L146" s="56"/>
    </row>
    <row r="147" spans="1:12" s="1980" customFormat="1">
      <c r="A147" s="250"/>
      <c r="D147" s="1981"/>
      <c r="K147" s="56"/>
      <c r="L147" s="56"/>
    </row>
    <row r="148" spans="1:12" s="1980" customFormat="1">
      <c r="A148" s="250"/>
      <c r="D148" s="1981"/>
      <c r="K148" s="56"/>
      <c r="L148" s="56"/>
    </row>
    <row r="149" spans="1:12" s="1980" customFormat="1">
      <c r="A149" s="250"/>
      <c r="D149" s="1981"/>
      <c r="K149" s="56"/>
      <c r="L149" s="56"/>
    </row>
    <row r="150" spans="1:12" s="1980" customFormat="1">
      <c r="A150" s="250"/>
      <c r="D150" s="1981"/>
      <c r="K150" s="56"/>
      <c r="L150" s="56"/>
    </row>
    <row r="151" spans="1:12" s="1980" customFormat="1">
      <c r="A151" s="250"/>
      <c r="D151" s="1981"/>
      <c r="K151" s="56"/>
      <c r="L151" s="56"/>
    </row>
    <row r="152" spans="1:12" s="1980" customFormat="1">
      <c r="A152" s="250"/>
      <c r="D152" s="1981"/>
      <c r="K152" s="56"/>
      <c r="L152" s="56"/>
    </row>
    <row r="153" spans="1:12" s="1980" customFormat="1">
      <c r="A153" s="250"/>
      <c r="D153" s="1981"/>
      <c r="K153" s="56"/>
      <c r="L153" s="56"/>
    </row>
    <row r="154" spans="1:12" s="1980" customFormat="1">
      <c r="A154" s="250"/>
      <c r="D154" s="1981"/>
      <c r="K154" s="56"/>
      <c r="L154" s="56"/>
    </row>
    <row r="155" spans="1:12" s="1980" customFormat="1">
      <c r="A155" s="250"/>
      <c r="D155" s="1981"/>
      <c r="K155" s="56"/>
      <c r="L155" s="56"/>
    </row>
    <row r="156" spans="1:12" s="1980" customFormat="1">
      <c r="A156" s="250"/>
      <c r="D156" s="1981"/>
      <c r="K156" s="56"/>
      <c r="L156" s="56"/>
    </row>
    <row r="157" spans="1:12" s="1980" customFormat="1">
      <c r="A157" s="250"/>
      <c r="D157" s="1981"/>
      <c r="K157" s="56"/>
      <c r="L157" s="56"/>
    </row>
    <row r="158" spans="1:12" s="1980" customFormat="1">
      <c r="A158" s="250"/>
      <c r="D158" s="1981"/>
      <c r="K158" s="56"/>
      <c r="L158" s="56"/>
    </row>
    <row r="159" spans="1:12" s="1980" customFormat="1">
      <c r="A159" s="250"/>
      <c r="D159" s="1981"/>
      <c r="K159" s="56"/>
      <c r="L159" s="56"/>
    </row>
    <row r="160" spans="1:12" s="1980" customFormat="1">
      <c r="A160" s="250"/>
      <c r="D160" s="1981"/>
      <c r="K160" s="56"/>
      <c r="L160" s="56"/>
    </row>
    <row r="161" spans="1:12" s="1980" customFormat="1">
      <c r="A161" s="250"/>
      <c r="D161" s="1981"/>
      <c r="K161" s="56"/>
      <c r="L161" s="56"/>
    </row>
    <row r="162" spans="1:12" s="1980" customFormat="1">
      <c r="A162" s="250"/>
      <c r="D162" s="1981"/>
      <c r="K162" s="56"/>
      <c r="L162" s="56"/>
    </row>
    <row r="163" spans="1:12" s="1980" customFormat="1">
      <c r="A163" s="250"/>
      <c r="D163" s="1981"/>
      <c r="K163" s="56"/>
      <c r="L163" s="56"/>
    </row>
    <row r="164" spans="1:12" s="1980" customFormat="1">
      <c r="A164" s="250"/>
      <c r="D164" s="1981"/>
      <c r="K164" s="56"/>
      <c r="L164" s="56"/>
    </row>
    <row r="165" spans="1:12" s="1980" customFormat="1">
      <c r="A165" s="250"/>
      <c r="D165" s="1981"/>
      <c r="K165" s="56"/>
      <c r="L165" s="56"/>
    </row>
    <row r="166" spans="1:12" s="1980" customFormat="1">
      <c r="A166" s="250"/>
      <c r="D166" s="1981"/>
      <c r="K166" s="56"/>
      <c r="L166" s="56"/>
    </row>
    <row r="167" spans="1:12" s="1980" customFormat="1">
      <c r="A167" s="250"/>
      <c r="D167" s="1981"/>
      <c r="K167" s="56"/>
      <c r="L167" s="56"/>
    </row>
    <row r="168" spans="1:12" s="1980" customFormat="1">
      <c r="A168" s="250"/>
      <c r="D168" s="1981"/>
      <c r="K168" s="56"/>
      <c r="L168" s="56"/>
    </row>
    <row r="169" spans="1:12" s="1980" customFormat="1">
      <c r="A169" s="250"/>
      <c r="D169" s="1981"/>
      <c r="K169" s="56"/>
      <c r="L169" s="56"/>
    </row>
    <row r="170" spans="1:12" s="1980" customFormat="1">
      <c r="A170" s="250"/>
      <c r="D170" s="1981"/>
      <c r="K170" s="56"/>
      <c r="L170" s="56"/>
    </row>
    <row r="171" spans="1:12" s="1980" customFormat="1">
      <c r="A171" s="250"/>
      <c r="D171" s="1981"/>
      <c r="K171" s="56"/>
      <c r="L171" s="56"/>
    </row>
    <row r="172" spans="1:12" s="1980" customFormat="1">
      <c r="A172" s="250"/>
      <c r="D172" s="1981"/>
      <c r="K172" s="56"/>
      <c r="L172" s="56"/>
    </row>
    <row r="173" spans="1:12" s="1980" customFormat="1">
      <c r="A173" s="250"/>
      <c r="D173" s="1981"/>
      <c r="K173" s="56"/>
      <c r="L173" s="56"/>
    </row>
    <row r="174" spans="1:12" s="1980" customFormat="1">
      <c r="A174" s="250"/>
      <c r="D174" s="1981"/>
      <c r="K174" s="56"/>
      <c r="L174" s="56"/>
    </row>
    <row r="175" spans="1:12" s="1980" customFormat="1">
      <c r="A175" s="250"/>
      <c r="D175" s="1981"/>
      <c r="K175" s="56"/>
      <c r="L175" s="56"/>
    </row>
    <row r="176" spans="1:12" s="1980" customFormat="1">
      <c r="A176" s="250"/>
      <c r="D176" s="1981"/>
      <c r="K176" s="56"/>
      <c r="L176" s="56"/>
    </row>
    <row r="177" spans="1:12" s="1980" customFormat="1">
      <c r="A177" s="250"/>
      <c r="D177" s="1981"/>
      <c r="K177" s="56"/>
      <c r="L177" s="56"/>
    </row>
    <row r="178" spans="1:12" s="1980" customFormat="1">
      <c r="A178" s="250"/>
      <c r="D178" s="1981"/>
      <c r="K178" s="56"/>
      <c r="L178" s="56"/>
    </row>
    <row r="179" spans="1:12" s="1980" customFormat="1">
      <c r="A179" s="250"/>
      <c r="D179" s="1981"/>
      <c r="K179" s="56"/>
      <c r="L179" s="56"/>
    </row>
    <row r="180" spans="1:12" s="1980" customFormat="1">
      <c r="A180" s="250"/>
      <c r="D180" s="1981"/>
      <c r="K180" s="56"/>
      <c r="L180" s="56"/>
    </row>
    <row r="181" spans="1:12" s="1980" customFormat="1">
      <c r="A181" s="250"/>
      <c r="D181" s="1981"/>
      <c r="K181" s="56"/>
      <c r="L181" s="56"/>
    </row>
    <row r="182" spans="1:12" s="1980" customFormat="1">
      <c r="A182" s="250"/>
      <c r="D182" s="1981"/>
      <c r="K182" s="56"/>
      <c r="L182" s="56"/>
    </row>
    <row r="183" spans="1:12" s="1980" customFormat="1">
      <c r="A183" s="250"/>
      <c r="D183" s="1981"/>
      <c r="K183" s="56"/>
      <c r="L183" s="56"/>
    </row>
    <row r="184" spans="1:12" s="1980" customFormat="1">
      <c r="A184" s="250"/>
      <c r="D184" s="1981"/>
      <c r="K184" s="56"/>
      <c r="L184" s="56"/>
    </row>
    <row r="185" spans="1:12" s="1980" customFormat="1">
      <c r="A185" s="250"/>
      <c r="D185" s="1981"/>
      <c r="K185" s="56"/>
      <c r="L185" s="56"/>
    </row>
    <row r="186" spans="1:12" s="1980" customFormat="1">
      <c r="A186" s="250"/>
      <c r="D186" s="1981"/>
      <c r="K186" s="56"/>
      <c r="L186" s="56"/>
    </row>
    <row r="187" spans="1:12" s="1980" customFormat="1">
      <c r="A187" s="250"/>
      <c r="D187" s="1981"/>
      <c r="K187" s="56"/>
      <c r="L187" s="56"/>
    </row>
    <row r="188" spans="1:12" s="1980" customFormat="1">
      <c r="A188" s="250"/>
      <c r="D188" s="1981"/>
      <c r="K188" s="56"/>
      <c r="L188" s="56"/>
    </row>
    <row r="189" spans="1:12" s="1980" customFormat="1">
      <c r="A189" s="250"/>
      <c r="D189" s="1981"/>
      <c r="K189" s="56"/>
      <c r="L189" s="56"/>
    </row>
    <row r="190" spans="1:12" s="1980" customFormat="1">
      <c r="A190" s="250"/>
      <c r="D190" s="1981"/>
      <c r="K190" s="56"/>
      <c r="L190" s="56"/>
    </row>
    <row r="191" spans="1:12" s="1980" customFormat="1">
      <c r="A191" s="250"/>
      <c r="D191" s="1981"/>
      <c r="K191" s="56"/>
      <c r="L191" s="56"/>
    </row>
    <row r="192" spans="1:12" s="1980" customFormat="1">
      <c r="A192" s="250"/>
      <c r="D192" s="1981"/>
      <c r="K192" s="56"/>
      <c r="L192" s="56"/>
    </row>
  </sheetData>
  <sheetProtection password="C66D" sheet="1" objects="1" scenarios="1" formatCells="0" formatColumns="0" formatRows="0"/>
  <dataConsolidate/>
  <phoneticPr fontId="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431" t="s">
        <v>1663</v>
      </c>
      <c r="B1" s="3432"/>
      <c r="C1" s="3432"/>
      <c r="D1" s="3432"/>
      <c r="E1" s="3432"/>
      <c r="F1" s="3432"/>
      <c r="G1" s="3432"/>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30" t="s">
        <v>2922</v>
      </c>
      <c r="D3" s="1991"/>
      <c r="E3" s="1222" t="s">
        <v>1666</v>
      </c>
      <c r="F3" s="1223" t="s">
        <v>1654</v>
      </c>
      <c r="G3" s="3034" t="s">
        <v>2921</v>
      </c>
      <c r="H3" s="1990"/>
      <c r="I3" s="1990"/>
      <c r="J3" s="1990"/>
      <c r="K3" s="1990"/>
      <c r="L3" s="1990"/>
      <c r="M3" s="1990"/>
      <c r="N3" s="1990"/>
      <c r="O3" s="1990"/>
      <c r="P3" s="1990"/>
      <c r="Q3" s="1990"/>
      <c r="R3" s="1990"/>
    </row>
    <row r="4" spans="1:18" ht="41.25">
      <c r="A4" s="1222"/>
      <c r="B4" s="1224" t="s">
        <v>1667</v>
      </c>
      <c r="C4" s="3031" t="s">
        <v>2923</v>
      </c>
      <c r="D4" s="1991"/>
      <c r="E4" s="1225"/>
      <c r="F4" s="1226" t="s">
        <v>1668</v>
      </c>
      <c r="G4" s="3032" t="s">
        <v>2918</v>
      </c>
      <c r="H4" s="1990"/>
      <c r="I4" s="1990"/>
      <c r="J4" s="1990"/>
      <c r="K4" s="1990"/>
      <c r="L4" s="1990"/>
      <c r="M4" s="1990"/>
      <c r="N4" s="1990"/>
      <c r="O4" s="1990"/>
      <c r="P4" s="1990"/>
      <c r="Q4" s="1990"/>
      <c r="R4" s="1990"/>
    </row>
    <row r="5" spans="1:18" ht="41.25">
      <c r="A5" s="1222"/>
      <c r="B5" s="1224" t="s">
        <v>1669</v>
      </c>
      <c r="C5" s="3031" t="s">
        <v>2924</v>
      </c>
      <c r="D5" s="1991"/>
      <c r="E5" s="1225"/>
      <c r="F5" s="1224" t="s">
        <v>2546</v>
      </c>
      <c r="G5" s="3032" t="s">
        <v>2919</v>
      </c>
      <c r="H5" s="1990"/>
      <c r="I5" s="1990"/>
      <c r="J5" s="1990"/>
      <c r="K5" s="1990"/>
      <c r="L5" s="1990"/>
      <c r="M5" s="1990"/>
      <c r="N5" s="1990"/>
      <c r="O5" s="1990"/>
      <c r="P5" s="1990"/>
      <c r="Q5" s="1990"/>
      <c r="R5" s="1990"/>
    </row>
    <row r="6" spans="1:18" ht="54">
      <c r="A6" s="1222"/>
      <c r="B6" s="1224" t="s">
        <v>1655</v>
      </c>
      <c r="C6" s="3032" t="s">
        <v>2918</v>
      </c>
      <c r="D6" s="1991"/>
      <c r="E6" s="1225"/>
      <c r="F6" s="1224" t="s">
        <v>2547</v>
      </c>
      <c r="G6" s="3032" t="s">
        <v>2916</v>
      </c>
      <c r="H6" s="1990"/>
      <c r="I6" s="1990"/>
      <c r="J6" s="1990"/>
      <c r="K6" s="1990"/>
      <c r="L6" s="1990"/>
      <c r="M6" s="1990"/>
      <c r="N6" s="1990"/>
      <c r="O6" s="1990"/>
      <c r="P6" s="1990"/>
      <c r="Q6" s="1990"/>
      <c r="R6" s="1990"/>
    </row>
    <row r="7" spans="1:18" ht="41.25" thickBot="1">
      <c r="A7" s="1222"/>
      <c r="B7" s="1224" t="s">
        <v>2546</v>
      </c>
      <c r="C7" s="3032" t="s">
        <v>2919</v>
      </c>
      <c r="D7" s="1992"/>
      <c r="E7" s="1227"/>
      <c r="F7" s="1228" t="s">
        <v>1670</v>
      </c>
      <c r="G7" s="3035" t="s">
        <v>2920</v>
      </c>
      <c r="H7" s="1990"/>
      <c r="I7" s="1990"/>
      <c r="J7" s="1990"/>
      <c r="K7" s="1990"/>
      <c r="L7" s="1990"/>
      <c r="M7" s="1990"/>
      <c r="N7" s="1990"/>
      <c r="O7" s="1990"/>
      <c r="P7" s="1990"/>
      <c r="Q7" s="1990"/>
      <c r="R7" s="1990"/>
    </row>
    <row r="8" spans="1:18" ht="27">
      <c r="A8" s="1222"/>
      <c r="B8" s="1224" t="s">
        <v>2547</v>
      </c>
      <c r="C8" s="3032" t="s">
        <v>2916</v>
      </c>
      <c r="D8" s="1992"/>
      <c r="E8" s="1992"/>
      <c r="F8" s="1537"/>
      <c r="G8" s="1537"/>
      <c r="H8" s="1990"/>
      <c r="I8" s="1990"/>
      <c r="J8" s="1990"/>
      <c r="K8" s="1990"/>
      <c r="L8" s="1990"/>
      <c r="M8" s="1990"/>
      <c r="N8" s="1990"/>
      <c r="O8" s="1990"/>
      <c r="P8" s="1990"/>
      <c r="Q8" s="1990"/>
      <c r="R8" s="1990"/>
    </row>
    <row r="9" spans="1:18" ht="40.5">
      <c r="A9" s="1222"/>
      <c r="B9" s="1224" t="s">
        <v>1656</v>
      </c>
      <c r="C9" s="3031" t="s">
        <v>2917</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2546</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2547</v>
      </c>
      <c r="G20" s="1002" t="str">
        <f>G6</f>
        <v>估价对象所在区域基础设施水平</v>
      </c>
    </row>
    <row r="21" spans="1:7" ht="27">
      <c r="A21" s="2550"/>
      <c r="B21" s="1224" t="s">
        <v>2546</v>
      </c>
      <c r="C21" s="1002" t="str">
        <f>C7</f>
        <v>估价对象所在区域公共配套设施齐备情况</v>
      </c>
      <c r="D21" s="1991"/>
      <c r="E21" s="2547"/>
      <c r="F21" s="1240" t="s">
        <v>1661</v>
      </c>
      <c r="G21" s="3036"/>
    </row>
    <row r="22" spans="1:7" ht="27">
      <c r="A22" s="2550"/>
      <c r="B22" s="1224" t="s">
        <v>2547</v>
      </c>
      <c r="C22" s="1002" t="str">
        <f>C8</f>
        <v>估价对象所在区域基础设施水平</v>
      </c>
      <c r="D22" s="1991"/>
      <c r="E22" s="2547"/>
      <c r="F22" s="1240" t="s">
        <v>1671</v>
      </c>
      <c r="G22" s="2747"/>
    </row>
    <row r="23" spans="1:7" ht="15" thickBot="1">
      <c r="A23" s="2550"/>
      <c r="B23" s="1240" t="s">
        <v>1661</v>
      </c>
      <c r="C23" s="3036"/>
      <c r="E23" s="2548"/>
      <c r="F23" s="1241" t="s">
        <v>1675</v>
      </c>
      <c r="G23" s="3037"/>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120662</v>
      </c>
      <c r="C1" s="2995"/>
      <c r="D1" s="2995"/>
      <c r="E1" s="2995"/>
      <c r="F1" s="2995"/>
    </row>
    <row r="2" spans="1:9" ht="16.5">
      <c r="A2" s="2994" t="s">
        <v>2844</v>
      </c>
      <c r="B2" s="2994">
        <f>SUM(C14:C23)</f>
        <v>64531.28</v>
      </c>
      <c r="C2" s="2995"/>
      <c r="D2" s="2995"/>
      <c r="E2" s="2995"/>
      <c r="F2" s="2995"/>
    </row>
    <row r="3" spans="1:9" ht="16.5">
      <c r="A3" s="2994" t="s">
        <v>2845</v>
      </c>
      <c r="B3" s="2996">
        <f>项目基本情况!D3</f>
        <v>43780</v>
      </c>
      <c r="C3" s="2995"/>
      <c r="D3" s="2995"/>
      <c r="E3" s="2995"/>
      <c r="F3" s="2995"/>
    </row>
    <row r="4" spans="1:9" ht="33">
      <c r="A4" s="2994" t="s">
        <v>2846</v>
      </c>
      <c r="B4" s="2994" t="s">
        <v>2847</v>
      </c>
      <c r="C4" s="2994" t="s">
        <v>2848</v>
      </c>
      <c r="D4" s="2994" t="s">
        <v>2849</v>
      </c>
      <c r="E4" s="2995"/>
      <c r="F4" s="2995"/>
    </row>
    <row r="5" spans="1:9" ht="16.5">
      <c r="A5" s="2994" t="s">
        <v>2850</v>
      </c>
      <c r="B5" s="2994">
        <f ca="1">SUM(D14:D23)</f>
        <v>74548</v>
      </c>
      <c r="C5" s="2994">
        <f ca="1">ROUND(B5*10000/$B$1,0)</f>
        <v>6178</v>
      </c>
      <c r="D5" s="2994">
        <f ca="1">ROUND(B5*10000/$B$2,0)</f>
        <v>11552</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120662</v>
      </c>
      <c r="C14" s="2998">
        <f>结果表!K38</f>
        <v>64531.28</v>
      </c>
      <c r="D14" s="2998">
        <f ca="1">结果表!C42</f>
        <v>74548</v>
      </c>
      <c r="E14" s="2998">
        <f ca="1">ROUND(D14*10000/B14,0)</f>
        <v>6178</v>
      </c>
      <c r="F14" s="2998">
        <f ca="1">ROUND(D14*10000/C14,0)</f>
        <v>11552</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3:F16"/>
  <sheetViews>
    <sheetView workbookViewId="0">
      <selection activeCell="E8" sqref="E8"/>
    </sheetView>
  </sheetViews>
  <sheetFormatPr defaultRowHeight="13.5"/>
  <cols>
    <col min="6" max="6" width="39.75" customWidth="1"/>
  </cols>
  <sheetData>
    <row r="3" spans="2:6">
      <c r="B3" s="3227"/>
      <c r="C3" s="3228" t="s">
        <v>3057</v>
      </c>
      <c r="D3" s="3228" t="s">
        <v>3058</v>
      </c>
      <c r="E3" s="3228" t="s">
        <v>3059</v>
      </c>
    </row>
    <row r="4" spans="2:6">
      <c r="B4" s="3229" t="s">
        <v>3060</v>
      </c>
      <c r="C4" s="3233">
        <v>4400</v>
      </c>
      <c r="D4" s="3233">
        <v>4300</v>
      </c>
      <c r="E4" s="3233">
        <v>4000</v>
      </c>
    </row>
    <row r="5" spans="2:6">
      <c r="B5" s="3230" t="s">
        <v>3061</v>
      </c>
      <c r="C5" s="3234">
        <v>0.3</v>
      </c>
      <c r="D5" s="3234">
        <v>0.25</v>
      </c>
      <c r="E5" s="3234">
        <v>0.15</v>
      </c>
    </row>
    <row r="6" spans="2:6">
      <c r="B6" s="3231" t="s">
        <v>3062</v>
      </c>
      <c r="C6" s="3235" t="s">
        <v>3063</v>
      </c>
      <c r="D6" s="3235">
        <v>3.1</v>
      </c>
      <c r="E6" s="3235">
        <f>'[3]不动产比较法-办公'!$C$50</f>
        <v>2.3199999999999998</v>
      </c>
    </row>
    <row r="7" spans="2:6">
      <c r="B7" s="3232" t="s">
        <v>3064</v>
      </c>
      <c r="C7" s="3236">
        <v>2.5</v>
      </c>
      <c r="D7" s="3236"/>
      <c r="E7" s="3236"/>
    </row>
    <row r="8" spans="2:6">
      <c r="B8" s="3232" t="s">
        <v>3065</v>
      </c>
      <c r="C8" s="3236">
        <f>'剩余法-待开发'!C8</f>
        <v>23406</v>
      </c>
      <c r="D8" s="3236">
        <f>'[4]剩余法-待开发'!$D$8</f>
        <v>15822</v>
      </c>
      <c r="E8" s="3236">
        <f ca="1">'[3]剩余法-待开发'!$E$8</f>
        <v>131.77305199648606</v>
      </c>
    </row>
    <row r="9" spans="2:6" ht="27">
      <c r="B9" s="3290" t="s">
        <v>3066</v>
      </c>
      <c r="C9" s="3289">
        <v>0.04</v>
      </c>
      <c r="D9" s="3237">
        <v>4.4999999999999998E-2</v>
      </c>
      <c r="E9" s="3237">
        <v>0.04</v>
      </c>
    </row>
    <row r="10" spans="2:6" ht="27">
      <c r="B10" s="3290" t="s">
        <v>3067</v>
      </c>
      <c r="C10" s="3236"/>
      <c r="D10" s="3237"/>
      <c r="E10" s="3237"/>
    </row>
    <row r="11" spans="2:6">
      <c r="B11" s="3232" t="s">
        <v>3186</v>
      </c>
      <c r="C11" s="3291"/>
      <c r="D11" s="3291"/>
      <c r="E11" s="3291">
        <v>0.08</v>
      </c>
    </row>
    <row r="16" spans="2:6">
      <c r="F16" s="3232" t="s">
        <v>3254</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T52"/>
  <sheetViews>
    <sheetView topLeftCell="B55" workbookViewId="0">
      <selection activeCell="J13" sqref="J13"/>
    </sheetView>
  </sheetViews>
  <sheetFormatPr defaultRowHeight="13.5"/>
  <cols>
    <col min="1" max="1" width="3.875" style="3180" hidden="1" customWidth="1"/>
    <col min="2" max="2" width="26.25" style="3180" customWidth="1"/>
    <col min="3" max="3" width="21.875" style="3180" customWidth="1"/>
    <col min="4" max="4" width="19.375" style="3180" customWidth="1"/>
    <col min="5" max="5" width="24.875" style="3180" customWidth="1"/>
    <col min="6" max="6" width="9.625" style="3180" customWidth="1"/>
    <col min="7" max="7" width="17" style="3180" customWidth="1"/>
    <col min="8" max="8" width="16.125" style="3180" customWidth="1"/>
    <col min="9" max="9" width="18.375" style="3180" customWidth="1"/>
    <col min="10" max="10" width="12" style="3180" bestFit="1" customWidth="1"/>
    <col min="11" max="11" width="9" style="3180"/>
    <col min="12" max="12" width="0" hidden="1" customWidth="1"/>
    <col min="13" max="13" width="11.625" style="3180" bestFit="1" customWidth="1"/>
    <col min="14" max="14" width="9" style="3180"/>
    <col min="15" max="15" width="15.375" style="3180" customWidth="1"/>
    <col min="16" max="16384" width="9" style="3180"/>
  </cols>
  <sheetData>
    <row r="1" spans="2:20" hidden="1"/>
    <row r="2" spans="2:20" hidden="1"/>
    <row r="3" spans="2:20" hidden="1"/>
    <row r="4" spans="2:20" ht="30" customHeight="1">
      <c r="D4" s="3181"/>
      <c r="E4" s="3181"/>
      <c r="G4" s="3182" t="s">
        <v>2999</v>
      </c>
      <c r="H4" s="3183" t="s">
        <v>3000</v>
      </c>
      <c r="I4" s="3183" t="s">
        <v>3001</v>
      </c>
      <c r="J4" s="3183" t="s">
        <v>3002</v>
      </c>
      <c r="K4" s="3183" t="s">
        <v>3001</v>
      </c>
      <c r="M4" s="3183" t="s">
        <v>3003</v>
      </c>
      <c r="N4" s="3183" t="s">
        <v>3001</v>
      </c>
      <c r="O4" s="3183" t="s">
        <v>3004</v>
      </c>
      <c r="P4" s="3180" t="s">
        <v>3005</v>
      </c>
      <c r="Q4" s="3180" t="s">
        <v>3006</v>
      </c>
    </row>
    <row r="5" spans="2:20" ht="32.25" customHeight="1">
      <c r="B5" s="3433" t="s">
        <v>3089</v>
      </c>
      <c r="C5" s="3434"/>
      <c r="D5" s="3434"/>
      <c r="E5" s="3434"/>
      <c r="G5" s="3184" t="s">
        <v>3007</v>
      </c>
      <c r="H5" s="3185">
        <f ca="1">基准地价!C29</f>
        <v>5879</v>
      </c>
      <c r="I5" s="3186">
        <v>0.4</v>
      </c>
      <c r="J5" s="3185">
        <f ca="1">'剩余法-待开发'!C37</f>
        <v>6306</v>
      </c>
      <c r="K5" s="3186">
        <f>1-I5</f>
        <v>0.6</v>
      </c>
      <c r="M5" s="3185" t="s">
        <v>3008</v>
      </c>
      <c r="N5" s="3186" t="s">
        <v>3008</v>
      </c>
      <c r="O5" s="3185">
        <f ca="1">ROUND(H5*I5+J5*K5,0)</f>
        <v>6135</v>
      </c>
      <c r="P5" s="3187">
        <v>11830</v>
      </c>
      <c r="Q5" s="3188">
        <f ca="1">O5/4</f>
        <v>1533.75</v>
      </c>
      <c r="T5" s="3189" t="s">
        <v>3009</v>
      </c>
    </row>
    <row r="6" spans="2:20" ht="29.25" customHeight="1">
      <c r="B6" s="3435"/>
      <c r="C6" s="3435"/>
      <c r="D6" s="3435"/>
      <c r="E6" s="3435"/>
      <c r="G6" s="3184" t="s">
        <v>3010</v>
      </c>
      <c r="H6" s="3190">
        <f>'[5]基准地价--商业'!$C$29</f>
        <v>4636</v>
      </c>
      <c r="I6" s="3186">
        <v>0.3</v>
      </c>
      <c r="J6" s="3191">
        <f>'[5]剩余法--商业'!$C$37</f>
        <v>6659</v>
      </c>
      <c r="K6" s="3186">
        <v>0.5</v>
      </c>
      <c r="M6" s="3190">
        <f>'[5]收益还原法-商业'!$C$47</f>
        <v>4129</v>
      </c>
      <c r="N6" s="3186">
        <f>1-I6-K6</f>
        <v>0.19999999999999996</v>
      </c>
      <c r="O6" s="3185">
        <f>ROUND(H6*I6+J6*K6+M6*N6,0)</f>
        <v>5546</v>
      </c>
      <c r="P6" s="3187">
        <v>5547</v>
      </c>
      <c r="Q6" s="3188">
        <f>O6/4</f>
        <v>1386.5</v>
      </c>
      <c r="T6" s="3189"/>
    </row>
    <row r="7" spans="2:20" ht="27.75" customHeight="1">
      <c r="B7" s="3192"/>
      <c r="C7" s="3192" t="s">
        <v>3011</v>
      </c>
      <c r="D7" s="3192" t="s">
        <v>3012</v>
      </c>
      <c r="E7" s="3192" t="s">
        <v>3013</v>
      </c>
      <c r="G7" s="3184" t="s">
        <v>3014</v>
      </c>
      <c r="H7" s="3190">
        <f>'[6]基准地价--办公'!$C$29</f>
        <v>4746</v>
      </c>
      <c r="I7" s="3186">
        <v>0.3</v>
      </c>
      <c r="J7" s="3191">
        <f>'[6]剩余法--办公'!$C$37</f>
        <v>5883</v>
      </c>
      <c r="K7" s="3186">
        <v>0.5</v>
      </c>
      <c r="M7" s="3190">
        <f>'[6]收益还原法--办公'!$C$47</f>
        <v>4666</v>
      </c>
      <c r="N7" s="3186">
        <f>1-I7-K7</f>
        <v>0.19999999999999996</v>
      </c>
      <c r="O7" s="3185">
        <f>ROUND(H7*I7+J7*K7+M7*N7,0)</f>
        <v>5299</v>
      </c>
      <c r="P7" s="3187">
        <v>5315</v>
      </c>
      <c r="Q7" s="3188">
        <f t="shared" ref="Q7" si="0">O7/4</f>
        <v>1324.75</v>
      </c>
      <c r="T7" s="3181" t="e">
        <f>#REF!</f>
        <v>#REF!</v>
      </c>
    </row>
    <row r="8" spans="2:20" ht="26.25" customHeight="1">
      <c r="B8" s="3192" t="s">
        <v>3015</v>
      </c>
      <c r="C8" s="3192">
        <f ca="1">O5</f>
        <v>6135</v>
      </c>
      <c r="D8" s="3192">
        <f>'[7]数据-取费表'!K6</f>
        <v>334812</v>
      </c>
      <c r="E8" s="3192">
        <f t="shared" ref="E8:E9" ca="1" si="1">ROUND(C8*D8/10000,2)</f>
        <v>205407.16</v>
      </c>
      <c r="G8"/>
      <c r="H8"/>
      <c r="I8"/>
      <c r="J8"/>
      <c r="K8"/>
      <c r="M8"/>
      <c r="N8"/>
      <c r="O8"/>
      <c r="P8" s="3185"/>
    </row>
    <row r="9" spans="2:20" customFormat="1" ht="26.25" customHeight="1">
      <c r="B9" s="3192" t="s">
        <v>3016</v>
      </c>
      <c r="C9" s="3192">
        <f>O6</f>
        <v>5546</v>
      </c>
      <c r="D9" s="3192">
        <f>'[7]数据-基础表'!K21+'[7]数据-基础表'!K22</f>
        <v>43092</v>
      </c>
      <c r="E9" s="3192">
        <f t="shared" si="1"/>
        <v>23898.82</v>
      </c>
      <c r="G9" s="3181"/>
      <c r="H9" s="3181"/>
      <c r="I9" s="3181"/>
      <c r="J9" s="3181"/>
      <c r="K9" s="3181"/>
      <c r="M9" s="3181"/>
      <c r="N9" s="3180"/>
      <c r="O9" s="3181"/>
      <c r="P9" s="3185"/>
    </row>
    <row r="10" spans="2:20" ht="33" customHeight="1">
      <c r="B10" s="3192" t="s">
        <v>3017</v>
      </c>
      <c r="C10" s="3192">
        <f>O7</f>
        <v>5299</v>
      </c>
      <c r="D10" s="3192" t="s">
        <v>3018</v>
      </c>
      <c r="E10" s="3192" t="s">
        <v>3018</v>
      </c>
      <c r="G10" s="3182" t="s">
        <v>3019</v>
      </c>
      <c r="H10" s="3183" t="s">
        <v>3020</v>
      </c>
      <c r="I10" s="3183" t="s">
        <v>3021</v>
      </c>
      <c r="J10" s="3183" t="s">
        <v>3022</v>
      </c>
      <c r="K10" s="3183" t="s">
        <v>3021</v>
      </c>
      <c r="M10" s="3183" t="s">
        <v>3023</v>
      </c>
      <c r="N10" s="3183" t="s">
        <v>3021</v>
      </c>
      <c r="O10" s="3193" t="s">
        <v>3024</v>
      </c>
      <c r="P10" s="3185"/>
    </row>
    <row r="11" spans="2:20" ht="28.5" customHeight="1">
      <c r="B11" s="3192" t="s">
        <v>3025</v>
      </c>
      <c r="C11" s="3192" t="s">
        <v>3018</v>
      </c>
      <c r="D11" s="3192">
        <f>SUM(D8:D10)</f>
        <v>377904</v>
      </c>
      <c r="E11" s="3192">
        <f ca="1">SUM(E8:E10)</f>
        <v>229305.98</v>
      </c>
      <c r="G11" s="3184" t="s">
        <v>3026</v>
      </c>
      <c r="H11" s="3185">
        <f>[8]结果表!$C$19</f>
        <v>187568</v>
      </c>
      <c r="I11" s="3186">
        <f>I5</f>
        <v>0.4</v>
      </c>
      <c r="J11" s="3185">
        <f>[8]结果表!$D$19</f>
        <v>553349</v>
      </c>
      <c r="K11" s="3186">
        <f>K5</f>
        <v>0.6</v>
      </c>
      <c r="M11" s="3185" t="s">
        <v>3027</v>
      </c>
      <c r="N11" s="3186" t="s">
        <v>3027</v>
      </c>
      <c r="O11" s="3194">
        <f>ROUND(H11*I11+J11*K5,2)</f>
        <v>407036.6</v>
      </c>
      <c r="P11" s="3185"/>
    </row>
    <row r="12" spans="2:20" ht="25.5" customHeight="1">
      <c r="G12" s="3195" t="s">
        <v>3028</v>
      </c>
      <c r="H12" s="3185">
        <f>[9]结果表!$C$19</f>
        <v>25603</v>
      </c>
      <c r="I12" s="3186">
        <f>I6</f>
        <v>0.3</v>
      </c>
      <c r="J12" s="3185">
        <f>[9]结果表!$D$19</f>
        <v>41629</v>
      </c>
      <c r="K12" s="3186">
        <f>K6</f>
        <v>0.5</v>
      </c>
      <c r="M12" s="3185">
        <f>'[9]收益还原法-商业'!$B$2</f>
        <v>24419</v>
      </c>
      <c r="N12" s="3186">
        <f>N6</f>
        <v>0.19999999999999996</v>
      </c>
      <c r="O12" s="3194">
        <f>ROUND(H12*I12+J12*K12,2)</f>
        <v>28495.4</v>
      </c>
    </row>
    <row r="13" spans="2:20" ht="25.5" customHeight="1">
      <c r="B13" s="3192"/>
      <c r="C13" s="3192" t="s">
        <v>3011</v>
      </c>
      <c r="D13" s="3192" t="s">
        <v>3012</v>
      </c>
      <c r="E13" s="3192" t="s">
        <v>3013</v>
      </c>
      <c r="G13" s="3195" t="s">
        <v>3014</v>
      </c>
      <c r="H13" s="3185">
        <f>[10]结果表!$C$19</f>
        <v>134946</v>
      </c>
      <c r="I13" s="3186">
        <f>I7</f>
        <v>0.3</v>
      </c>
      <c r="J13" s="3185">
        <f>[10]结果表!$D$19</f>
        <v>275673</v>
      </c>
      <c r="K13" s="3186">
        <f>K12</f>
        <v>0.5</v>
      </c>
      <c r="M13" s="3185">
        <f>'[11]收益还原法--办公'!$B$2</f>
        <v>32588</v>
      </c>
      <c r="N13" s="3186">
        <f>N7</f>
        <v>0.19999999999999996</v>
      </c>
      <c r="O13" s="3194">
        <f>ROUND(H13*I13+J13*K13,2)</f>
        <v>178320.3</v>
      </c>
    </row>
    <row r="14" spans="2:20" ht="44.25" customHeight="1">
      <c r="B14" s="3192" t="s">
        <v>3029</v>
      </c>
      <c r="C14" s="3192">
        <f ca="1">ROUND(C8*0.25,0)</f>
        <v>1534</v>
      </c>
      <c r="D14" s="3192">
        <f>D8</f>
        <v>334812</v>
      </c>
      <c r="E14" s="3192">
        <f ca="1">ROUND(C14*D14/10000,2)</f>
        <v>51360.160000000003</v>
      </c>
      <c r="G14" s="3196"/>
      <c r="H14" s="3197"/>
      <c r="I14" s="3198"/>
      <c r="J14" s="3197"/>
      <c r="K14" s="3198"/>
      <c r="M14" s="3181"/>
      <c r="O14" s="3197"/>
    </row>
    <row r="15" spans="2:20" ht="35.25" customHeight="1">
      <c r="B15" s="3192" t="s">
        <v>3030</v>
      </c>
      <c r="C15" s="3192">
        <f>ROUND(C9*0.25,0)</f>
        <v>1387</v>
      </c>
      <c r="D15" s="3192">
        <f>D9</f>
        <v>43092</v>
      </c>
      <c r="E15" s="3192">
        <f>ROUND(C15*D15/10000,2)</f>
        <v>5976.86</v>
      </c>
      <c r="G15" s="3181"/>
      <c r="H15" s="3181"/>
      <c r="I15" s="3181"/>
      <c r="J15" s="3181"/>
      <c r="K15" s="3181"/>
      <c r="M15" s="3181"/>
      <c r="O15" s="3181"/>
    </row>
    <row r="16" spans="2:20" ht="42.75" customHeight="1">
      <c r="B16" s="3192" t="s">
        <v>3031</v>
      </c>
      <c r="C16" s="3192">
        <f>ROUND(C10*0.25,0)</f>
        <v>1325</v>
      </c>
      <c r="D16" s="3192" t="s">
        <v>3018</v>
      </c>
      <c r="E16" s="3192" t="s">
        <v>3018</v>
      </c>
      <c r="G16" s="3181"/>
      <c r="H16" s="3181"/>
      <c r="I16" s="3181"/>
      <c r="J16" s="3181"/>
      <c r="K16" s="3181"/>
      <c r="M16" s="3181"/>
      <c r="O16" s="3181"/>
    </row>
    <row r="17" spans="2:15" ht="14.25">
      <c r="B17" s="3192" t="s">
        <v>3032</v>
      </c>
      <c r="C17" s="3192" t="s">
        <v>3018</v>
      </c>
      <c r="D17" s="3192" t="s">
        <v>3018</v>
      </c>
      <c r="E17" s="3192">
        <f ca="1">SUM(E14:E16)</f>
        <v>57337.020000000004</v>
      </c>
      <c r="G17" s="3199" t="s">
        <v>3033</v>
      </c>
      <c r="H17" s="3436" t="s">
        <v>3020</v>
      </c>
      <c r="I17" s="3437"/>
      <c r="J17" s="3436" t="s">
        <v>3022</v>
      </c>
      <c r="K17" s="3437"/>
      <c r="M17" s="3200"/>
      <c r="O17" s="3200" t="s">
        <v>3021</v>
      </c>
    </row>
    <row r="18" spans="2:15" ht="14.25">
      <c r="G18" s="3201" t="s">
        <v>3034</v>
      </c>
      <c r="H18" s="3202" t="s">
        <v>3019</v>
      </c>
      <c r="I18" s="3203" t="s">
        <v>3035</v>
      </c>
      <c r="J18" s="3202" t="s">
        <v>3019</v>
      </c>
      <c r="K18" s="3203" t="s">
        <v>3035</v>
      </c>
      <c r="M18" s="3200" t="s">
        <v>3019</v>
      </c>
      <c r="O18" s="3200" t="s">
        <v>3035</v>
      </c>
    </row>
    <row r="19" spans="2:15" ht="27">
      <c r="B19" s="3438" t="s">
        <v>3036</v>
      </c>
      <c r="C19" s="3439"/>
      <c r="D19" s="3439"/>
      <c r="E19" s="3439"/>
      <c r="G19" s="3204" t="s">
        <v>3037</v>
      </c>
      <c r="H19" s="3205" t="e">
        <f>ROUND(I19*D14/10000,2)</f>
        <v>#REF!</v>
      </c>
      <c r="I19" s="3206" t="e">
        <f>ROUND(#REF!*0.25,0)</f>
        <v>#REF!</v>
      </c>
      <c r="J19" s="3205" t="e">
        <f>ROUND(K19*D14/10000,2)</f>
        <v>#REF!</v>
      </c>
      <c r="K19" s="3206" t="e">
        <f>ROUND(#REF!*0.25,0)</f>
        <v>#REF!</v>
      </c>
      <c r="M19" s="3207" t="e">
        <f>ROUND(O19*T7/10000,2)</f>
        <v>#REF!</v>
      </c>
      <c r="O19" s="3206" t="e">
        <f>ROUND(I19*#REF!+K19*#REF!,0)</f>
        <v>#REF!</v>
      </c>
    </row>
    <row r="20" spans="2:15" ht="14.25">
      <c r="B20" s="3208"/>
      <c r="C20" s="3209"/>
      <c r="D20" s="3209"/>
      <c r="E20" s="3209"/>
      <c r="G20" s="3204" t="s">
        <v>3026</v>
      </c>
      <c r="H20" s="3205" t="e">
        <f ca="1">ROUND(I20*T7/10000,2)</f>
        <v>#REF!</v>
      </c>
      <c r="I20" s="3206">
        <f ca="1">ROUND(H5*0.25,0)</f>
        <v>1470</v>
      </c>
      <c r="J20" s="3205" t="e">
        <f ca="1">ROUND(K20*T7/10000,2)</f>
        <v>#REF!</v>
      </c>
      <c r="K20" s="3206">
        <f ca="1">ROUND(J5*0.25,0)</f>
        <v>1577</v>
      </c>
      <c r="M20" s="3207" t="e">
        <f ca="1">ROUND(O20*T7/10000,2)</f>
        <v>#REF!</v>
      </c>
      <c r="O20" s="3206">
        <f ca="1">ROUND(I20*I5+K20*K5,0)</f>
        <v>1534</v>
      </c>
    </row>
    <row r="21" spans="2:15">
      <c r="G21" s="3204" t="s">
        <v>3028</v>
      </c>
      <c r="H21" s="3205" t="e">
        <f>ROUND(I21*T7/10000,2)</f>
        <v>#REF!</v>
      </c>
      <c r="I21" s="3206">
        <f>ROUND(H6*0.25,0)</f>
        <v>1159</v>
      </c>
      <c r="J21" s="3205" t="e">
        <f>ROUND(K21*T7/10000,2)</f>
        <v>#REF!</v>
      </c>
      <c r="K21" s="3206">
        <f>ROUND(J6*0.25,0)</f>
        <v>1665</v>
      </c>
      <c r="M21" s="3207" t="e">
        <f>ROUND(O21*T7/10000,2)</f>
        <v>#REF!</v>
      </c>
      <c r="O21" s="3206">
        <f>ROUND(I21*I6+K21*K6,0)</f>
        <v>1180</v>
      </c>
    </row>
    <row r="22" spans="2:15">
      <c r="G22" s="3204" t="s">
        <v>3014</v>
      </c>
      <c r="H22" s="3205" t="e">
        <f>ROUND(I22*T7/10000,2)</f>
        <v>#REF!</v>
      </c>
      <c r="I22" s="3206">
        <f>ROUND(H7*0.25,0)</f>
        <v>1187</v>
      </c>
      <c r="J22" s="3205" t="e">
        <f>ROUND(K22*T7/10000,2)</f>
        <v>#REF!</v>
      </c>
      <c r="K22" s="3206">
        <f>ROUND(J7*0.25,0)</f>
        <v>1471</v>
      </c>
      <c r="M22" s="3207" t="e">
        <f>ROUND(O22*T7/10000,2)</f>
        <v>#REF!</v>
      </c>
      <c r="O22" s="3206">
        <f>ROUND(I22*I7+K22*K7,0)</f>
        <v>1092</v>
      </c>
    </row>
    <row r="23" spans="2:15">
      <c r="G23" s="3181"/>
      <c r="H23" s="3181"/>
      <c r="I23" s="3181"/>
      <c r="J23" s="3181"/>
      <c r="K23" s="3181"/>
      <c r="M23" s="3181"/>
      <c r="O23" s="3181"/>
    </row>
    <row r="24" spans="2:15">
      <c r="G24" s="3181"/>
      <c r="H24" s="3181"/>
      <c r="I24" s="3181"/>
      <c r="J24" s="3181"/>
      <c r="K24" s="3181"/>
      <c r="M24" s="3181"/>
      <c r="O24" s="3181"/>
    </row>
    <row r="25" spans="2:15" ht="14.25">
      <c r="G25" s="3210" t="s">
        <v>3033</v>
      </c>
      <c r="H25" s="3440" t="s">
        <v>3020</v>
      </c>
      <c r="I25" s="3441"/>
      <c r="J25" s="3440" t="s">
        <v>3022</v>
      </c>
      <c r="K25" s="3441"/>
      <c r="M25" s="3211" t="s">
        <v>3021</v>
      </c>
      <c r="O25" s="3212" t="s">
        <v>3021</v>
      </c>
    </row>
    <row r="26" spans="2:15" ht="14.25">
      <c r="G26" s="3213" t="s">
        <v>3038</v>
      </c>
      <c r="H26" s="3214" t="s">
        <v>3019</v>
      </c>
      <c r="I26" s="3215" t="s">
        <v>3035</v>
      </c>
      <c r="J26" s="3214" t="s">
        <v>3019</v>
      </c>
      <c r="K26" s="3215" t="s">
        <v>3035</v>
      </c>
      <c r="M26" s="3212" t="s">
        <v>3035</v>
      </c>
      <c r="O26" s="3212" t="s">
        <v>3019</v>
      </c>
    </row>
    <row r="27" spans="2:15">
      <c r="G27" s="3216" t="s">
        <v>3037</v>
      </c>
      <c r="H27" s="3217" t="e">
        <f>ROUND(#REF!*0.25,2)</f>
        <v>#REF!</v>
      </c>
      <c r="I27" s="3218" t="e">
        <f>ROUND(H27*10000/T7,0)</f>
        <v>#REF!</v>
      </c>
      <c r="J27" s="3217" t="e">
        <f>ROUND(#REF!*0.25,2)</f>
        <v>#REF!</v>
      </c>
      <c r="K27" s="3218" t="e">
        <f>ROUND(J27*10000/T7,0)</f>
        <v>#REF!</v>
      </c>
      <c r="M27" s="3218" t="e">
        <f>ROUND(O27*10000/T7,0)</f>
        <v>#REF!</v>
      </c>
      <c r="O27" s="3217" t="e">
        <f>ROUND(H27*#REF!+J27*#REF!,2)</f>
        <v>#REF!</v>
      </c>
    </row>
    <row r="28" spans="2:15">
      <c r="G28" s="3216" t="s">
        <v>3026</v>
      </c>
      <c r="H28" s="3217">
        <f>ROUND(H11*0.25,2)</f>
        <v>46892</v>
      </c>
      <c r="I28" s="3218" t="e">
        <f>ROUND(H28*10000/T7,0)</f>
        <v>#REF!</v>
      </c>
      <c r="J28" s="3217">
        <f>ROUND(J11*0.25,2)</f>
        <v>138337.25</v>
      </c>
      <c r="K28" s="3218" t="e">
        <f>ROUND(J28*10000/T7,0)</f>
        <v>#REF!</v>
      </c>
      <c r="M28" s="3218" t="e">
        <f>ROUND(O28*10000/T7,0)</f>
        <v>#REF!</v>
      </c>
      <c r="O28" s="3217">
        <f>ROUND(H28*I11+J28*K11,2)</f>
        <v>101759.15</v>
      </c>
    </row>
    <row r="29" spans="2:15" ht="14.25">
      <c r="F29" s="3219"/>
      <c r="G29" s="3216" t="s">
        <v>3028</v>
      </c>
      <c r="H29" s="3217">
        <f>ROUND(H12*0.25,2)</f>
        <v>6400.75</v>
      </c>
      <c r="I29" s="3218" t="e">
        <f>ROUND(H29*10000/T7,0)</f>
        <v>#REF!</v>
      </c>
      <c r="J29" s="3217">
        <f>ROUND(J12*0.25,2)</f>
        <v>10407.25</v>
      </c>
      <c r="K29" s="3218" t="e">
        <f>ROUND(J29*10000/T7,0)</f>
        <v>#REF!</v>
      </c>
      <c r="M29" s="3218" t="e">
        <f>ROUND(O29*10000/T7,0)</f>
        <v>#REF!</v>
      </c>
      <c r="O29" s="3217">
        <f>ROUND(H29*I12+J29*K12,2)</f>
        <v>7123.85</v>
      </c>
    </row>
    <row r="30" spans="2:15" ht="14.25">
      <c r="F30" s="3220"/>
      <c r="G30" s="3216" t="s">
        <v>3014</v>
      </c>
      <c r="H30" s="3217">
        <f>ROUND(H13*0.25,2)</f>
        <v>33736.5</v>
      </c>
      <c r="I30" s="3218" t="e">
        <f>ROUND(H30*10000/T7,0)</f>
        <v>#REF!</v>
      </c>
      <c r="J30" s="3217">
        <f>ROUND(J13*0.25,2)</f>
        <v>68918.25</v>
      </c>
      <c r="K30" s="3218" t="e">
        <f>ROUND(J30*10000/T7,0)</f>
        <v>#REF!</v>
      </c>
      <c r="M30" s="3218" t="e">
        <f>ROUND(O30*10000/T7,0)</f>
        <v>#REF!</v>
      </c>
      <c r="O30" s="3217">
        <f>ROUND(H30*I13+J30*K13,2)</f>
        <v>44580.08</v>
      </c>
    </row>
    <row r="31" spans="2:15">
      <c r="G31" s="3221"/>
      <c r="H31" s="3218" t="s">
        <v>3039</v>
      </c>
      <c r="I31" s="3218" t="s">
        <v>3040</v>
      </c>
      <c r="J31" s="3218" t="s">
        <v>3039</v>
      </c>
      <c r="K31" s="3218" t="s">
        <v>3040</v>
      </c>
      <c r="M31" s="3222" t="s">
        <v>3040</v>
      </c>
      <c r="O31" s="3222" t="s">
        <v>3039</v>
      </c>
    </row>
    <row r="34" spans="2:10" s="3180" customFormat="1"/>
    <row r="35" spans="2:10" s="3180" customFormat="1"/>
    <row r="38" spans="2:10" s="3180" customFormat="1"/>
    <row r="39" spans="2:10" s="3180" customFormat="1"/>
    <row r="40" spans="2:10" s="3180" customFormat="1"/>
    <row r="41" spans="2:10" s="3180" customFormat="1">
      <c r="C41" s="3180" t="s">
        <v>3041</v>
      </c>
      <c r="D41" s="3180" t="s">
        <v>3042</v>
      </c>
      <c r="E41" s="3180" t="s">
        <v>3043</v>
      </c>
      <c r="G41" s="3180" t="s">
        <v>3044</v>
      </c>
      <c r="H41" s="3180" t="s">
        <v>3045</v>
      </c>
      <c r="I41" s="3180" t="s">
        <v>3046</v>
      </c>
    </row>
    <row r="42" spans="2:10" s="3180" customFormat="1" ht="16.5">
      <c r="B42" s="2963" t="s">
        <v>3047</v>
      </c>
      <c r="C42" s="3223">
        <v>96747</v>
      </c>
      <c r="D42" s="3180">
        <f ca="1">C8</f>
        <v>6135</v>
      </c>
      <c r="E42" s="3180">
        <f ca="1">ROUND(C42*D42/10000,2)</f>
        <v>59354.28</v>
      </c>
      <c r="G42" s="3180">
        <v>42064</v>
      </c>
      <c r="H42" s="3180">
        <f t="shared" ref="H42:H50" ca="1" si="2">ROUND(C42*D42/G42,0)</f>
        <v>14110</v>
      </c>
      <c r="I42" s="3180">
        <f ca="1">ROUND(H42*0.25,0)</f>
        <v>3528</v>
      </c>
    </row>
    <row r="43" spans="2:10" s="3180" customFormat="1" ht="16.5">
      <c r="B43" s="2963" t="s">
        <v>3048</v>
      </c>
      <c r="C43" s="3223">
        <v>83121</v>
      </c>
      <c r="D43" s="3180">
        <f ca="1">D42</f>
        <v>6135</v>
      </c>
      <c r="E43" s="3180">
        <f t="shared" ref="E43:E50" ca="1" si="3">ROUND(C43*D43/10000,2)</f>
        <v>50994.73</v>
      </c>
      <c r="F43" s="3180" t="s">
        <v>3046</v>
      </c>
      <c r="G43" s="3180">
        <v>36139.5</v>
      </c>
      <c r="H43" s="3180">
        <f t="shared" ca="1" si="2"/>
        <v>14111</v>
      </c>
      <c r="I43" s="3180">
        <f t="shared" ref="I43:I50" ca="1" si="4">ROUND(H43*0.25,0)</f>
        <v>3528</v>
      </c>
    </row>
    <row r="44" spans="2:10" s="3180" customFormat="1" ht="16.5">
      <c r="B44" s="2963" t="s">
        <v>3049</v>
      </c>
      <c r="C44" s="3223">
        <v>60884</v>
      </c>
      <c r="D44" s="3180">
        <f ca="1">D43</f>
        <v>6135</v>
      </c>
      <c r="E44" s="3180">
        <f t="shared" ca="1" si="3"/>
        <v>37352.33</v>
      </c>
      <c r="F44" s="3180">
        <f t="shared" ref="F44:F52" ca="1" si="5">ROUND(D42*0.25,0)</f>
        <v>1534</v>
      </c>
      <c r="G44" s="3180">
        <v>26471.29</v>
      </c>
      <c r="H44" s="3180">
        <f t="shared" ca="1" si="2"/>
        <v>14111</v>
      </c>
      <c r="I44" s="3180">
        <f t="shared" ca="1" si="4"/>
        <v>3528</v>
      </c>
    </row>
    <row r="45" spans="2:10" s="3180" customFormat="1" ht="16.5">
      <c r="B45" s="2963" t="s">
        <v>3050</v>
      </c>
      <c r="C45" s="3223">
        <v>3200</v>
      </c>
      <c r="D45" s="3180">
        <v>0</v>
      </c>
      <c r="E45" s="3180">
        <f t="shared" si="3"/>
        <v>0</v>
      </c>
      <c r="F45" s="3180">
        <f t="shared" ca="1" si="5"/>
        <v>1534</v>
      </c>
      <c r="G45" s="3180">
        <v>4000</v>
      </c>
      <c r="H45" s="3180">
        <f t="shared" si="2"/>
        <v>0</v>
      </c>
      <c r="I45" s="3180">
        <f t="shared" si="4"/>
        <v>0</v>
      </c>
    </row>
    <row r="46" spans="2:10" s="3180" customFormat="1" ht="16.5">
      <c r="B46" s="2963" t="s">
        <v>3051</v>
      </c>
      <c r="C46" s="3223">
        <v>25715</v>
      </c>
      <c r="D46" s="3180">
        <f>ROUND(E46*10000/C46,0)</f>
        <v>6576</v>
      </c>
      <c r="E46" s="3180">
        <v>16911.03</v>
      </c>
      <c r="F46" s="3180">
        <f t="shared" ca="1" si="5"/>
        <v>1534</v>
      </c>
      <c r="G46" s="3180">
        <v>9183.9</v>
      </c>
      <c r="H46" s="3180">
        <f t="shared" si="2"/>
        <v>18413</v>
      </c>
      <c r="I46" s="3180">
        <f t="shared" si="4"/>
        <v>4603</v>
      </c>
      <c r="J46" s="3180" t="s">
        <v>3052</v>
      </c>
    </row>
    <row r="47" spans="2:10" s="3180" customFormat="1" ht="16.5">
      <c r="B47" s="2963" t="s">
        <v>3053</v>
      </c>
      <c r="C47" s="3224">
        <v>0</v>
      </c>
      <c r="D47" s="3180">
        <v>0</v>
      </c>
      <c r="E47" s="3180">
        <f t="shared" si="3"/>
        <v>0</v>
      </c>
      <c r="F47" s="3180">
        <f t="shared" si="5"/>
        <v>0</v>
      </c>
      <c r="G47" s="3180">
        <v>4078.59</v>
      </c>
      <c r="H47" s="3180">
        <f t="shared" si="2"/>
        <v>0</v>
      </c>
      <c r="I47" s="3180">
        <f t="shared" si="4"/>
        <v>0</v>
      </c>
    </row>
    <row r="48" spans="2:10" s="3180" customFormat="1" ht="16.5">
      <c r="B48" s="2963" t="s">
        <v>3054</v>
      </c>
      <c r="C48" s="3225">
        <v>51403</v>
      </c>
      <c r="D48" s="3180">
        <f ca="1">D44</f>
        <v>6135</v>
      </c>
      <c r="E48" s="3180">
        <f t="shared" ca="1" si="3"/>
        <v>31535.74</v>
      </c>
      <c r="F48" s="3180">
        <f t="shared" si="5"/>
        <v>1644</v>
      </c>
      <c r="G48" s="3180">
        <v>23364.85</v>
      </c>
      <c r="H48" s="3180">
        <f t="shared" ca="1" si="2"/>
        <v>13497</v>
      </c>
      <c r="I48" s="3180">
        <f t="shared" ca="1" si="4"/>
        <v>3374</v>
      </c>
    </row>
    <row r="49" spans="2:9" s="3180" customFormat="1" ht="16.5">
      <c r="B49" s="2963" t="s">
        <v>3055</v>
      </c>
      <c r="C49" s="3225">
        <v>42657</v>
      </c>
      <c r="D49" s="3180" t="e">
        <f>#REF!</f>
        <v>#REF!</v>
      </c>
      <c r="E49" s="3180" t="e">
        <f t="shared" si="3"/>
        <v>#REF!</v>
      </c>
      <c r="F49" s="3180">
        <f t="shared" si="5"/>
        <v>0</v>
      </c>
      <c r="G49" s="3180">
        <v>19389.439999999999</v>
      </c>
      <c r="H49" s="3180" t="e">
        <f t="shared" si="2"/>
        <v>#REF!</v>
      </c>
      <c r="I49" s="3180" t="e">
        <f t="shared" si="4"/>
        <v>#REF!</v>
      </c>
    </row>
    <row r="50" spans="2:9" s="3180" customFormat="1" ht="16.5">
      <c r="B50" s="2963" t="s">
        <v>3056</v>
      </c>
      <c r="C50" s="3226">
        <v>43092</v>
      </c>
      <c r="D50" s="3180">
        <f>C9</f>
        <v>5546</v>
      </c>
      <c r="E50" s="3180">
        <f t="shared" si="3"/>
        <v>23898.82</v>
      </c>
      <c r="F50" s="3180">
        <f t="shared" ca="1" si="5"/>
        <v>1534</v>
      </c>
      <c r="G50" s="3180">
        <v>14364.09</v>
      </c>
      <c r="H50" s="3180">
        <f t="shared" si="2"/>
        <v>16638</v>
      </c>
      <c r="I50" s="3180">
        <f t="shared" si="4"/>
        <v>4160</v>
      </c>
    </row>
    <row r="51" spans="2:9" s="3180" customFormat="1">
      <c r="F51" s="3180" t="e">
        <f t="shared" si="5"/>
        <v>#REF!</v>
      </c>
    </row>
    <row r="52" spans="2:9" s="3180" customFormat="1">
      <c r="F52" s="3180">
        <f t="shared" si="5"/>
        <v>1387</v>
      </c>
    </row>
  </sheetData>
  <mergeCells count="6">
    <mergeCell ref="B5:E6"/>
    <mergeCell ref="H17:I17"/>
    <mergeCell ref="J17:K17"/>
    <mergeCell ref="B19:E19"/>
    <mergeCell ref="H25:I25"/>
    <mergeCell ref="J25:K25"/>
  </mergeCells>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G18" sqref="G18"/>
    </sheetView>
  </sheetViews>
  <sheetFormatPr defaultRowHeight="13.5"/>
  <cols>
    <col min="1" max="1" width="13.875" style="3343" customWidth="1"/>
    <col min="2" max="2" width="12.875" style="3343" customWidth="1"/>
    <col min="3" max="3" width="10.625" style="3343" customWidth="1"/>
    <col min="4" max="4" width="17" style="3343" customWidth="1"/>
    <col min="5" max="5" width="15.25" style="3343" customWidth="1"/>
    <col min="6" max="6" width="14.875" style="3343" customWidth="1"/>
    <col min="7" max="7" width="34.875" style="3343" customWidth="1"/>
    <col min="8" max="16384" width="9" style="3343"/>
  </cols>
  <sheetData>
    <row r="1" spans="1:11">
      <c r="A1" s="3343" t="s">
        <v>3261</v>
      </c>
      <c r="B1" s="3343" t="s">
        <v>3262</v>
      </c>
      <c r="C1" s="3343" t="s">
        <v>3263</v>
      </c>
      <c r="D1" s="3343" t="s">
        <v>3264</v>
      </c>
      <c r="E1" s="3343" t="s">
        <v>3265</v>
      </c>
      <c r="F1" s="3343" t="s">
        <v>3266</v>
      </c>
      <c r="G1" s="3343" t="s">
        <v>3267</v>
      </c>
    </row>
    <row r="2" spans="1:11">
      <c r="A2" s="3343" t="s">
        <v>3268</v>
      </c>
      <c r="B2" s="3343" t="s">
        <v>3281</v>
      </c>
      <c r="C2" s="3343">
        <v>400486</v>
      </c>
      <c r="D2" s="3343">
        <v>232682.4</v>
      </c>
      <c r="E2" s="3343" t="s">
        <v>3269</v>
      </c>
      <c r="F2" s="3343">
        <v>205232.8</v>
      </c>
      <c r="G2" s="3344">
        <f>ROUND(F3/D2,4)</f>
        <v>0.114</v>
      </c>
    </row>
    <row r="3" spans="1:11">
      <c r="E3" s="3343" t="s">
        <v>3270</v>
      </c>
      <c r="F3" s="3343">
        <v>26533</v>
      </c>
      <c r="G3" s="3344"/>
      <c r="K3" s="3343">
        <v>265333</v>
      </c>
    </row>
    <row r="4" spans="1:11">
      <c r="G4" s="3344"/>
    </row>
    <row r="5" spans="1:11" ht="27">
      <c r="A5" s="3343" t="s">
        <v>3271</v>
      </c>
      <c r="B5" s="3343" t="s">
        <v>3272</v>
      </c>
      <c r="C5" s="3343">
        <v>16670</v>
      </c>
      <c r="D5" s="3343">
        <v>36680</v>
      </c>
      <c r="E5" s="3343" t="s">
        <v>3269</v>
      </c>
      <c r="F5" s="3343">
        <v>36560</v>
      </c>
      <c r="G5" s="3344">
        <f>ROUND(F6/D5,4)</f>
        <v>3.3E-3</v>
      </c>
    </row>
    <row r="6" spans="1:11" ht="27">
      <c r="E6" s="3343" t="s">
        <v>3273</v>
      </c>
      <c r="F6" s="3343">
        <v>120</v>
      </c>
      <c r="G6" s="3344"/>
    </row>
    <row r="7" spans="1:11" ht="27">
      <c r="A7" s="3343" t="s">
        <v>3274</v>
      </c>
      <c r="B7" s="3343" t="s">
        <v>3275</v>
      </c>
      <c r="C7" s="3343">
        <v>299900</v>
      </c>
      <c r="D7" s="3343">
        <v>561267</v>
      </c>
      <c r="E7" s="3343" t="s">
        <v>3276</v>
      </c>
      <c r="F7" s="3343">
        <f>243249+258027</f>
        <v>501276</v>
      </c>
      <c r="G7" s="3344">
        <f>ROUND(F8/D7,4)</f>
        <v>0.1069</v>
      </c>
    </row>
    <row r="8" spans="1:11">
      <c r="E8" s="3343" t="s">
        <v>3277</v>
      </c>
      <c r="F8" s="3343">
        <f>33915+26076</f>
        <v>59991</v>
      </c>
      <c r="G8" s="3344"/>
    </row>
    <row r="9" spans="1:11">
      <c r="A9" s="3343" t="s">
        <v>3278</v>
      </c>
      <c r="B9" s="3343" t="s">
        <v>3279</v>
      </c>
      <c r="C9" s="3343">
        <v>13867.74</v>
      </c>
      <c r="D9" s="3343">
        <v>38625.24</v>
      </c>
      <c r="E9" s="3343" t="s">
        <v>3269</v>
      </c>
      <c r="F9" s="3343">
        <v>36484.43</v>
      </c>
      <c r="G9" s="3344">
        <f>ROUND(F10/D9,4)</f>
        <v>7.7000000000000002E-3</v>
      </c>
    </row>
    <row r="10" spans="1:11">
      <c r="E10" s="3343" t="s">
        <v>3280</v>
      </c>
      <c r="F10" s="3343">
        <f>20+276.87</f>
        <v>296.87</v>
      </c>
      <c r="G10" s="3344"/>
    </row>
    <row r="11" spans="1:11">
      <c r="G11" s="3344"/>
    </row>
    <row r="12" spans="1:11">
      <c r="G12" s="3344">
        <f>ROUND((G2+G5+G7+G9)/4,4)</f>
        <v>5.8000000000000003E-2</v>
      </c>
    </row>
    <row r="13" spans="1:11">
      <c r="D13" s="3343">
        <f>SUM(D2:D9)</f>
        <v>869254.64</v>
      </c>
      <c r="F13" s="3343">
        <f>F3+F6+F8+F10</f>
        <v>86940.87</v>
      </c>
      <c r="G13" s="3344">
        <f>F13/D13</f>
        <v>0.10001772323009975</v>
      </c>
    </row>
  </sheetData>
  <phoneticPr fontId="23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345" t="str">
        <f>项目基本情况!B1</f>
        <v>出让国有建设用地使用权预评估</v>
      </c>
      <c r="C37" s="3345"/>
      <c r="D37" s="3345"/>
      <c r="E37" s="3345"/>
      <c r="F37" s="3345"/>
      <c r="G37" s="3345"/>
      <c r="H37" s="3345"/>
      <c r="I37" s="3345"/>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土地估价师、土地估价师</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view="pageBreakPreview" zoomScale="85" zoomScaleSheetLayoutView="85" workbookViewId="0">
      <selection activeCell="D6" sqref="D6"/>
    </sheetView>
  </sheetViews>
  <sheetFormatPr defaultRowHeight="18.75"/>
  <cols>
    <col min="1" max="1" width="34.125" style="3250" customWidth="1"/>
    <col min="2" max="2" width="17.75" style="3250" customWidth="1"/>
    <col min="3" max="3" width="22.5" style="3250" customWidth="1"/>
    <col min="4" max="4" width="21.25" style="3238" customWidth="1"/>
    <col min="5" max="5" width="11.625" style="3238" customWidth="1"/>
    <col min="6" max="6" width="9" style="3238"/>
    <col min="7" max="7" width="11.5" style="3238" customWidth="1"/>
    <col min="8" max="8" width="7.5" style="3238" customWidth="1"/>
    <col min="9" max="9" width="9.25" style="3238" customWidth="1"/>
    <col min="10" max="10" width="7.25" style="3238" customWidth="1"/>
    <col min="11" max="11" width="12.625" style="3238" hidden="1" customWidth="1"/>
    <col min="12" max="12" width="6.75" style="3238" hidden="1" customWidth="1"/>
    <col min="13" max="13" width="11.125" style="3238" customWidth="1"/>
    <col min="14" max="14" width="9" style="3238"/>
    <col min="15" max="15" width="12.75" style="3238" bestFit="1" customWidth="1"/>
    <col min="16" max="16384" width="9" style="3238"/>
  </cols>
  <sheetData>
    <row r="1" spans="1:15" ht="56.25" customHeight="1">
      <c r="A1" s="3442" t="s">
        <v>3248</v>
      </c>
      <c r="B1" s="3442"/>
      <c r="C1" s="3442"/>
      <c r="D1" s="3442"/>
    </row>
    <row r="2" spans="1:15" ht="33.75" customHeight="1">
      <c r="A2" s="3239"/>
      <c r="B2" s="3239" t="s">
        <v>3092</v>
      </c>
      <c r="C2" s="3239" t="s">
        <v>3093</v>
      </c>
      <c r="D2" s="3239" t="s">
        <v>3094</v>
      </c>
      <c r="E2" s="3240" t="s">
        <v>3095</v>
      </c>
      <c r="J2" s="3301" t="s">
        <v>3202</v>
      </c>
    </row>
    <row r="3" spans="1:15" ht="26.25" customHeight="1">
      <c r="A3" s="3239" t="s">
        <v>3096</v>
      </c>
      <c r="B3" s="3239">
        <f ca="1">M5</f>
        <v>6135</v>
      </c>
      <c r="C3" s="3239">
        <f>'2019.1.15示例'!L4</f>
        <v>120662</v>
      </c>
      <c r="D3" s="3241">
        <f ca="1">ROUND(B3*C3/10000,2)</f>
        <v>74026.14</v>
      </c>
    </row>
    <row r="4" spans="1:15" ht="26.25" customHeight="1">
      <c r="A4" s="3239" t="s">
        <v>3097</v>
      </c>
      <c r="B4" s="3239">
        <f ca="1">M6</f>
        <v>5110</v>
      </c>
      <c r="C4" s="3239" t="s">
        <v>3098</v>
      </c>
      <c r="D4" s="3239" t="s">
        <v>3098</v>
      </c>
      <c r="F4" s="3285" t="s">
        <v>3177</v>
      </c>
      <c r="G4" s="3280" t="s">
        <v>3000</v>
      </c>
      <c r="H4" s="3277" t="s">
        <v>3001</v>
      </c>
      <c r="I4" s="3280" t="s">
        <v>3002</v>
      </c>
      <c r="J4" s="3277" t="s">
        <v>3001</v>
      </c>
      <c r="K4" s="3280" t="s">
        <v>3003</v>
      </c>
      <c r="L4" s="3277" t="s">
        <v>3001</v>
      </c>
      <c r="M4" s="3280" t="s">
        <v>3004</v>
      </c>
      <c r="N4" s="3280" t="s">
        <v>3184</v>
      </c>
    </row>
    <row r="5" spans="1:15" ht="26.25" customHeight="1">
      <c r="A5" s="3239" t="s">
        <v>3099</v>
      </c>
      <c r="B5" s="3239">
        <f ca="1">M7</f>
        <v>4660</v>
      </c>
      <c r="C5" s="3239" t="s">
        <v>3098</v>
      </c>
      <c r="D5" s="3239" t="s">
        <v>3098</v>
      </c>
      <c r="F5" s="3283" t="s">
        <v>3007</v>
      </c>
      <c r="G5" s="3275">
        <f ca="1">基准地价!C29</f>
        <v>5879</v>
      </c>
      <c r="H5" s="3275">
        <v>0.4</v>
      </c>
      <c r="I5" s="3275">
        <f ca="1">'剩余法-待开发'!C37</f>
        <v>6306</v>
      </c>
      <c r="J5" s="3275">
        <f>1-H5</f>
        <v>0.6</v>
      </c>
      <c r="K5" s="3275">
        <v>0</v>
      </c>
      <c r="L5" s="3275">
        <v>0</v>
      </c>
      <c r="M5" s="3275">
        <f ca="1">ROUND(G5*H5+I5*J5+K5*L5,0)</f>
        <v>6135</v>
      </c>
      <c r="N5" s="3292">
        <f ca="1">ROUND(M5*0.25,0)</f>
        <v>1534</v>
      </c>
      <c r="O5" s="3238">
        <f ca="1">N5*1206.62/10000</f>
        <v>185.095508</v>
      </c>
    </row>
    <row r="6" spans="1:15" ht="26.25" customHeight="1">
      <c r="A6" s="3239" t="s">
        <v>3101</v>
      </c>
      <c r="B6" s="3239"/>
      <c r="C6" s="3239"/>
      <c r="D6" s="3241">
        <f ca="1">D3</f>
        <v>74026.14</v>
      </c>
      <c r="F6" s="3283" t="s">
        <v>3178</v>
      </c>
      <c r="G6" s="3278">
        <f ca="1">[4]结果表!$C$20</f>
        <v>4595</v>
      </c>
      <c r="H6" s="3275">
        <f>H5</f>
        <v>0.4</v>
      </c>
      <c r="I6" s="3278">
        <f ca="1">'[4]剩余法-待开发'!$C$37</f>
        <v>5453</v>
      </c>
      <c r="J6" s="3278">
        <f>J5</f>
        <v>0.6</v>
      </c>
      <c r="K6" s="3278">
        <v>0</v>
      </c>
      <c r="L6" s="3278">
        <v>0</v>
      </c>
      <c r="M6" s="3275">
        <f t="shared" ref="M6:M7" ca="1" si="0">ROUND(G6*H6+I6*J6+K6*L6,0)</f>
        <v>5110</v>
      </c>
      <c r="N6" s="3292">
        <f t="shared" ref="N6:N7" ca="1" si="1">ROUND(M6*0.25,0)</f>
        <v>1278</v>
      </c>
      <c r="O6" s="3238">
        <f t="shared" ref="O6:O7" ca="1" si="2">N6*1206.62/10000</f>
        <v>154.20603599999998</v>
      </c>
    </row>
    <row r="7" spans="1:15" ht="26.25" customHeight="1">
      <c r="A7" s="3244"/>
      <c r="B7" s="3244"/>
      <c r="C7" s="3244"/>
      <c r="D7" s="3245"/>
      <c r="F7" s="3284" t="s">
        <v>3179</v>
      </c>
      <c r="G7" s="3278">
        <f ca="1">[3]结果表!$C$20</f>
        <v>4526</v>
      </c>
      <c r="H7" s="3278">
        <f>H6</f>
        <v>0.4</v>
      </c>
      <c r="I7" s="3278">
        <f ca="1">'[3]剩余法-待开发'!$C$37</f>
        <v>4749</v>
      </c>
      <c r="J7" s="3278">
        <f>J6</f>
        <v>0.6</v>
      </c>
      <c r="K7" s="3278">
        <v>0</v>
      </c>
      <c r="L7" s="3278">
        <v>0</v>
      </c>
      <c r="M7" s="3275">
        <f t="shared" ca="1" si="0"/>
        <v>4660</v>
      </c>
      <c r="N7" s="3292">
        <f t="shared" ca="1" si="1"/>
        <v>1165</v>
      </c>
      <c r="O7" s="3238">
        <f t="shared" ca="1" si="2"/>
        <v>140.57122999999999</v>
      </c>
    </row>
    <row r="8" spans="1:15" ht="33.75" customHeight="1">
      <c r="A8" s="3239"/>
      <c r="B8" s="3239" t="s">
        <v>3102</v>
      </c>
      <c r="C8" s="3239" t="s">
        <v>3103</v>
      </c>
      <c r="D8" s="3239" t="s">
        <v>3104</v>
      </c>
      <c r="F8" s="3279"/>
      <c r="G8" s="3279"/>
      <c r="H8" s="3279"/>
      <c r="I8" s="3279"/>
      <c r="J8" s="3279"/>
      <c r="K8" s="3279"/>
      <c r="L8" s="3279"/>
      <c r="M8" s="3279"/>
    </row>
    <row r="9" spans="1:15" ht="26.25" customHeight="1">
      <c r="A9" s="3239" t="s">
        <v>3105</v>
      </c>
      <c r="B9" s="3239">
        <f ca="1">ROUND(B3*0.25,0)</f>
        <v>1534</v>
      </c>
      <c r="C9" s="3239">
        <v>120662</v>
      </c>
      <c r="D9" s="3241">
        <f ca="1">ROUND(B9*C9/10000,2)</f>
        <v>18509.55</v>
      </c>
      <c r="F9" s="3285" t="s">
        <v>3180</v>
      </c>
      <c r="G9" s="3280" t="s">
        <v>3000</v>
      </c>
      <c r="H9" s="3277" t="s">
        <v>3001</v>
      </c>
      <c r="I9" s="3280" t="s">
        <v>3002</v>
      </c>
      <c r="J9" s="3277" t="s">
        <v>3001</v>
      </c>
      <c r="K9" s="3280" t="s">
        <v>3003</v>
      </c>
      <c r="L9" s="3277" t="s">
        <v>3001</v>
      </c>
      <c r="M9" s="3280" t="s">
        <v>3004</v>
      </c>
      <c r="N9" s="3280" t="s">
        <v>3185</v>
      </c>
    </row>
    <row r="10" spans="1:15" ht="26.25" customHeight="1">
      <c r="A10" s="3239" t="s">
        <v>3106</v>
      </c>
      <c r="B10" s="3239">
        <f t="shared" ref="B10:B11" ca="1" si="3">ROUND(B4*0.25,0)</f>
        <v>1278</v>
      </c>
      <c r="C10" s="3239" t="s">
        <v>3098</v>
      </c>
      <c r="D10" s="3239" t="s">
        <v>3098</v>
      </c>
      <c r="F10" s="3281" t="s">
        <v>3183</v>
      </c>
      <c r="G10" s="3278">
        <f ca="1">ROUND(C3*G5/10000,0)</f>
        <v>70937</v>
      </c>
      <c r="H10" s="3278">
        <f>H5</f>
        <v>0.4</v>
      </c>
      <c r="I10" s="3278">
        <f ca="1">ROUND(I5*C3/10000,0)</f>
        <v>76089</v>
      </c>
      <c r="J10" s="3278">
        <f>J5</f>
        <v>0.6</v>
      </c>
      <c r="K10" s="3278"/>
      <c r="L10" s="3278"/>
      <c r="M10" s="3278">
        <f ca="1">ROUND(G10*H10+I10*J10,0)</f>
        <v>74028</v>
      </c>
      <c r="N10" s="3286"/>
    </row>
    <row r="11" spans="1:15" ht="26.25" customHeight="1">
      <c r="A11" s="3239" t="s">
        <v>3107</v>
      </c>
      <c r="B11" s="3239">
        <f t="shared" ca="1" si="3"/>
        <v>1165</v>
      </c>
      <c r="C11" s="3239" t="s">
        <v>3098</v>
      </c>
      <c r="D11" s="3239" t="s">
        <v>3098</v>
      </c>
      <c r="F11" s="3281" t="s">
        <v>3010</v>
      </c>
      <c r="G11" s="3278">
        <f ca="1">ROUND(C3*G6/10000,0)</f>
        <v>55444</v>
      </c>
      <c r="H11" s="3285">
        <f>H10</f>
        <v>0.4</v>
      </c>
      <c r="I11" s="3278">
        <f ca="1">ROUND(I6*C3/10000,0)</f>
        <v>65797</v>
      </c>
      <c r="J11" s="3285">
        <f>J10</f>
        <v>0.6</v>
      </c>
      <c r="K11" s="3276"/>
      <c r="L11" s="3276"/>
      <c r="M11" s="3278">
        <f t="shared" ref="M11:M13" ca="1" si="4">ROUND(G11*H11+I11*J11,0)</f>
        <v>61656</v>
      </c>
      <c r="N11" s="3286"/>
    </row>
    <row r="12" spans="1:15" s="3243" customFormat="1" ht="26.25" hidden="1" customHeight="1">
      <c r="A12" s="3242" t="s">
        <v>3108</v>
      </c>
      <c r="B12" s="3242" t="s">
        <v>3100</v>
      </c>
      <c r="C12" s="3242" t="s">
        <v>3100</v>
      </c>
      <c r="D12" s="3242" t="s">
        <v>3100</v>
      </c>
      <c r="F12" s="3281" t="s">
        <v>3178</v>
      </c>
      <c r="G12" s="3278" t="e">
        <f ca="1">ROUND(C5*G6/10000,0)</f>
        <v>#VALUE!</v>
      </c>
      <c r="H12" s="3278"/>
      <c r="I12" s="3278" t="e">
        <f t="shared" ref="I12" ca="1" si="5">ROUND(I7*C5/10000,0)</f>
        <v>#VALUE!</v>
      </c>
      <c r="J12" s="3278"/>
      <c r="K12" s="3278"/>
      <c r="L12" s="3278"/>
      <c r="M12" s="3278" t="e">
        <f t="shared" ca="1" si="4"/>
        <v>#VALUE!</v>
      </c>
      <c r="N12" s="3287"/>
    </row>
    <row r="13" spans="1:15" ht="26.25" customHeight="1">
      <c r="A13" s="3239" t="s">
        <v>3109</v>
      </c>
      <c r="B13" s="3239"/>
      <c r="C13" s="3239"/>
      <c r="D13" s="3241">
        <f ca="1">D9</f>
        <v>18509.55</v>
      </c>
      <c r="F13" s="3282" t="s">
        <v>3179</v>
      </c>
      <c r="G13" s="3278">
        <f ca="1">ROUND(C3*G7/10000,0)</f>
        <v>54612</v>
      </c>
      <c r="H13" s="3278">
        <f>H11</f>
        <v>0.4</v>
      </c>
      <c r="I13" s="3278">
        <f ca="1">ROUND(I7*C3/10000,0)</f>
        <v>57302</v>
      </c>
      <c r="J13" s="3278">
        <f>J10</f>
        <v>0.6</v>
      </c>
      <c r="K13" s="3278"/>
      <c r="L13" s="3278"/>
      <c r="M13" s="3278">
        <f t="shared" ca="1" si="4"/>
        <v>56226</v>
      </c>
      <c r="N13" s="3286"/>
    </row>
    <row r="14" spans="1:15" ht="38.25" customHeight="1">
      <c r="A14" s="3443" t="s">
        <v>3110</v>
      </c>
      <c r="B14" s="3444"/>
      <c r="C14" s="3444"/>
      <c r="D14" s="3444"/>
      <c r="F14" s="3293" t="s">
        <v>3188</v>
      </c>
      <c r="G14" s="3294">
        <f>130354.62+335.57</f>
        <v>130690.19</v>
      </c>
      <c r="H14" s="3294"/>
    </row>
    <row r="15" spans="1:15" ht="38.25" customHeight="1">
      <c r="A15" s="3445" t="s">
        <v>3282</v>
      </c>
      <c r="B15" s="3446"/>
      <c r="C15" s="3446"/>
      <c r="D15" s="3446"/>
      <c r="F15" s="3294"/>
      <c r="G15" s="3294">
        <v>121262</v>
      </c>
      <c r="H15" s="3294">
        <f>121262+3120</f>
        <v>124382</v>
      </c>
    </row>
    <row r="16" spans="1:15" ht="20.25" customHeight="1">
      <c r="A16" s="3246"/>
      <c r="B16" s="3247"/>
      <c r="C16" s="3247"/>
      <c r="D16" s="3247"/>
      <c r="F16" s="3294"/>
      <c r="G16" s="3294">
        <f>G14/G15</f>
        <v>1.0777505731391532</v>
      </c>
      <c r="H16" s="3294">
        <f>G14/H15</f>
        <v>1.0507162611953498</v>
      </c>
    </row>
    <row r="17" spans="1:4" ht="29.25" customHeight="1">
      <c r="A17" s="3447" t="s">
        <v>3111</v>
      </c>
      <c r="B17" s="3447"/>
      <c r="C17" s="3447"/>
      <c r="D17" s="3447"/>
    </row>
    <row r="18" spans="1:4" ht="29.25" customHeight="1">
      <c r="A18" s="3448" t="s">
        <v>3112</v>
      </c>
      <c r="B18" s="3448"/>
      <c r="C18" s="3448"/>
      <c r="D18" s="3448"/>
    </row>
    <row r="19" spans="1:4" ht="29.25" customHeight="1">
      <c r="A19" s="3448"/>
      <c r="B19" s="3448"/>
      <c r="C19" s="3448"/>
      <c r="D19" s="3448"/>
    </row>
    <row r="20" spans="1:4" ht="29.25" customHeight="1">
      <c r="A20" s="3448"/>
      <c r="B20" s="3448"/>
      <c r="C20" s="3448"/>
      <c r="D20" s="3448"/>
    </row>
    <row r="21" spans="1:4" ht="29.25" customHeight="1">
      <c r="A21" s="3448"/>
      <c r="B21" s="3448"/>
      <c r="C21" s="3448"/>
      <c r="D21" s="3448"/>
    </row>
    <row r="22" spans="1:4" ht="29.25" customHeight="1">
      <c r="A22" s="3448"/>
      <c r="B22" s="3448"/>
      <c r="C22" s="3448"/>
      <c r="D22" s="3448"/>
    </row>
    <row r="23" spans="1:4" ht="29.25" customHeight="1">
      <c r="A23" s="3448"/>
      <c r="B23" s="3448"/>
      <c r="C23" s="3448"/>
      <c r="D23" s="3448"/>
    </row>
    <row r="24" spans="1:4" ht="29.25" customHeight="1">
      <c r="A24" s="3448"/>
      <c r="B24" s="3448"/>
      <c r="C24" s="3448"/>
      <c r="D24" s="3448"/>
    </row>
    <row r="25" spans="1:4">
      <c r="A25" s="3248"/>
      <c r="B25" s="3248"/>
      <c r="C25" s="3248"/>
      <c r="D25" s="3249"/>
    </row>
    <row r="26" spans="1:4">
      <c r="A26" s="3248"/>
      <c r="B26" s="3248"/>
      <c r="C26" s="3248"/>
      <c r="D26" s="3249"/>
    </row>
  </sheetData>
  <mergeCells count="5">
    <mergeCell ref="A1:D1"/>
    <mergeCell ref="A14:D14"/>
    <mergeCell ref="A15:D15"/>
    <mergeCell ref="A17:D17"/>
    <mergeCell ref="A18:D24"/>
  </mergeCells>
  <phoneticPr fontId="231" type="noConversion"/>
  <pageMargins left="0.7" right="0.7" top="0.75" bottom="0.75" header="0.3" footer="0.3"/>
  <pageSetup paperSize="9" scale="93"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29"/>
  <sheetViews>
    <sheetView view="pageBreakPreview" topLeftCell="A18" zoomScaleNormal="100" zoomScaleSheetLayoutView="100" workbookViewId="0">
      <selection activeCell="C12" sqref="C12:E27"/>
    </sheetView>
  </sheetViews>
  <sheetFormatPr defaultRowHeight="12.75"/>
  <cols>
    <col min="1" max="1" width="6.625" style="3251" customWidth="1"/>
    <col min="2" max="8" width="13.75" style="3251" customWidth="1"/>
    <col min="9" max="256" width="9" style="3251"/>
    <col min="257" max="257" width="6.625" style="3251" customWidth="1"/>
    <col min="258" max="264" width="13.75" style="3251" customWidth="1"/>
    <col min="265" max="512" width="9" style="3251"/>
    <col min="513" max="513" width="6.625" style="3251" customWidth="1"/>
    <col min="514" max="520" width="13.75" style="3251" customWidth="1"/>
    <col min="521" max="768" width="9" style="3251"/>
    <col min="769" max="769" width="6.625" style="3251" customWidth="1"/>
    <col min="770" max="776" width="13.75" style="3251" customWidth="1"/>
    <col min="777" max="1024" width="9" style="3251"/>
    <col min="1025" max="1025" width="6.625" style="3251" customWidth="1"/>
    <col min="1026" max="1032" width="13.75" style="3251" customWidth="1"/>
    <col min="1033" max="1280" width="9" style="3251"/>
    <col min="1281" max="1281" width="6.625" style="3251" customWidth="1"/>
    <col min="1282" max="1288" width="13.75" style="3251" customWidth="1"/>
    <col min="1289" max="1536" width="9" style="3251"/>
    <col min="1537" max="1537" width="6.625" style="3251" customWidth="1"/>
    <col min="1538" max="1544" width="13.75" style="3251" customWidth="1"/>
    <col min="1545" max="1792" width="9" style="3251"/>
    <col min="1793" max="1793" width="6.625" style="3251" customWidth="1"/>
    <col min="1794" max="1800" width="13.75" style="3251" customWidth="1"/>
    <col min="1801" max="2048" width="9" style="3251"/>
    <col min="2049" max="2049" width="6.625" style="3251" customWidth="1"/>
    <col min="2050" max="2056" width="13.75" style="3251" customWidth="1"/>
    <col min="2057" max="2304" width="9" style="3251"/>
    <col min="2305" max="2305" width="6.625" style="3251" customWidth="1"/>
    <col min="2306" max="2312" width="13.75" style="3251" customWidth="1"/>
    <col min="2313" max="2560" width="9" style="3251"/>
    <col min="2561" max="2561" width="6.625" style="3251" customWidth="1"/>
    <col min="2562" max="2568" width="13.75" style="3251" customWidth="1"/>
    <col min="2569" max="2816" width="9" style="3251"/>
    <col min="2817" max="2817" width="6.625" style="3251" customWidth="1"/>
    <col min="2818" max="2824" width="13.75" style="3251" customWidth="1"/>
    <col min="2825" max="3072" width="9" style="3251"/>
    <col min="3073" max="3073" width="6.625" style="3251" customWidth="1"/>
    <col min="3074" max="3080" width="13.75" style="3251" customWidth="1"/>
    <col min="3081" max="3328" width="9" style="3251"/>
    <col min="3329" max="3329" width="6.625" style="3251" customWidth="1"/>
    <col min="3330" max="3336" width="13.75" style="3251" customWidth="1"/>
    <col min="3337" max="3584" width="9" style="3251"/>
    <col min="3585" max="3585" width="6.625" style="3251" customWidth="1"/>
    <col min="3586" max="3592" width="13.75" style="3251" customWidth="1"/>
    <col min="3593" max="3840" width="9" style="3251"/>
    <col min="3841" max="3841" width="6.625" style="3251" customWidth="1"/>
    <col min="3842" max="3848" width="13.75" style="3251" customWidth="1"/>
    <col min="3849" max="4096" width="9" style="3251"/>
    <col min="4097" max="4097" width="6.625" style="3251" customWidth="1"/>
    <col min="4098" max="4104" width="13.75" style="3251" customWidth="1"/>
    <col min="4105" max="4352" width="9" style="3251"/>
    <col min="4353" max="4353" width="6.625" style="3251" customWidth="1"/>
    <col min="4354" max="4360" width="13.75" style="3251" customWidth="1"/>
    <col min="4361" max="4608" width="9" style="3251"/>
    <col min="4609" max="4609" width="6.625" style="3251" customWidth="1"/>
    <col min="4610" max="4616" width="13.75" style="3251" customWidth="1"/>
    <col min="4617" max="4864" width="9" style="3251"/>
    <col min="4865" max="4865" width="6.625" style="3251" customWidth="1"/>
    <col min="4866" max="4872" width="13.75" style="3251" customWidth="1"/>
    <col min="4873" max="5120" width="9" style="3251"/>
    <col min="5121" max="5121" width="6.625" style="3251" customWidth="1"/>
    <col min="5122" max="5128" width="13.75" style="3251" customWidth="1"/>
    <col min="5129" max="5376" width="9" style="3251"/>
    <col min="5377" max="5377" width="6.625" style="3251" customWidth="1"/>
    <col min="5378" max="5384" width="13.75" style="3251" customWidth="1"/>
    <col min="5385" max="5632" width="9" style="3251"/>
    <col min="5633" max="5633" width="6.625" style="3251" customWidth="1"/>
    <col min="5634" max="5640" width="13.75" style="3251" customWidth="1"/>
    <col min="5641" max="5888" width="9" style="3251"/>
    <col min="5889" max="5889" width="6.625" style="3251" customWidth="1"/>
    <col min="5890" max="5896" width="13.75" style="3251" customWidth="1"/>
    <col min="5897" max="6144" width="9" style="3251"/>
    <col min="6145" max="6145" width="6.625" style="3251" customWidth="1"/>
    <col min="6146" max="6152" width="13.75" style="3251" customWidth="1"/>
    <col min="6153" max="6400" width="9" style="3251"/>
    <col min="6401" max="6401" width="6.625" style="3251" customWidth="1"/>
    <col min="6402" max="6408" width="13.75" style="3251" customWidth="1"/>
    <col min="6409" max="6656" width="9" style="3251"/>
    <col min="6657" max="6657" width="6.625" style="3251" customWidth="1"/>
    <col min="6658" max="6664" width="13.75" style="3251" customWidth="1"/>
    <col min="6665" max="6912" width="9" style="3251"/>
    <col min="6913" max="6913" width="6.625" style="3251" customWidth="1"/>
    <col min="6914" max="6920" width="13.75" style="3251" customWidth="1"/>
    <col min="6921" max="7168" width="9" style="3251"/>
    <col min="7169" max="7169" width="6.625" style="3251" customWidth="1"/>
    <col min="7170" max="7176" width="13.75" style="3251" customWidth="1"/>
    <col min="7177" max="7424" width="9" style="3251"/>
    <col min="7425" max="7425" width="6.625" style="3251" customWidth="1"/>
    <col min="7426" max="7432" width="13.75" style="3251" customWidth="1"/>
    <col min="7433" max="7680" width="9" style="3251"/>
    <col min="7681" max="7681" width="6.625" style="3251" customWidth="1"/>
    <col min="7682" max="7688" width="13.75" style="3251" customWidth="1"/>
    <col min="7689" max="7936" width="9" style="3251"/>
    <col min="7937" max="7937" width="6.625" style="3251" customWidth="1"/>
    <col min="7938" max="7944" width="13.75" style="3251" customWidth="1"/>
    <col min="7945" max="8192" width="9" style="3251"/>
    <col min="8193" max="8193" width="6.625" style="3251" customWidth="1"/>
    <col min="8194" max="8200" width="13.75" style="3251" customWidth="1"/>
    <col min="8201" max="8448" width="9" style="3251"/>
    <col min="8449" max="8449" width="6.625" style="3251" customWidth="1"/>
    <col min="8450" max="8456" width="13.75" style="3251" customWidth="1"/>
    <col min="8457" max="8704" width="9" style="3251"/>
    <col min="8705" max="8705" width="6.625" style="3251" customWidth="1"/>
    <col min="8706" max="8712" width="13.75" style="3251" customWidth="1"/>
    <col min="8713" max="8960" width="9" style="3251"/>
    <col min="8961" max="8961" width="6.625" style="3251" customWidth="1"/>
    <col min="8962" max="8968" width="13.75" style="3251" customWidth="1"/>
    <col min="8969" max="9216" width="9" style="3251"/>
    <col min="9217" max="9217" width="6.625" style="3251" customWidth="1"/>
    <col min="9218" max="9224" width="13.75" style="3251" customWidth="1"/>
    <col min="9225" max="9472" width="9" style="3251"/>
    <col min="9473" max="9473" width="6.625" style="3251" customWidth="1"/>
    <col min="9474" max="9480" width="13.75" style="3251" customWidth="1"/>
    <col min="9481" max="9728" width="9" style="3251"/>
    <col min="9729" max="9729" width="6.625" style="3251" customWidth="1"/>
    <col min="9730" max="9736" width="13.75" style="3251" customWidth="1"/>
    <col min="9737" max="9984" width="9" style="3251"/>
    <col min="9985" max="9985" width="6.625" style="3251" customWidth="1"/>
    <col min="9986" max="9992" width="13.75" style="3251" customWidth="1"/>
    <col min="9993" max="10240" width="9" style="3251"/>
    <col min="10241" max="10241" width="6.625" style="3251" customWidth="1"/>
    <col min="10242" max="10248" width="13.75" style="3251" customWidth="1"/>
    <col min="10249" max="10496" width="9" style="3251"/>
    <col min="10497" max="10497" width="6.625" style="3251" customWidth="1"/>
    <col min="10498" max="10504" width="13.75" style="3251" customWidth="1"/>
    <col min="10505" max="10752" width="9" style="3251"/>
    <col min="10753" max="10753" width="6.625" style="3251" customWidth="1"/>
    <col min="10754" max="10760" width="13.75" style="3251" customWidth="1"/>
    <col min="10761" max="11008" width="9" style="3251"/>
    <col min="11009" max="11009" width="6.625" style="3251" customWidth="1"/>
    <col min="11010" max="11016" width="13.75" style="3251" customWidth="1"/>
    <col min="11017" max="11264" width="9" style="3251"/>
    <col min="11265" max="11265" width="6.625" style="3251" customWidth="1"/>
    <col min="11266" max="11272" width="13.75" style="3251" customWidth="1"/>
    <col min="11273" max="11520" width="9" style="3251"/>
    <col min="11521" max="11521" width="6.625" style="3251" customWidth="1"/>
    <col min="11522" max="11528" width="13.75" style="3251" customWidth="1"/>
    <col min="11529" max="11776" width="9" style="3251"/>
    <col min="11777" max="11777" width="6.625" style="3251" customWidth="1"/>
    <col min="11778" max="11784" width="13.75" style="3251" customWidth="1"/>
    <col min="11785" max="12032" width="9" style="3251"/>
    <col min="12033" max="12033" width="6.625" style="3251" customWidth="1"/>
    <col min="12034" max="12040" width="13.75" style="3251" customWidth="1"/>
    <col min="12041" max="12288" width="9" style="3251"/>
    <col min="12289" max="12289" width="6.625" style="3251" customWidth="1"/>
    <col min="12290" max="12296" width="13.75" style="3251" customWidth="1"/>
    <col min="12297" max="12544" width="9" style="3251"/>
    <col min="12545" max="12545" width="6.625" style="3251" customWidth="1"/>
    <col min="12546" max="12552" width="13.75" style="3251" customWidth="1"/>
    <col min="12553" max="12800" width="9" style="3251"/>
    <col min="12801" max="12801" width="6.625" style="3251" customWidth="1"/>
    <col min="12802" max="12808" width="13.75" style="3251" customWidth="1"/>
    <col min="12809" max="13056" width="9" style="3251"/>
    <col min="13057" max="13057" width="6.625" style="3251" customWidth="1"/>
    <col min="13058" max="13064" width="13.75" style="3251" customWidth="1"/>
    <col min="13065" max="13312" width="9" style="3251"/>
    <col min="13313" max="13313" width="6.625" style="3251" customWidth="1"/>
    <col min="13314" max="13320" width="13.75" style="3251" customWidth="1"/>
    <col min="13321" max="13568" width="9" style="3251"/>
    <col min="13569" max="13569" width="6.625" style="3251" customWidth="1"/>
    <col min="13570" max="13576" width="13.75" style="3251" customWidth="1"/>
    <col min="13577" max="13824" width="9" style="3251"/>
    <col min="13825" max="13825" width="6.625" style="3251" customWidth="1"/>
    <col min="13826" max="13832" width="13.75" style="3251" customWidth="1"/>
    <col min="13833" max="14080" width="9" style="3251"/>
    <col min="14081" max="14081" width="6.625" style="3251" customWidth="1"/>
    <col min="14082" max="14088" width="13.75" style="3251" customWidth="1"/>
    <col min="14089" max="14336" width="9" style="3251"/>
    <col min="14337" max="14337" width="6.625" style="3251" customWidth="1"/>
    <col min="14338" max="14344" width="13.75" style="3251" customWidth="1"/>
    <col min="14345" max="14592" width="9" style="3251"/>
    <col min="14593" max="14593" width="6.625" style="3251" customWidth="1"/>
    <col min="14594" max="14600" width="13.75" style="3251" customWidth="1"/>
    <col min="14601" max="14848" width="9" style="3251"/>
    <col min="14849" max="14849" width="6.625" style="3251" customWidth="1"/>
    <col min="14850" max="14856" width="13.75" style="3251" customWidth="1"/>
    <col min="14857" max="15104" width="9" style="3251"/>
    <col min="15105" max="15105" width="6.625" style="3251" customWidth="1"/>
    <col min="15106" max="15112" width="13.75" style="3251" customWidth="1"/>
    <col min="15113" max="15360" width="9" style="3251"/>
    <col min="15361" max="15361" width="6.625" style="3251" customWidth="1"/>
    <col min="15362" max="15368" width="13.75" style="3251" customWidth="1"/>
    <col min="15369" max="15616" width="9" style="3251"/>
    <col min="15617" max="15617" width="6.625" style="3251" customWidth="1"/>
    <col min="15618" max="15624" width="13.75" style="3251" customWidth="1"/>
    <col min="15625" max="15872" width="9" style="3251"/>
    <col min="15873" max="15873" width="6.625" style="3251" customWidth="1"/>
    <col min="15874" max="15880" width="13.75" style="3251" customWidth="1"/>
    <col min="15881" max="16128" width="9" style="3251"/>
    <col min="16129" max="16129" width="6.625" style="3251" customWidth="1"/>
    <col min="16130" max="16136" width="13.75" style="3251" customWidth="1"/>
    <col min="16137" max="16384" width="9" style="3251"/>
  </cols>
  <sheetData>
    <row r="1" spans="1:8" ht="39" customHeight="1">
      <c r="A1" s="3449" t="str">
        <f>汇总表!A1</f>
        <v>北京市密云区檀营乡MY00-0103-6023地块R2二类居住用地、MY00-0103-6024地块A33基础教育用地估价结果汇总表</v>
      </c>
      <c r="B1" s="3449"/>
      <c r="C1" s="3449"/>
      <c r="D1" s="3449"/>
      <c r="E1" s="3449"/>
      <c r="F1" s="3449"/>
      <c r="G1" s="3449"/>
      <c r="H1" s="3449"/>
    </row>
    <row r="2" spans="1:8" s="3253" customFormat="1" ht="39" customHeight="1">
      <c r="A2" s="3450" t="s">
        <v>3113</v>
      </c>
      <c r="B2" s="3451"/>
      <c r="C2" s="3252" t="s">
        <v>3114</v>
      </c>
      <c r="D2" s="3252" t="s">
        <v>3115</v>
      </c>
      <c r="E2" s="3252" t="s">
        <v>3116</v>
      </c>
      <c r="F2" s="3252" t="s">
        <v>3117</v>
      </c>
      <c r="G2" s="3452" t="s">
        <v>3118</v>
      </c>
      <c r="H2" s="3451"/>
    </row>
    <row r="3" spans="1:8" s="3255" customFormat="1" ht="39" customHeight="1">
      <c r="A3" s="3453" t="s">
        <v>3119</v>
      </c>
      <c r="B3" s="3252" t="s">
        <v>3120</v>
      </c>
      <c r="C3" s="3252" t="s">
        <v>3121</v>
      </c>
      <c r="D3" s="3252" t="s">
        <v>3122</v>
      </c>
      <c r="E3" s="3252" t="s">
        <v>3123</v>
      </c>
      <c r="F3" s="3252" t="s">
        <v>3124</v>
      </c>
      <c r="G3" s="3252" t="s">
        <v>3125</v>
      </c>
      <c r="H3" s="3254"/>
    </row>
    <row r="4" spans="1:8" s="3255" customFormat="1" ht="39" customHeight="1">
      <c r="A4" s="3454"/>
      <c r="B4" s="3254">
        <v>124382</v>
      </c>
      <c r="C4" s="3254">
        <f>121262-600</f>
        <v>120662</v>
      </c>
      <c r="D4" s="3254">
        <f>3120+600</f>
        <v>3720</v>
      </c>
      <c r="E4" s="3254">
        <v>0</v>
      </c>
      <c r="F4" s="3254">
        <f>D4</f>
        <v>3720</v>
      </c>
      <c r="G4" s="3254"/>
      <c r="H4" s="3254"/>
    </row>
    <row r="5" spans="1:8" s="3257" customFormat="1" ht="35.25" customHeight="1">
      <c r="A5" s="3256" t="s">
        <v>3126</v>
      </c>
      <c r="B5" s="3256" t="s">
        <v>3127</v>
      </c>
      <c r="C5" s="3256" t="s">
        <v>3128</v>
      </c>
      <c r="D5" s="3256" t="s">
        <v>3129</v>
      </c>
      <c r="E5" s="3256" t="s">
        <v>3128</v>
      </c>
      <c r="F5" s="3256" t="s">
        <v>3130</v>
      </c>
      <c r="G5" s="3256" t="s">
        <v>3128</v>
      </c>
      <c r="H5" s="3256" t="s">
        <v>3131</v>
      </c>
    </row>
    <row r="6" spans="1:8" ht="26.25" customHeight="1">
      <c r="A6" s="3256" t="s">
        <v>3132</v>
      </c>
      <c r="B6" s="3254">
        <v>5994</v>
      </c>
      <c r="C6" s="3258">
        <v>0.4</v>
      </c>
      <c r="D6" s="3254">
        <v>6189</v>
      </c>
      <c r="E6" s="3258">
        <f>1-C6</f>
        <v>0.6</v>
      </c>
      <c r="F6" s="3254"/>
      <c r="G6" s="3258"/>
      <c r="H6" s="3254">
        <v>6111</v>
      </c>
    </row>
    <row r="7" spans="1:8" ht="26.25" customHeight="1">
      <c r="A7" s="3256" t="s">
        <v>3133</v>
      </c>
      <c r="B7" s="3254">
        <v>4753</v>
      </c>
      <c r="C7" s="3258">
        <f>C6</f>
        <v>0.4</v>
      </c>
      <c r="D7" s="3254">
        <v>5652</v>
      </c>
      <c r="E7" s="3258">
        <f>E6</f>
        <v>0.6</v>
      </c>
      <c r="F7" s="3254"/>
      <c r="G7" s="3258"/>
      <c r="H7" s="3254">
        <v>5292</v>
      </c>
    </row>
    <row r="8" spans="1:8" ht="26.25" customHeight="1">
      <c r="A8" s="3256" t="s">
        <v>3134</v>
      </c>
      <c r="B8" s="3254">
        <v>4625</v>
      </c>
      <c r="C8" s="3258">
        <f>C6</f>
        <v>0.4</v>
      </c>
      <c r="D8" s="3254">
        <v>4701</v>
      </c>
      <c r="E8" s="3258">
        <f>E7</f>
        <v>0.6</v>
      </c>
      <c r="F8" s="3254"/>
      <c r="G8" s="3258"/>
      <c r="H8" s="3254">
        <v>4671</v>
      </c>
    </row>
    <row r="9" spans="1:8" ht="26.25" customHeight="1">
      <c r="A9" s="3256" t="s">
        <v>3135</v>
      </c>
      <c r="B9" s="3254"/>
      <c r="C9" s="3258"/>
      <c r="D9" s="3254"/>
      <c r="E9" s="3258"/>
      <c r="F9" s="3254"/>
      <c r="G9" s="3258"/>
      <c r="H9" s="3254">
        <f>B9*C9+D9*E9+F9*G9</f>
        <v>0</v>
      </c>
    </row>
    <row r="10" spans="1:8" ht="35.25" customHeight="1">
      <c r="A10" s="3455" t="s">
        <v>3136</v>
      </c>
      <c r="B10" s="3456"/>
      <c r="C10" s="3259" t="s">
        <v>3198</v>
      </c>
      <c r="D10" s="3455" t="s">
        <v>3137</v>
      </c>
      <c r="E10" s="3456"/>
      <c r="F10" s="3259" t="s">
        <v>3198</v>
      </c>
      <c r="G10" s="3260"/>
      <c r="H10" s="3261"/>
    </row>
    <row r="11" spans="1:8" ht="35.25" customHeight="1">
      <c r="A11" s="3457" t="s">
        <v>3138</v>
      </c>
      <c r="B11" s="3457"/>
      <c r="C11" s="3262" t="s">
        <v>3139</v>
      </c>
      <c r="D11" s="3262" t="s">
        <v>3140</v>
      </c>
      <c r="E11" s="3262" t="s">
        <v>3141</v>
      </c>
      <c r="F11" s="3262" t="s">
        <v>3142</v>
      </c>
      <c r="G11" s="3262" t="s">
        <v>3142</v>
      </c>
      <c r="H11" s="3458" t="s">
        <v>3143</v>
      </c>
    </row>
    <row r="12" spans="1:8" ht="33" customHeight="1">
      <c r="A12" s="3459" t="s">
        <v>3144</v>
      </c>
      <c r="B12" s="3263" t="s">
        <v>3145</v>
      </c>
      <c r="C12" s="3263" t="s">
        <v>1415</v>
      </c>
      <c r="D12" s="3263" t="s">
        <v>1415</v>
      </c>
      <c r="E12" s="3263" t="s">
        <v>1415</v>
      </c>
      <c r="F12" s="3263"/>
      <c r="G12" s="3264"/>
      <c r="H12" s="3458"/>
    </row>
    <row r="13" spans="1:8" ht="33" customHeight="1">
      <c r="A13" s="3459"/>
      <c r="B13" s="3263" t="s">
        <v>3146</v>
      </c>
      <c r="C13" s="3295" t="s">
        <v>3189</v>
      </c>
      <c r="D13" s="3263" t="s">
        <v>2998</v>
      </c>
      <c r="E13" s="3263" t="s">
        <v>2998</v>
      </c>
      <c r="F13" s="3263"/>
      <c r="G13" s="3264"/>
      <c r="H13" s="3458"/>
    </row>
    <row r="14" spans="1:8" ht="33" customHeight="1">
      <c r="A14" s="3459"/>
      <c r="B14" s="3263" t="s">
        <v>3147</v>
      </c>
      <c r="C14" s="3263">
        <v>3350</v>
      </c>
      <c r="D14" s="3263">
        <v>3270</v>
      </c>
      <c r="E14" s="3263">
        <v>3240</v>
      </c>
      <c r="F14" s="3263"/>
      <c r="G14" s="3264"/>
      <c r="H14" s="3458"/>
    </row>
    <row r="15" spans="1:8" ht="33" customHeight="1">
      <c r="A15" s="3459"/>
      <c r="B15" s="3263" t="s">
        <v>3148</v>
      </c>
      <c r="C15" s="3265">
        <v>1.1000000000000001</v>
      </c>
      <c r="D15" s="3265">
        <v>1</v>
      </c>
      <c r="E15" s="3265">
        <v>1</v>
      </c>
      <c r="F15" s="3265"/>
      <c r="G15" s="3266"/>
      <c r="H15" s="3458"/>
    </row>
    <row r="16" spans="1:8" ht="33" customHeight="1">
      <c r="A16" s="3459"/>
      <c r="B16" s="3263" t="s">
        <v>3149</v>
      </c>
      <c r="C16" s="3267">
        <v>40</v>
      </c>
      <c r="D16" s="3267">
        <v>30</v>
      </c>
      <c r="E16" s="3267">
        <v>30</v>
      </c>
      <c r="F16" s="3267"/>
      <c r="G16" s="3268"/>
      <c r="H16" s="3458"/>
    </row>
    <row r="17" spans="1:8" ht="33" customHeight="1">
      <c r="A17" s="3460" t="s">
        <v>3150</v>
      </c>
      <c r="B17" s="3269" t="s">
        <v>3151</v>
      </c>
      <c r="C17" s="3269">
        <v>23174</v>
      </c>
      <c r="D17" s="3269">
        <v>16138</v>
      </c>
      <c r="E17" s="3269">
        <v>13119</v>
      </c>
      <c r="F17" s="3269"/>
      <c r="G17" s="3270"/>
      <c r="H17" s="3458"/>
    </row>
    <row r="18" spans="1:8" ht="33" customHeight="1">
      <c r="A18" s="3460"/>
      <c r="B18" s="3269" t="s">
        <v>3152</v>
      </c>
      <c r="C18" s="3269" t="s">
        <v>3153</v>
      </c>
      <c r="D18" s="3269" t="s">
        <v>3153</v>
      </c>
      <c r="E18" s="3269" t="s">
        <v>3190</v>
      </c>
      <c r="F18" s="3269"/>
      <c r="G18" s="3270"/>
      <c r="H18" s="3458"/>
    </row>
    <row r="19" spans="1:8" ht="33" customHeight="1">
      <c r="A19" s="3460"/>
      <c r="B19" s="3269" t="s">
        <v>3154</v>
      </c>
      <c r="C19" s="3269" t="s">
        <v>1678</v>
      </c>
      <c r="D19" s="3269" t="s">
        <v>1678</v>
      </c>
      <c r="E19" s="3269" t="s">
        <v>1678</v>
      </c>
      <c r="F19" s="3269"/>
      <c r="G19" s="3270"/>
      <c r="H19" s="3458"/>
    </row>
    <row r="20" spans="1:8" ht="33" customHeight="1">
      <c r="A20" s="3460"/>
      <c r="B20" s="3269" t="s">
        <v>3155</v>
      </c>
      <c r="C20" s="3269">
        <v>4400</v>
      </c>
      <c r="D20" s="3269">
        <v>4300</v>
      </c>
      <c r="E20" s="3269">
        <v>4000</v>
      </c>
      <c r="F20" s="3269"/>
      <c r="G20" s="3270"/>
      <c r="H20" s="3458"/>
    </row>
    <row r="21" spans="1:8" ht="33" customHeight="1">
      <c r="A21" s="3460"/>
      <c r="B21" s="3269" t="s">
        <v>3156</v>
      </c>
      <c r="C21" s="3342">
        <v>2.5</v>
      </c>
      <c r="D21" s="3342">
        <f>C21</f>
        <v>2.5</v>
      </c>
      <c r="E21" s="3342">
        <f>D21</f>
        <v>2.5</v>
      </c>
      <c r="F21" s="3269"/>
      <c r="G21" s="3270"/>
      <c r="H21" s="3458"/>
    </row>
    <row r="22" spans="1:8" ht="33" customHeight="1">
      <c r="A22" s="3460"/>
      <c r="B22" s="3269" t="s">
        <v>3157</v>
      </c>
      <c r="C22" s="3271">
        <v>0.3</v>
      </c>
      <c r="D22" s="3271">
        <v>0.25</v>
      </c>
      <c r="E22" s="3271">
        <v>0.15</v>
      </c>
      <c r="F22" s="3269"/>
      <c r="G22" s="3270"/>
      <c r="H22" s="3458"/>
    </row>
    <row r="23" spans="1:8" ht="33" customHeight="1">
      <c r="A23" s="3461" t="s">
        <v>3158</v>
      </c>
      <c r="B23" s="3272" t="s">
        <v>3159</v>
      </c>
      <c r="C23" s="3296" t="s">
        <v>3191</v>
      </c>
      <c r="D23" s="3296" t="s">
        <v>3191</v>
      </c>
      <c r="E23" s="3296" t="s">
        <v>3255</v>
      </c>
      <c r="F23" s="3296"/>
      <c r="G23" s="3273"/>
      <c r="H23" s="3458"/>
    </row>
    <row r="24" spans="1:8" ht="33" customHeight="1">
      <c r="A24" s="3461"/>
      <c r="B24" s="3272" t="s">
        <v>3160</v>
      </c>
      <c r="C24" s="3297" t="s">
        <v>3191</v>
      </c>
      <c r="D24" s="3296" t="s">
        <v>3191</v>
      </c>
      <c r="E24" s="3297">
        <v>0.08</v>
      </c>
      <c r="F24" s="3296"/>
      <c r="G24" s="3273"/>
      <c r="H24" s="3458"/>
    </row>
    <row r="25" spans="1:8" ht="33" customHeight="1">
      <c r="A25" s="3461"/>
      <c r="B25" s="3272" t="s">
        <v>3161</v>
      </c>
      <c r="C25" s="3296" t="s">
        <v>3192</v>
      </c>
      <c r="D25" s="3296" t="s">
        <v>3191</v>
      </c>
      <c r="E25" s="3296" t="s">
        <v>3256</v>
      </c>
      <c r="F25" s="3296"/>
      <c r="G25" s="3273"/>
      <c r="H25" s="3458"/>
    </row>
    <row r="26" spans="1:8" ht="33" customHeight="1">
      <c r="A26" s="3461"/>
      <c r="B26" s="3272" t="s">
        <v>3162</v>
      </c>
      <c r="C26" s="3296" t="s">
        <v>3191</v>
      </c>
      <c r="D26" s="3296" t="s">
        <v>3191</v>
      </c>
      <c r="E26" s="3297">
        <v>0.04</v>
      </c>
      <c r="F26" s="3296"/>
      <c r="G26" s="3273"/>
      <c r="H26" s="3458"/>
    </row>
    <row r="27" spans="1:8" ht="33" customHeight="1">
      <c r="A27" s="3461"/>
      <c r="B27" s="3272" t="s">
        <v>3163</v>
      </c>
      <c r="C27" s="3297" t="s">
        <v>3191</v>
      </c>
      <c r="D27" s="3297" t="s">
        <v>3191</v>
      </c>
      <c r="E27" s="3297" t="s">
        <v>3191</v>
      </c>
      <c r="F27" s="3296"/>
      <c r="G27" s="3273"/>
      <c r="H27" s="3458"/>
    </row>
    <row r="116" spans="2:5">
      <c r="B116" s="3251" t="s">
        <v>3164</v>
      </c>
      <c r="C116" s="3251" t="s">
        <v>3165</v>
      </c>
      <c r="D116" s="3251" t="s">
        <v>3166</v>
      </c>
      <c r="E116" s="3274" t="s">
        <v>2086</v>
      </c>
    </row>
    <row r="117" spans="2:5">
      <c r="B117" s="3251" t="s">
        <v>3167</v>
      </c>
      <c r="C117" s="3251" t="s">
        <v>3168</v>
      </c>
      <c r="D117" s="3251" t="s">
        <v>3169</v>
      </c>
      <c r="E117" s="3274" t="s">
        <v>2907</v>
      </c>
    </row>
    <row r="118" spans="2:5">
      <c r="B118" s="3251" t="s">
        <v>3170</v>
      </c>
      <c r="C118" s="3251" t="s">
        <v>3171</v>
      </c>
      <c r="D118" s="3251" t="s">
        <v>3172</v>
      </c>
      <c r="E118" s="3274" t="s">
        <v>2908</v>
      </c>
    </row>
    <row r="119" spans="2:5">
      <c r="B119" s="3251" t="s">
        <v>3173</v>
      </c>
      <c r="D119" s="3251" t="s">
        <v>3174</v>
      </c>
      <c r="E119" s="3274" t="s">
        <v>2909</v>
      </c>
    </row>
    <row r="120" spans="2:5">
      <c r="B120" s="3274" t="s">
        <v>2498</v>
      </c>
      <c r="D120" s="3251" t="s">
        <v>3175</v>
      </c>
      <c r="E120" s="3274" t="s">
        <v>2910</v>
      </c>
    </row>
    <row r="121" spans="2:5">
      <c r="D121" s="3251" t="s">
        <v>3176</v>
      </c>
      <c r="E121" s="3274" t="s">
        <v>2911</v>
      </c>
    </row>
    <row r="122" spans="2:5">
      <c r="E122" s="3274" t="s">
        <v>2912</v>
      </c>
    </row>
    <row r="123" spans="2:5">
      <c r="E123" s="3274" t="s">
        <v>2913</v>
      </c>
    </row>
    <row r="124" spans="2:5">
      <c r="E124" s="3274" t="s">
        <v>2914</v>
      </c>
    </row>
    <row r="125" spans="2:5">
      <c r="E125" s="3274" t="s">
        <v>2915</v>
      </c>
    </row>
    <row r="126" spans="2:5">
      <c r="E126" s="3274" t="s">
        <v>2216</v>
      </c>
    </row>
    <row r="127" spans="2:5">
      <c r="E127" s="3274" t="s">
        <v>2229</v>
      </c>
    </row>
    <row r="128" spans="2:5">
      <c r="E128" s="3274"/>
    </row>
    <row r="129" spans="5:5">
      <c r="E129" s="3274"/>
    </row>
  </sheetData>
  <mergeCells count="11">
    <mergeCell ref="A11:B11"/>
    <mergeCell ref="H11:H27"/>
    <mergeCell ref="A12:A16"/>
    <mergeCell ref="A17:A22"/>
    <mergeCell ref="A23:A27"/>
    <mergeCell ref="A1:H1"/>
    <mergeCell ref="A2:B2"/>
    <mergeCell ref="G2:H2"/>
    <mergeCell ref="A3:A4"/>
    <mergeCell ref="A10:B10"/>
    <mergeCell ref="D10:E10"/>
  </mergeCells>
  <phoneticPr fontId="231" type="noConversion"/>
  <dataValidations count="4">
    <dataValidation type="list" allowBlank="1" showInputMessage="1" showErrorMessage="1" sqref="C18:G18 IY18:JC18 SU18:SY18 ACQ18:ACU18 AMM18:AMQ18 AWI18:AWM18 BGE18:BGI18 BQA18:BQE18 BZW18:CAA18 CJS18:CJW18 CTO18:CTS18 DDK18:DDO18 DNG18:DNK18 DXC18:DXG18 EGY18:EHC18 EQU18:EQY18 FAQ18:FAU18 FKM18:FKQ18 FUI18:FUM18 GEE18:GEI18 GOA18:GOE18 GXW18:GYA18 HHS18:HHW18 HRO18:HRS18 IBK18:IBO18 ILG18:ILK18 IVC18:IVG18 JEY18:JFC18 JOU18:JOY18 JYQ18:JYU18 KIM18:KIQ18 KSI18:KSM18 LCE18:LCI18 LMA18:LME18 LVW18:LWA18 MFS18:MFW18 MPO18:MPS18 MZK18:MZO18 NJG18:NJK18 NTC18:NTG18 OCY18:ODC18 OMU18:OMY18 OWQ18:OWU18 PGM18:PGQ18 PQI18:PQM18 QAE18:QAI18 QKA18:QKE18 QTW18:QUA18 RDS18:RDW18 RNO18:RNS18 RXK18:RXO18 SHG18:SHK18 SRC18:SRG18 TAY18:TBC18 TKU18:TKY18 TUQ18:TUU18 UEM18:UEQ18 UOI18:UOM18 UYE18:UYI18 VIA18:VIE18 VRW18:VSA18 WBS18:WBW18 WLO18:WLS18 WVK18:WVO18 C65554:G65554 IY65554:JC65554 SU65554:SY65554 ACQ65554:ACU65554 AMM65554:AMQ65554 AWI65554:AWM65554 BGE65554:BGI65554 BQA65554:BQE65554 BZW65554:CAA65554 CJS65554:CJW65554 CTO65554:CTS65554 DDK65554:DDO65554 DNG65554:DNK65554 DXC65554:DXG65554 EGY65554:EHC65554 EQU65554:EQY65554 FAQ65554:FAU65554 FKM65554:FKQ65554 FUI65554:FUM65554 GEE65554:GEI65554 GOA65554:GOE65554 GXW65554:GYA65554 HHS65554:HHW65554 HRO65554:HRS65554 IBK65554:IBO65554 ILG65554:ILK65554 IVC65554:IVG65554 JEY65554:JFC65554 JOU65554:JOY65554 JYQ65554:JYU65554 KIM65554:KIQ65554 KSI65554:KSM65554 LCE65554:LCI65554 LMA65554:LME65554 LVW65554:LWA65554 MFS65554:MFW65554 MPO65554:MPS65554 MZK65554:MZO65554 NJG65554:NJK65554 NTC65554:NTG65554 OCY65554:ODC65554 OMU65554:OMY65554 OWQ65554:OWU65554 PGM65554:PGQ65554 PQI65554:PQM65554 QAE65554:QAI65554 QKA65554:QKE65554 QTW65554:QUA65554 RDS65554:RDW65554 RNO65554:RNS65554 RXK65554:RXO65554 SHG65554:SHK65554 SRC65554:SRG65554 TAY65554:TBC65554 TKU65554:TKY65554 TUQ65554:TUU65554 UEM65554:UEQ65554 UOI65554:UOM65554 UYE65554:UYI65554 VIA65554:VIE65554 VRW65554:VSA65554 WBS65554:WBW65554 WLO65554:WLS65554 WVK65554:WVO65554 C131090:G131090 IY131090:JC131090 SU131090:SY131090 ACQ131090:ACU131090 AMM131090:AMQ131090 AWI131090:AWM131090 BGE131090:BGI131090 BQA131090:BQE131090 BZW131090:CAA131090 CJS131090:CJW131090 CTO131090:CTS131090 DDK131090:DDO131090 DNG131090:DNK131090 DXC131090:DXG131090 EGY131090:EHC131090 EQU131090:EQY131090 FAQ131090:FAU131090 FKM131090:FKQ131090 FUI131090:FUM131090 GEE131090:GEI131090 GOA131090:GOE131090 GXW131090:GYA131090 HHS131090:HHW131090 HRO131090:HRS131090 IBK131090:IBO131090 ILG131090:ILK131090 IVC131090:IVG131090 JEY131090:JFC131090 JOU131090:JOY131090 JYQ131090:JYU131090 KIM131090:KIQ131090 KSI131090:KSM131090 LCE131090:LCI131090 LMA131090:LME131090 LVW131090:LWA131090 MFS131090:MFW131090 MPO131090:MPS131090 MZK131090:MZO131090 NJG131090:NJK131090 NTC131090:NTG131090 OCY131090:ODC131090 OMU131090:OMY131090 OWQ131090:OWU131090 PGM131090:PGQ131090 PQI131090:PQM131090 QAE131090:QAI131090 QKA131090:QKE131090 QTW131090:QUA131090 RDS131090:RDW131090 RNO131090:RNS131090 RXK131090:RXO131090 SHG131090:SHK131090 SRC131090:SRG131090 TAY131090:TBC131090 TKU131090:TKY131090 TUQ131090:TUU131090 UEM131090:UEQ131090 UOI131090:UOM131090 UYE131090:UYI131090 VIA131090:VIE131090 VRW131090:VSA131090 WBS131090:WBW131090 WLO131090:WLS131090 WVK131090:WVO131090 C196626:G196626 IY196626:JC196626 SU196626:SY196626 ACQ196626:ACU196626 AMM196626:AMQ196626 AWI196626:AWM196626 BGE196626:BGI196626 BQA196626:BQE196626 BZW196626:CAA196626 CJS196626:CJW196626 CTO196626:CTS196626 DDK196626:DDO196626 DNG196626:DNK196626 DXC196626:DXG196626 EGY196626:EHC196626 EQU196626:EQY196626 FAQ196626:FAU196626 FKM196626:FKQ196626 FUI196626:FUM196626 GEE196626:GEI196626 GOA196626:GOE196626 GXW196626:GYA196626 HHS196626:HHW196626 HRO196626:HRS196626 IBK196626:IBO196626 ILG196626:ILK196626 IVC196626:IVG196626 JEY196626:JFC196626 JOU196626:JOY196626 JYQ196626:JYU196626 KIM196626:KIQ196626 KSI196626:KSM196626 LCE196626:LCI196626 LMA196626:LME196626 LVW196626:LWA196626 MFS196626:MFW196626 MPO196626:MPS196626 MZK196626:MZO196626 NJG196626:NJK196626 NTC196626:NTG196626 OCY196626:ODC196626 OMU196626:OMY196626 OWQ196626:OWU196626 PGM196626:PGQ196626 PQI196626:PQM196626 QAE196626:QAI196626 QKA196626:QKE196626 QTW196626:QUA196626 RDS196626:RDW196626 RNO196626:RNS196626 RXK196626:RXO196626 SHG196626:SHK196626 SRC196626:SRG196626 TAY196626:TBC196626 TKU196626:TKY196626 TUQ196626:TUU196626 UEM196626:UEQ196626 UOI196626:UOM196626 UYE196626:UYI196626 VIA196626:VIE196626 VRW196626:VSA196626 WBS196626:WBW196626 WLO196626:WLS196626 WVK196626:WVO196626 C262162:G262162 IY262162:JC262162 SU262162:SY262162 ACQ262162:ACU262162 AMM262162:AMQ262162 AWI262162:AWM262162 BGE262162:BGI262162 BQA262162:BQE262162 BZW262162:CAA262162 CJS262162:CJW262162 CTO262162:CTS262162 DDK262162:DDO262162 DNG262162:DNK262162 DXC262162:DXG262162 EGY262162:EHC262162 EQU262162:EQY262162 FAQ262162:FAU262162 FKM262162:FKQ262162 FUI262162:FUM262162 GEE262162:GEI262162 GOA262162:GOE262162 GXW262162:GYA262162 HHS262162:HHW262162 HRO262162:HRS262162 IBK262162:IBO262162 ILG262162:ILK262162 IVC262162:IVG262162 JEY262162:JFC262162 JOU262162:JOY262162 JYQ262162:JYU262162 KIM262162:KIQ262162 KSI262162:KSM262162 LCE262162:LCI262162 LMA262162:LME262162 LVW262162:LWA262162 MFS262162:MFW262162 MPO262162:MPS262162 MZK262162:MZO262162 NJG262162:NJK262162 NTC262162:NTG262162 OCY262162:ODC262162 OMU262162:OMY262162 OWQ262162:OWU262162 PGM262162:PGQ262162 PQI262162:PQM262162 QAE262162:QAI262162 QKA262162:QKE262162 QTW262162:QUA262162 RDS262162:RDW262162 RNO262162:RNS262162 RXK262162:RXO262162 SHG262162:SHK262162 SRC262162:SRG262162 TAY262162:TBC262162 TKU262162:TKY262162 TUQ262162:TUU262162 UEM262162:UEQ262162 UOI262162:UOM262162 UYE262162:UYI262162 VIA262162:VIE262162 VRW262162:VSA262162 WBS262162:WBW262162 WLO262162:WLS262162 WVK262162:WVO262162 C327698:G327698 IY327698:JC327698 SU327698:SY327698 ACQ327698:ACU327698 AMM327698:AMQ327698 AWI327698:AWM327698 BGE327698:BGI327698 BQA327698:BQE327698 BZW327698:CAA327698 CJS327698:CJW327698 CTO327698:CTS327698 DDK327698:DDO327698 DNG327698:DNK327698 DXC327698:DXG327698 EGY327698:EHC327698 EQU327698:EQY327698 FAQ327698:FAU327698 FKM327698:FKQ327698 FUI327698:FUM327698 GEE327698:GEI327698 GOA327698:GOE327698 GXW327698:GYA327698 HHS327698:HHW327698 HRO327698:HRS327698 IBK327698:IBO327698 ILG327698:ILK327698 IVC327698:IVG327698 JEY327698:JFC327698 JOU327698:JOY327698 JYQ327698:JYU327698 KIM327698:KIQ327698 KSI327698:KSM327698 LCE327698:LCI327698 LMA327698:LME327698 LVW327698:LWA327698 MFS327698:MFW327698 MPO327698:MPS327698 MZK327698:MZO327698 NJG327698:NJK327698 NTC327698:NTG327698 OCY327698:ODC327698 OMU327698:OMY327698 OWQ327698:OWU327698 PGM327698:PGQ327698 PQI327698:PQM327698 QAE327698:QAI327698 QKA327698:QKE327698 QTW327698:QUA327698 RDS327698:RDW327698 RNO327698:RNS327698 RXK327698:RXO327698 SHG327698:SHK327698 SRC327698:SRG327698 TAY327698:TBC327698 TKU327698:TKY327698 TUQ327698:TUU327698 UEM327698:UEQ327698 UOI327698:UOM327698 UYE327698:UYI327698 VIA327698:VIE327698 VRW327698:VSA327698 WBS327698:WBW327698 WLO327698:WLS327698 WVK327698:WVO327698 C393234:G393234 IY393234:JC393234 SU393234:SY393234 ACQ393234:ACU393234 AMM393234:AMQ393234 AWI393234:AWM393234 BGE393234:BGI393234 BQA393234:BQE393234 BZW393234:CAA393234 CJS393234:CJW393234 CTO393234:CTS393234 DDK393234:DDO393234 DNG393234:DNK393234 DXC393234:DXG393234 EGY393234:EHC393234 EQU393234:EQY393234 FAQ393234:FAU393234 FKM393234:FKQ393234 FUI393234:FUM393234 GEE393234:GEI393234 GOA393234:GOE393234 GXW393234:GYA393234 HHS393234:HHW393234 HRO393234:HRS393234 IBK393234:IBO393234 ILG393234:ILK393234 IVC393234:IVG393234 JEY393234:JFC393234 JOU393234:JOY393234 JYQ393234:JYU393234 KIM393234:KIQ393234 KSI393234:KSM393234 LCE393234:LCI393234 LMA393234:LME393234 LVW393234:LWA393234 MFS393234:MFW393234 MPO393234:MPS393234 MZK393234:MZO393234 NJG393234:NJK393234 NTC393234:NTG393234 OCY393234:ODC393234 OMU393234:OMY393234 OWQ393234:OWU393234 PGM393234:PGQ393234 PQI393234:PQM393234 QAE393234:QAI393234 QKA393234:QKE393234 QTW393234:QUA393234 RDS393234:RDW393234 RNO393234:RNS393234 RXK393234:RXO393234 SHG393234:SHK393234 SRC393234:SRG393234 TAY393234:TBC393234 TKU393234:TKY393234 TUQ393234:TUU393234 UEM393234:UEQ393234 UOI393234:UOM393234 UYE393234:UYI393234 VIA393234:VIE393234 VRW393234:VSA393234 WBS393234:WBW393234 WLO393234:WLS393234 WVK393234:WVO393234 C458770:G458770 IY458770:JC458770 SU458770:SY458770 ACQ458770:ACU458770 AMM458770:AMQ458770 AWI458770:AWM458770 BGE458770:BGI458770 BQA458770:BQE458770 BZW458770:CAA458770 CJS458770:CJW458770 CTO458770:CTS458770 DDK458770:DDO458770 DNG458770:DNK458770 DXC458770:DXG458770 EGY458770:EHC458770 EQU458770:EQY458770 FAQ458770:FAU458770 FKM458770:FKQ458770 FUI458770:FUM458770 GEE458770:GEI458770 GOA458770:GOE458770 GXW458770:GYA458770 HHS458770:HHW458770 HRO458770:HRS458770 IBK458770:IBO458770 ILG458770:ILK458770 IVC458770:IVG458770 JEY458770:JFC458770 JOU458770:JOY458770 JYQ458770:JYU458770 KIM458770:KIQ458770 KSI458770:KSM458770 LCE458770:LCI458770 LMA458770:LME458770 LVW458770:LWA458770 MFS458770:MFW458770 MPO458770:MPS458770 MZK458770:MZO458770 NJG458770:NJK458770 NTC458770:NTG458770 OCY458770:ODC458770 OMU458770:OMY458770 OWQ458770:OWU458770 PGM458770:PGQ458770 PQI458770:PQM458770 QAE458770:QAI458770 QKA458770:QKE458770 QTW458770:QUA458770 RDS458770:RDW458770 RNO458770:RNS458770 RXK458770:RXO458770 SHG458770:SHK458770 SRC458770:SRG458770 TAY458770:TBC458770 TKU458770:TKY458770 TUQ458770:TUU458770 UEM458770:UEQ458770 UOI458770:UOM458770 UYE458770:UYI458770 VIA458770:VIE458770 VRW458770:VSA458770 WBS458770:WBW458770 WLO458770:WLS458770 WVK458770:WVO458770 C524306:G524306 IY524306:JC524306 SU524306:SY524306 ACQ524306:ACU524306 AMM524306:AMQ524306 AWI524306:AWM524306 BGE524306:BGI524306 BQA524306:BQE524306 BZW524306:CAA524306 CJS524306:CJW524306 CTO524306:CTS524306 DDK524306:DDO524306 DNG524306:DNK524306 DXC524306:DXG524306 EGY524306:EHC524306 EQU524306:EQY524306 FAQ524306:FAU524306 FKM524306:FKQ524306 FUI524306:FUM524306 GEE524306:GEI524306 GOA524306:GOE524306 GXW524306:GYA524306 HHS524306:HHW524306 HRO524306:HRS524306 IBK524306:IBO524306 ILG524306:ILK524306 IVC524306:IVG524306 JEY524306:JFC524306 JOU524306:JOY524306 JYQ524306:JYU524306 KIM524306:KIQ524306 KSI524306:KSM524306 LCE524306:LCI524306 LMA524306:LME524306 LVW524306:LWA524306 MFS524306:MFW524306 MPO524306:MPS524306 MZK524306:MZO524306 NJG524306:NJK524306 NTC524306:NTG524306 OCY524306:ODC524306 OMU524306:OMY524306 OWQ524306:OWU524306 PGM524306:PGQ524306 PQI524306:PQM524306 QAE524306:QAI524306 QKA524306:QKE524306 QTW524306:QUA524306 RDS524306:RDW524306 RNO524306:RNS524306 RXK524306:RXO524306 SHG524306:SHK524306 SRC524306:SRG524306 TAY524306:TBC524306 TKU524306:TKY524306 TUQ524306:TUU524306 UEM524306:UEQ524306 UOI524306:UOM524306 UYE524306:UYI524306 VIA524306:VIE524306 VRW524306:VSA524306 WBS524306:WBW524306 WLO524306:WLS524306 WVK524306:WVO524306 C589842:G589842 IY589842:JC589842 SU589842:SY589842 ACQ589842:ACU589842 AMM589842:AMQ589842 AWI589842:AWM589842 BGE589842:BGI589842 BQA589842:BQE589842 BZW589842:CAA589842 CJS589842:CJW589842 CTO589842:CTS589842 DDK589842:DDO589842 DNG589842:DNK589842 DXC589842:DXG589842 EGY589842:EHC589842 EQU589842:EQY589842 FAQ589842:FAU589842 FKM589842:FKQ589842 FUI589842:FUM589842 GEE589842:GEI589842 GOA589842:GOE589842 GXW589842:GYA589842 HHS589842:HHW589842 HRO589842:HRS589842 IBK589842:IBO589842 ILG589842:ILK589842 IVC589842:IVG589842 JEY589842:JFC589842 JOU589842:JOY589842 JYQ589842:JYU589842 KIM589842:KIQ589842 KSI589842:KSM589842 LCE589842:LCI589842 LMA589842:LME589842 LVW589842:LWA589842 MFS589842:MFW589842 MPO589842:MPS589842 MZK589842:MZO589842 NJG589842:NJK589842 NTC589842:NTG589842 OCY589842:ODC589842 OMU589842:OMY589842 OWQ589842:OWU589842 PGM589842:PGQ589842 PQI589842:PQM589842 QAE589842:QAI589842 QKA589842:QKE589842 QTW589842:QUA589842 RDS589842:RDW589842 RNO589842:RNS589842 RXK589842:RXO589842 SHG589842:SHK589842 SRC589842:SRG589842 TAY589842:TBC589842 TKU589842:TKY589842 TUQ589842:TUU589842 UEM589842:UEQ589842 UOI589842:UOM589842 UYE589842:UYI589842 VIA589842:VIE589842 VRW589842:VSA589842 WBS589842:WBW589842 WLO589842:WLS589842 WVK589842:WVO589842 C655378:G655378 IY655378:JC655378 SU655378:SY655378 ACQ655378:ACU655378 AMM655378:AMQ655378 AWI655378:AWM655378 BGE655378:BGI655378 BQA655378:BQE655378 BZW655378:CAA655378 CJS655378:CJW655378 CTO655378:CTS655378 DDK655378:DDO655378 DNG655378:DNK655378 DXC655378:DXG655378 EGY655378:EHC655378 EQU655378:EQY655378 FAQ655378:FAU655378 FKM655378:FKQ655378 FUI655378:FUM655378 GEE655378:GEI655378 GOA655378:GOE655378 GXW655378:GYA655378 HHS655378:HHW655378 HRO655378:HRS655378 IBK655378:IBO655378 ILG655378:ILK655378 IVC655378:IVG655378 JEY655378:JFC655378 JOU655378:JOY655378 JYQ655378:JYU655378 KIM655378:KIQ655378 KSI655378:KSM655378 LCE655378:LCI655378 LMA655378:LME655378 LVW655378:LWA655378 MFS655378:MFW655378 MPO655378:MPS655378 MZK655378:MZO655378 NJG655378:NJK655378 NTC655378:NTG655378 OCY655378:ODC655378 OMU655378:OMY655378 OWQ655378:OWU655378 PGM655378:PGQ655378 PQI655378:PQM655378 QAE655378:QAI655378 QKA655378:QKE655378 QTW655378:QUA655378 RDS655378:RDW655378 RNO655378:RNS655378 RXK655378:RXO655378 SHG655378:SHK655378 SRC655378:SRG655378 TAY655378:TBC655378 TKU655378:TKY655378 TUQ655378:TUU655378 UEM655378:UEQ655378 UOI655378:UOM655378 UYE655378:UYI655378 VIA655378:VIE655378 VRW655378:VSA655378 WBS655378:WBW655378 WLO655378:WLS655378 WVK655378:WVO655378 C720914:G720914 IY720914:JC720914 SU720914:SY720914 ACQ720914:ACU720914 AMM720914:AMQ720914 AWI720914:AWM720914 BGE720914:BGI720914 BQA720914:BQE720914 BZW720914:CAA720914 CJS720914:CJW720914 CTO720914:CTS720914 DDK720914:DDO720914 DNG720914:DNK720914 DXC720914:DXG720914 EGY720914:EHC720914 EQU720914:EQY720914 FAQ720914:FAU720914 FKM720914:FKQ720914 FUI720914:FUM720914 GEE720914:GEI720914 GOA720914:GOE720914 GXW720914:GYA720914 HHS720914:HHW720914 HRO720914:HRS720914 IBK720914:IBO720914 ILG720914:ILK720914 IVC720914:IVG720914 JEY720914:JFC720914 JOU720914:JOY720914 JYQ720914:JYU720914 KIM720914:KIQ720914 KSI720914:KSM720914 LCE720914:LCI720914 LMA720914:LME720914 LVW720914:LWA720914 MFS720914:MFW720914 MPO720914:MPS720914 MZK720914:MZO720914 NJG720914:NJK720914 NTC720914:NTG720914 OCY720914:ODC720914 OMU720914:OMY720914 OWQ720914:OWU720914 PGM720914:PGQ720914 PQI720914:PQM720914 QAE720914:QAI720914 QKA720914:QKE720914 QTW720914:QUA720914 RDS720914:RDW720914 RNO720914:RNS720914 RXK720914:RXO720914 SHG720914:SHK720914 SRC720914:SRG720914 TAY720914:TBC720914 TKU720914:TKY720914 TUQ720914:TUU720914 UEM720914:UEQ720914 UOI720914:UOM720914 UYE720914:UYI720914 VIA720914:VIE720914 VRW720914:VSA720914 WBS720914:WBW720914 WLO720914:WLS720914 WVK720914:WVO720914 C786450:G786450 IY786450:JC786450 SU786450:SY786450 ACQ786450:ACU786450 AMM786450:AMQ786450 AWI786450:AWM786450 BGE786450:BGI786450 BQA786450:BQE786450 BZW786450:CAA786450 CJS786450:CJW786450 CTO786450:CTS786450 DDK786450:DDO786450 DNG786450:DNK786450 DXC786450:DXG786450 EGY786450:EHC786450 EQU786450:EQY786450 FAQ786450:FAU786450 FKM786450:FKQ786450 FUI786450:FUM786450 GEE786450:GEI786450 GOA786450:GOE786450 GXW786450:GYA786450 HHS786450:HHW786450 HRO786450:HRS786450 IBK786450:IBO786450 ILG786450:ILK786450 IVC786450:IVG786450 JEY786450:JFC786450 JOU786450:JOY786450 JYQ786450:JYU786450 KIM786450:KIQ786450 KSI786450:KSM786450 LCE786450:LCI786450 LMA786450:LME786450 LVW786450:LWA786450 MFS786450:MFW786450 MPO786450:MPS786450 MZK786450:MZO786450 NJG786450:NJK786450 NTC786450:NTG786450 OCY786450:ODC786450 OMU786450:OMY786450 OWQ786450:OWU786450 PGM786450:PGQ786450 PQI786450:PQM786450 QAE786450:QAI786450 QKA786450:QKE786450 QTW786450:QUA786450 RDS786450:RDW786450 RNO786450:RNS786450 RXK786450:RXO786450 SHG786450:SHK786450 SRC786450:SRG786450 TAY786450:TBC786450 TKU786450:TKY786450 TUQ786450:TUU786450 UEM786450:UEQ786450 UOI786450:UOM786450 UYE786450:UYI786450 VIA786450:VIE786450 VRW786450:VSA786450 WBS786450:WBW786450 WLO786450:WLS786450 WVK786450:WVO786450 C851986:G851986 IY851986:JC851986 SU851986:SY851986 ACQ851986:ACU851986 AMM851986:AMQ851986 AWI851986:AWM851986 BGE851986:BGI851986 BQA851986:BQE851986 BZW851986:CAA851986 CJS851986:CJW851986 CTO851986:CTS851986 DDK851986:DDO851986 DNG851986:DNK851986 DXC851986:DXG851986 EGY851986:EHC851986 EQU851986:EQY851986 FAQ851986:FAU851986 FKM851986:FKQ851986 FUI851986:FUM851986 GEE851986:GEI851986 GOA851986:GOE851986 GXW851986:GYA851986 HHS851986:HHW851986 HRO851986:HRS851986 IBK851986:IBO851986 ILG851986:ILK851986 IVC851986:IVG851986 JEY851986:JFC851986 JOU851986:JOY851986 JYQ851986:JYU851986 KIM851986:KIQ851986 KSI851986:KSM851986 LCE851986:LCI851986 LMA851986:LME851986 LVW851986:LWA851986 MFS851986:MFW851986 MPO851986:MPS851986 MZK851986:MZO851986 NJG851986:NJK851986 NTC851986:NTG851986 OCY851986:ODC851986 OMU851986:OMY851986 OWQ851986:OWU851986 PGM851986:PGQ851986 PQI851986:PQM851986 QAE851986:QAI851986 QKA851986:QKE851986 QTW851986:QUA851986 RDS851986:RDW851986 RNO851986:RNS851986 RXK851986:RXO851986 SHG851986:SHK851986 SRC851986:SRG851986 TAY851986:TBC851986 TKU851986:TKY851986 TUQ851986:TUU851986 UEM851986:UEQ851986 UOI851986:UOM851986 UYE851986:UYI851986 VIA851986:VIE851986 VRW851986:VSA851986 WBS851986:WBW851986 WLO851986:WLS851986 WVK851986:WVO851986 C917522:G917522 IY917522:JC917522 SU917522:SY917522 ACQ917522:ACU917522 AMM917522:AMQ917522 AWI917522:AWM917522 BGE917522:BGI917522 BQA917522:BQE917522 BZW917522:CAA917522 CJS917522:CJW917522 CTO917522:CTS917522 DDK917522:DDO917522 DNG917522:DNK917522 DXC917522:DXG917522 EGY917522:EHC917522 EQU917522:EQY917522 FAQ917522:FAU917522 FKM917522:FKQ917522 FUI917522:FUM917522 GEE917522:GEI917522 GOA917522:GOE917522 GXW917522:GYA917522 HHS917522:HHW917522 HRO917522:HRS917522 IBK917522:IBO917522 ILG917522:ILK917522 IVC917522:IVG917522 JEY917522:JFC917522 JOU917522:JOY917522 JYQ917522:JYU917522 KIM917522:KIQ917522 KSI917522:KSM917522 LCE917522:LCI917522 LMA917522:LME917522 LVW917522:LWA917522 MFS917522:MFW917522 MPO917522:MPS917522 MZK917522:MZO917522 NJG917522:NJK917522 NTC917522:NTG917522 OCY917522:ODC917522 OMU917522:OMY917522 OWQ917522:OWU917522 PGM917522:PGQ917522 PQI917522:PQM917522 QAE917522:QAI917522 QKA917522:QKE917522 QTW917522:QUA917522 RDS917522:RDW917522 RNO917522:RNS917522 RXK917522:RXO917522 SHG917522:SHK917522 SRC917522:SRG917522 TAY917522:TBC917522 TKU917522:TKY917522 TUQ917522:TUU917522 UEM917522:UEQ917522 UOI917522:UOM917522 UYE917522:UYI917522 VIA917522:VIE917522 VRW917522:VSA917522 WBS917522:WBW917522 WLO917522:WLS917522 WVK917522:WVO917522 C983058:G983058 IY983058:JC983058 SU983058:SY983058 ACQ983058:ACU983058 AMM983058:AMQ983058 AWI983058:AWM983058 BGE983058:BGI983058 BQA983058:BQE983058 BZW983058:CAA983058 CJS983058:CJW983058 CTO983058:CTS983058 DDK983058:DDO983058 DNG983058:DNK983058 DXC983058:DXG983058 EGY983058:EHC983058 EQU983058:EQY983058 FAQ983058:FAU983058 FKM983058:FKQ983058 FUI983058:FUM983058 GEE983058:GEI983058 GOA983058:GOE983058 GXW983058:GYA983058 HHS983058:HHW983058 HRO983058:HRS983058 IBK983058:IBO983058 ILG983058:ILK983058 IVC983058:IVG983058 JEY983058:JFC983058 JOU983058:JOY983058 JYQ983058:JYU983058 KIM983058:KIQ983058 KSI983058:KSM983058 LCE983058:LCI983058 LMA983058:LME983058 LVW983058:LWA983058 MFS983058:MFW983058 MPO983058:MPS983058 MZK983058:MZO983058 NJG983058:NJK983058 NTC983058:NTG983058 OCY983058:ODC983058 OMU983058:OMY983058 OWQ983058:OWU983058 PGM983058:PGQ983058 PQI983058:PQM983058 QAE983058:QAI983058 QKA983058:QKE983058 QTW983058:QUA983058 RDS983058:RDW983058 RNO983058:RNS983058 RXK983058:RXO983058 SHG983058:SHK983058 SRC983058:SRG983058 TAY983058:TBC983058 TKU983058:TKY983058 TUQ983058:TUU983058 UEM983058:UEQ983058 UOI983058:UOM983058 UYE983058:UYI983058 VIA983058:VIE983058 VRW983058:VSA983058 WBS983058:WBW983058 WLO983058:WLS983058 WVK983058:WVO983058">
      <formula1>$B$116:$B$120</formula1>
    </dataValidation>
    <dataValidation type="list" allowBlank="1" showInputMessage="1" showErrorMessage="1" sqref="C19:G19 IY19:JC19 SU19:SY19 ACQ19:ACU19 AMM19:AMQ19 AWI19:AWM19 BGE19:BGI19 BQA19:BQE19 BZW19:CAA19 CJS19:CJW19 CTO19:CTS19 DDK19:DDO19 DNG19:DNK19 DXC19:DXG19 EGY19:EHC19 EQU19:EQY19 FAQ19:FAU19 FKM19:FKQ19 FUI19:FUM19 GEE19:GEI19 GOA19:GOE19 GXW19:GYA19 HHS19:HHW19 HRO19:HRS19 IBK19:IBO19 ILG19:ILK19 IVC19:IVG19 JEY19:JFC19 JOU19:JOY19 JYQ19:JYU19 KIM19:KIQ19 KSI19:KSM19 LCE19:LCI19 LMA19:LME19 LVW19:LWA19 MFS19:MFW19 MPO19:MPS19 MZK19:MZO19 NJG19:NJK19 NTC19:NTG19 OCY19:ODC19 OMU19:OMY19 OWQ19:OWU19 PGM19:PGQ19 PQI19:PQM19 QAE19:QAI19 QKA19:QKE19 QTW19:QUA19 RDS19:RDW19 RNO19:RNS19 RXK19:RXO19 SHG19:SHK19 SRC19:SRG19 TAY19:TBC19 TKU19:TKY19 TUQ19:TUU19 UEM19:UEQ19 UOI19:UOM19 UYE19:UYI19 VIA19:VIE19 VRW19:VSA19 WBS19:WBW19 WLO19:WLS19 WVK19:WVO19 C65555:G65555 IY65555:JC65555 SU65555:SY65555 ACQ65555:ACU65555 AMM65555:AMQ65555 AWI65555:AWM65555 BGE65555:BGI65555 BQA65555:BQE65555 BZW65555:CAA65555 CJS65555:CJW65555 CTO65555:CTS65555 DDK65555:DDO65555 DNG65555:DNK65555 DXC65555:DXG65555 EGY65555:EHC65555 EQU65555:EQY65555 FAQ65555:FAU65555 FKM65555:FKQ65555 FUI65555:FUM65555 GEE65555:GEI65555 GOA65555:GOE65555 GXW65555:GYA65555 HHS65555:HHW65555 HRO65555:HRS65555 IBK65555:IBO65555 ILG65555:ILK65555 IVC65555:IVG65555 JEY65555:JFC65555 JOU65555:JOY65555 JYQ65555:JYU65555 KIM65555:KIQ65555 KSI65555:KSM65555 LCE65555:LCI65555 LMA65555:LME65555 LVW65555:LWA65555 MFS65555:MFW65555 MPO65555:MPS65555 MZK65555:MZO65555 NJG65555:NJK65555 NTC65555:NTG65555 OCY65555:ODC65555 OMU65555:OMY65555 OWQ65555:OWU65555 PGM65555:PGQ65555 PQI65555:PQM65555 QAE65555:QAI65555 QKA65555:QKE65555 QTW65555:QUA65555 RDS65555:RDW65555 RNO65555:RNS65555 RXK65555:RXO65555 SHG65555:SHK65555 SRC65555:SRG65555 TAY65555:TBC65555 TKU65555:TKY65555 TUQ65555:TUU65555 UEM65555:UEQ65555 UOI65555:UOM65555 UYE65555:UYI65555 VIA65555:VIE65555 VRW65555:VSA65555 WBS65555:WBW65555 WLO65555:WLS65555 WVK65555:WVO65555 C131091:G131091 IY131091:JC131091 SU131091:SY131091 ACQ131091:ACU131091 AMM131091:AMQ131091 AWI131091:AWM131091 BGE131091:BGI131091 BQA131091:BQE131091 BZW131091:CAA131091 CJS131091:CJW131091 CTO131091:CTS131091 DDK131091:DDO131091 DNG131091:DNK131091 DXC131091:DXG131091 EGY131091:EHC131091 EQU131091:EQY131091 FAQ131091:FAU131091 FKM131091:FKQ131091 FUI131091:FUM131091 GEE131091:GEI131091 GOA131091:GOE131091 GXW131091:GYA131091 HHS131091:HHW131091 HRO131091:HRS131091 IBK131091:IBO131091 ILG131091:ILK131091 IVC131091:IVG131091 JEY131091:JFC131091 JOU131091:JOY131091 JYQ131091:JYU131091 KIM131091:KIQ131091 KSI131091:KSM131091 LCE131091:LCI131091 LMA131091:LME131091 LVW131091:LWA131091 MFS131091:MFW131091 MPO131091:MPS131091 MZK131091:MZO131091 NJG131091:NJK131091 NTC131091:NTG131091 OCY131091:ODC131091 OMU131091:OMY131091 OWQ131091:OWU131091 PGM131091:PGQ131091 PQI131091:PQM131091 QAE131091:QAI131091 QKA131091:QKE131091 QTW131091:QUA131091 RDS131091:RDW131091 RNO131091:RNS131091 RXK131091:RXO131091 SHG131091:SHK131091 SRC131091:SRG131091 TAY131091:TBC131091 TKU131091:TKY131091 TUQ131091:TUU131091 UEM131091:UEQ131091 UOI131091:UOM131091 UYE131091:UYI131091 VIA131091:VIE131091 VRW131091:VSA131091 WBS131091:WBW131091 WLO131091:WLS131091 WVK131091:WVO131091 C196627:G196627 IY196627:JC196627 SU196627:SY196627 ACQ196627:ACU196627 AMM196627:AMQ196627 AWI196627:AWM196627 BGE196627:BGI196627 BQA196627:BQE196627 BZW196627:CAA196627 CJS196627:CJW196627 CTO196627:CTS196627 DDK196627:DDO196627 DNG196627:DNK196627 DXC196627:DXG196627 EGY196627:EHC196627 EQU196627:EQY196627 FAQ196627:FAU196627 FKM196627:FKQ196627 FUI196627:FUM196627 GEE196627:GEI196627 GOA196627:GOE196627 GXW196627:GYA196627 HHS196627:HHW196627 HRO196627:HRS196627 IBK196627:IBO196627 ILG196627:ILK196627 IVC196627:IVG196627 JEY196627:JFC196627 JOU196627:JOY196627 JYQ196627:JYU196627 KIM196627:KIQ196627 KSI196627:KSM196627 LCE196627:LCI196627 LMA196627:LME196627 LVW196627:LWA196627 MFS196627:MFW196627 MPO196627:MPS196627 MZK196627:MZO196627 NJG196627:NJK196627 NTC196627:NTG196627 OCY196627:ODC196627 OMU196627:OMY196627 OWQ196627:OWU196627 PGM196627:PGQ196627 PQI196627:PQM196627 QAE196627:QAI196627 QKA196627:QKE196627 QTW196627:QUA196627 RDS196627:RDW196627 RNO196627:RNS196627 RXK196627:RXO196627 SHG196627:SHK196627 SRC196627:SRG196627 TAY196627:TBC196627 TKU196627:TKY196627 TUQ196627:TUU196627 UEM196627:UEQ196627 UOI196627:UOM196627 UYE196627:UYI196627 VIA196627:VIE196627 VRW196627:VSA196627 WBS196627:WBW196627 WLO196627:WLS196627 WVK196627:WVO196627 C262163:G262163 IY262163:JC262163 SU262163:SY262163 ACQ262163:ACU262163 AMM262163:AMQ262163 AWI262163:AWM262163 BGE262163:BGI262163 BQA262163:BQE262163 BZW262163:CAA262163 CJS262163:CJW262163 CTO262163:CTS262163 DDK262163:DDO262163 DNG262163:DNK262163 DXC262163:DXG262163 EGY262163:EHC262163 EQU262163:EQY262163 FAQ262163:FAU262163 FKM262163:FKQ262163 FUI262163:FUM262163 GEE262163:GEI262163 GOA262163:GOE262163 GXW262163:GYA262163 HHS262163:HHW262163 HRO262163:HRS262163 IBK262163:IBO262163 ILG262163:ILK262163 IVC262163:IVG262163 JEY262163:JFC262163 JOU262163:JOY262163 JYQ262163:JYU262163 KIM262163:KIQ262163 KSI262163:KSM262163 LCE262163:LCI262163 LMA262163:LME262163 LVW262163:LWA262163 MFS262163:MFW262163 MPO262163:MPS262163 MZK262163:MZO262163 NJG262163:NJK262163 NTC262163:NTG262163 OCY262163:ODC262163 OMU262163:OMY262163 OWQ262163:OWU262163 PGM262163:PGQ262163 PQI262163:PQM262163 QAE262163:QAI262163 QKA262163:QKE262163 QTW262163:QUA262163 RDS262163:RDW262163 RNO262163:RNS262163 RXK262163:RXO262163 SHG262163:SHK262163 SRC262163:SRG262163 TAY262163:TBC262163 TKU262163:TKY262163 TUQ262163:TUU262163 UEM262163:UEQ262163 UOI262163:UOM262163 UYE262163:UYI262163 VIA262163:VIE262163 VRW262163:VSA262163 WBS262163:WBW262163 WLO262163:WLS262163 WVK262163:WVO262163 C327699:G327699 IY327699:JC327699 SU327699:SY327699 ACQ327699:ACU327699 AMM327699:AMQ327699 AWI327699:AWM327699 BGE327699:BGI327699 BQA327699:BQE327699 BZW327699:CAA327699 CJS327699:CJW327699 CTO327699:CTS327699 DDK327699:DDO327699 DNG327699:DNK327699 DXC327699:DXG327699 EGY327699:EHC327699 EQU327699:EQY327699 FAQ327699:FAU327699 FKM327699:FKQ327699 FUI327699:FUM327699 GEE327699:GEI327699 GOA327699:GOE327699 GXW327699:GYA327699 HHS327699:HHW327699 HRO327699:HRS327699 IBK327699:IBO327699 ILG327699:ILK327699 IVC327699:IVG327699 JEY327699:JFC327699 JOU327699:JOY327699 JYQ327699:JYU327699 KIM327699:KIQ327699 KSI327699:KSM327699 LCE327699:LCI327699 LMA327699:LME327699 LVW327699:LWA327699 MFS327699:MFW327699 MPO327699:MPS327699 MZK327699:MZO327699 NJG327699:NJK327699 NTC327699:NTG327699 OCY327699:ODC327699 OMU327699:OMY327699 OWQ327699:OWU327699 PGM327699:PGQ327699 PQI327699:PQM327699 QAE327699:QAI327699 QKA327699:QKE327699 QTW327699:QUA327699 RDS327699:RDW327699 RNO327699:RNS327699 RXK327699:RXO327699 SHG327699:SHK327699 SRC327699:SRG327699 TAY327699:TBC327699 TKU327699:TKY327699 TUQ327699:TUU327699 UEM327699:UEQ327699 UOI327699:UOM327699 UYE327699:UYI327699 VIA327699:VIE327699 VRW327699:VSA327699 WBS327699:WBW327699 WLO327699:WLS327699 WVK327699:WVO327699 C393235:G393235 IY393235:JC393235 SU393235:SY393235 ACQ393235:ACU393235 AMM393235:AMQ393235 AWI393235:AWM393235 BGE393235:BGI393235 BQA393235:BQE393235 BZW393235:CAA393235 CJS393235:CJW393235 CTO393235:CTS393235 DDK393235:DDO393235 DNG393235:DNK393235 DXC393235:DXG393235 EGY393235:EHC393235 EQU393235:EQY393235 FAQ393235:FAU393235 FKM393235:FKQ393235 FUI393235:FUM393235 GEE393235:GEI393235 GOA393235:GOE393235 GXW393235:GYA393235 HHS393235:HHW393235 HRO393235:HRS393235 IBK393235:IBO393235 ILG393235:ILK393235 IVC393235:IVG393235 JEY393235:JFC393235 JOU393235:JOY393235 JYQ393235:JYU393235 KIM393235:KIQ393235 KSI393235:KSM393235 LCE393235:LCI393235 LMA393235:LME393235 LVW393235:LWA393235 MFS393235:MFW393235 MPO393235:MPS393235 MZK393235:MZO393235 NJG393235:NJK393235 NTC393235:NTG393235 OCY393235:ODC393235 OMU393235:OMY393235 OWQ393235:OWU393235 PGM393235:PGQ393235 PQI393235:PQM393235 QAE393235:QAI393235 QKA393235:QKE393235 QTW393235:QUA393235 RDS393235:RDW393235 RNO393235:RNS393235 RXK393235:RXO393235 SHG393235:SHK393235 SRC393235:SRG393235 TAY393235:TBC393235 TKU393235:TKY393235 TUQ393235:TUU393235 UEM393235:UEQ393235 UOI393235:UOM393235 UYE393235:UYI393235 VIA393235:VIE393235 VRW393235:VSA393235 WBS393235:WBW393235 WLO393235:WLS393235 WVK393235:WVO393235 C458771:G458771 IY458771:JC458771 SU458771:SY458771 ACQ458771:ACU458771 AMM458771:AMQ458771 AWI458771:AWM458771 BGE458771:BGI458771 BQA458771:BQE458771 BZW458771:CAA458771 CJS458771:CJW458771 CTO458771:CTS458771 DDK458771:DDO458771 DNG458771:DNK458771 DXC458771:DXG458771 EGY458771:EHC458771 EQU458771:EQY458771 FAQ458771:FAU458771 FKM458771:FKQ458771 FUI458771:FUM458771 GEE458771:GEI458771 GOA458771:GOE458771 GXW458771:GYA458771 HHS458771:HHW458771 HRO458771:HRS458771 IBK458771:IBO458771 ILG458771:ILK458771 IVC458771:IVG458771 JEY458771:JFC458771 JOU458771:JOY458771 JYQ458771:JYU458771 KIM458771:KIQ458771 KSI458771:KSM458771 LCE458771:LCI458771 LMA458771:LME458771 LVW458771:LWA458771 MFS458771:MFW458771 MPO458771:MPS458771 MZK458771:MZO458771 NJG458771:NJK458771 NTC458771:NTG458771 OCY458771:ODC458771 OMU458771:OMY458771 OWQ458771:OWU458771 PGM458771:PGQ458771 PQI458771:PQM458771 QAE458771:QAI458771 QKA458771:QKE458771 QTW458771:QUA458771 RDS458771:RDW458771 RNO458771:RNS458771 RXK458771:RXO458771 SHG458771:SHK458771 SRC458771:SRG458771 TAY458771:TBC458771 TKU458771:TKY458771 TUQ458771:TUU458771 UEM458771:UEQ458771 UOI458771:UOM458771 UYE458771:UYI458771 VIA458771:VIE458771 VRW458771:VSA458771 WBS458771:WBW458771 WLO458771:WLS458771 WVK458771:WVO458771 C524307:G524307 IY524307:JC524307 SU524307:SY524307 ACQ524307:ACU524307 AMM524307:AMQ524307 AWI524307:AWM524307 BGE524307:BGI524307 BQA524307:BQE524307 BZW524307:CAA524307 CJS524307:CJW524307 CTO524307:CTS524307 DDK524307:DDO524307 DNG524307:DNK524307 DXC524307:DXG524307 EGY524307:EHC524307 EQU524307:EQY524307 FAQ524307:FAU524307 FKM524307:FKQ524307 FUI524307:FUM524307 GEE524307:GEI524307 GOA524307:GOE524307 GXW524307:GYA524307 HHS524307:HHW524307 HRO524307:HRS524307 IBK524307:IBO524307 ILG524307:ILK524307 IVC524307:IVG524307 JEY524307:JFC524307 JOU524307:JOY524307 JYQ524307:JYU524307 KIM524307:KIQ524307 KSI524307:KSM524307 LCE524307:LCI524307 LMA524307:LME524307 LVW524307:LWA524307 MFS524307:MFW524307 MPO524307:MPS524307 MZK524307:MZO524307 NJG524307:NJK524307 NTC524307:NTG524307 OCY524307:ODC524307 OMU524307:OMY524307 OWQ524307:OWU524307 PGM524307:PGQ524307 PQI524307:PQM524307 QAE524307:QAI524307 QKA524307:QKE524307 QTW524307:QUA524307 RDS524307:RDW524307 RNO524307:RNS524307 RXK524307:RXO524307 SHG524307:SHK524307 SRC524307:SRG524307 TAY524307:TBC524307 TKU524307:TKY524307 TUQ524307:TUU524307 UEM524307:UEQ524307 UOI524307:UOM524307 UYE524307:UYI524307 VIA524307:VIE524307 VRW524307:VSA524307 WBS524307:WBW524307 WLO524307:WLS524307 WVK524307:WVO524307 C589843:G589843 IY589843:JC589843 SU589843:SY589843 ACQ589843:ACU589843 AMM589843:AMQ589843 AWI589843:AWM589843 BGE589843:BGI589843 BQA589843:BQE589843 BZW589843:CAA589843 CJS589843:CJW589843 CTO589843:CTS589843 DDK589843:DDO589843 DNG589843:DNK589843 DXC589843:DXG589843 EGY589843:EHC589843 EQU589843:EQY589843 FAQ589843:FAU589843 FKM589843:FKQ589843 FUI589843:FUM589843 GEE589843:GEI589843 GOA589843:GOE589843 GXW589843:GYA589843 HHS589843:HHW589843 HRO589843:HRS589843 IBK589843:IBO589843 ILG589843:ILK589843 IVC589843:IVG589843 JEY589843:JFC589843 JOU589843:JOY589843 JYQ589843:JYU589843 KIM589843:KIQ589843 KSI589843:KSM589843 LCE589843:LCI589843 LMA589843:LME589843 LVW589843:LWA589843 MFS589843:MFW589843 MPO589843:MPS589843 MZK589843:MZO589843 NJG589843:NJK589843 NTC589843:NTG589843 OCY589843:ODC589843 OMU589843:OMY589843 OWQ589843:OWU589843 PGM589843:PGQ589843 PQI589843:PQM589843 QAE589843:QAI589843 QKA589843:QKE589843 QTW589843:QUA589843 RDS589843:RDW589843 RNO589843:RNS589843 RXK589843:RXO589843 SHG589843:SHK589843 SRC589843:SRG589843 TAY589843:TBC589843 TKU589843:TKY589843 TUQ589843:TUU589843 UEM589843:UEQ589843 UOI589843:UOM589843 UYE589843:UYI589843 VIA589843:VIE589843 VRW589843:VSA589843 WBS589843:WBW589843 WLO589843:WLS589843 WVK589843:WVO589843 C655379:G655379 IY655379:JC655379 SU655379:SY655379 ACQ655379:ACU655379 AMM655379:AMQ655379 AWI655379:AWM655379 BGE655379:BGI655379 BQA655379:BQE655379 BZW655379:CAA655379 CJS655379:CJW655379 CTO655379:CTS655379 DDK655379:DDO655379 DNG655379:DNK655379 DXC655379:DXG655379 EGY655379:EHC655379 EQU655379:EQY655379 FAQ655379:FAU655379 FKM655379:FKQ655379 FUI655379:FUM655379 GEE655379:GEI655379 GOA655379:GOE655379 GXW655379:GYA655379 HHS655379:HHW655379 HRO655379:HRS655379 IBK655379:IBO655379 ILG655379:ILK655379 IVC655379:IVG655379 JEY655379:JFC655379 JOU655379:JOY655379 JYQ655379:JYU655379 KIM655379:KIQ655379 KSI655379:KSM655379 LCE655379:LCI655379 LMA655379:LME655379 LVW655379:LWA655379 MFS655379:MFW655379 MPO655379:MPS655379 MZK655379:MZO655379 NJG655379:NJK655379 NTC655379:NTG655379 OCY655379:ODC655379 OMU655379:OMY655379 OWQ655379:OWU655379 PGM655379:PGQ655379 PQI655379:PQM655379 QAE655379:QAI655379 QKA655379:QKE655379 QTW655379:QUA655379 RDS655379:RDW655379 RNO655379:RNS655379 RXK655379:RXO655379 SHG655379:SHK655379 SRC655379:SRG655379 TAY655379:TBC655379 TKU655379:TKY655379 TUQ655379:TUU655379 UEM655379:UEQ655379 UOI655379:UOM655379 UYE655379:UYI655379 VIA655379:VIE655379 VRW655379:VSA655379 WBS655379:WBW655379 WLO655379:WLS655379 WVK655379:WVO655379 C720915:G720915 IY720915:JC720915 SU720915:SY720915 ACQ720915:ACU720915 AMM720915:AMQ720915 AWI720915:AWM720915 BGE720915:BGI720915 BQA720915:BQE720915 BZW720915:CAA720915 CJS720915:CJW720915 CTO720915:CTS720915 DDK720915:DDO720915 DNG720915:DNK720915 DXC720915:DXG720915 EGY720915:EHC720915 EQU720915:EQY720915 FAQ720915:FAU720915 FKM720915:FKQ720915 FUI720915:FUM720915 GEE720915:GEI720915 GOA720915:GOE720915 GXW720915:GYA720915 HHS720915:HHW720915 HRO720915:HRS720915 IBK720915:IBO720915 ILG720915:ILK720915 IVC720915:IVG720915 JEY720915:JFC720915 JOU720915:JOY720915 JYQ720915:JYU720915 KIM720915:KIQ720915 KSI720915:KSM720915 LCE720915:LCI720915 LMA720915:LME720915 LVW720915:LWA720915 MFS720915:MFW720915 MPO720915:MPS720915 MZK720915:MZO720915 NJG720915:NJK720915 NTC720915:NTG720915 OCY720915:ODC720915 OMU720915:OMY720915 OWQ720915:OWU720915 PGM720915:PGQ720915 PQI720915:PQM720915 QAE720915:QAI720915 QKA720915:QKE720915 QTW720915:QUA720915 RDS720915:RDW720915 RNO720915:RNS720915 RXK720915:RXO720915 SHG720915:SHK720915 SRC720915:SRG720915 TAY720915:TBC720915 TKU720915:TKY720915 TUQ720915:TUU720915 UEM720915:UEQ720915 UOI720915:UOM720915 UYE720915:UYI720915 VIA720915:VIE720915 VRW720915:VSA720915 WBS720915:WBW720915 WLO720915:WLS720915 WVK720915:WVO720915 C786451:G786451 IY786451:JC786451 SU786451:SY786451 ACQ786451:ACU786451 AMM786451:AMQ786451 AWI786451:AWM786451 BGE786451:BGI786451 BQA786451:BQE786451 BZW786451:CAA786451 CJS786451:CJW786451 CTO786451:CTS786451 DDK786451:DDO786451 DNG786451:DNK786451 DXC786451:DXG786451 EGY786451:EHC786451 EQU786451:EQY786451 FAQ786451:FAU786451 FKM786451:FKQ786451 FUI786451:FUM786451 GEE786451:GEI786451 GOA786451:GOE786451 GXW786451:GYA786451 HHS786451:HHW786451 HRO786451:HRS786451 IBK786451:IBO786451 ILG786451:ILK786451 IVC786451:IVG786451 JEY786451:JFC786451 JOU786451:JOY786451 JYQ786451:JYU786451 KIM786451:KIQ786451 KSI786451:KSM786451 LCE786451:LCI786451 LMA786451:LME786451 LVW786451:LWA786451 MFS786451:MFW786451 MPO786451:MPS786451 MZK786451:MZO786451 NJG786451:NJK786451 NTC786451:NTG786451 OCY786451:ODC786451 OMU786451:OMY786451 OWQ786451:OWU786451 PGM786451:PGQ786451 PQI786451:PQM786451 QAE786451:QAI786451 QKA786451:QKE786451 QTW786451:QUA786451 RDS786451:RDW786451 RNO786451:RNS786451 RXK786451:RXO786451 SHG786451:SHK786451 SRC786451:SRG786451 TAY786451:TBC786451 TKU786451:TKY786451 TUQ786451:TUU786451 UEM786451:UEQ786451 UOI786451:UOM786451 UYE786451:UYI786451 VIA786451:VIE786451 VRW786451:VSA786451 WBS786451:WBW786451 WLO786451:WLS786451 WVK786451:WVO786451 C851987:G851987 IY851987:JC851987 SU851987:SY851987 ACQ851987:ACU851987 AMM851987:AMQ851987 AWI851987:AWM851987 BGE851987:BGI851987 BQA851987:BQE851987 BZW851987:CAA851987 CJS851987:CJW851987 CTO851987:CTS851987 DDK851987:DDO851987 DNG851987:DNK851987 DXC851987:DXG851987 EGY851987:EHC851987 EQU851987:EQY851987 FAQ851987:FAU851987 FKM851987:FKQ851987 FUI851987:FUM851987 GEE851987:GEI851987 GOA851987:GOE851987 GXW851987:GYA851987 HHS851987:HHW851987 HRO851987:HRS851987 IBK851987:IBO851987 ILG851987:ILK851987 IVC851987:IVG851987 JEY851987:JFC851987 JOU851987:JOY851987 JYQ851987:JYU851987 KIM851987:KIQ851987 KSI851987:KSM851987 LCE851987:LCI851987 LMA851987:LME851987 LVW851987:LWA851987 MFS851987:MFW851987 MPO851987:MPS851987 MZK851987:MZO851987 NJG851987:NJK851987 NTC851987:NTG851987 OCY851987:ODC851987 OMU851987:OMY851987 OWQ851987:OWU851987 PGM851987:PGQ851987 PQI851987:PQM851987 QAE851987:QAI851987 QKA851987:QKE851987 QTW851987:QUA851987 RDS851987:RDW851987 RNO851987:RNS851987 RXK851987:RXO851987 SHG851987:SHK851987 SRC851987:SRG851987 TAY851987:TBC851987 TKU851987:TKY851987 TUQ851987:TUU851987 UEM851987:UEQ851987 UOI851987:UOM851987 UYE851987:UYI851987 VIA851987:VIE851987 VRW851987:VSA851987 WBS851987:WBW851987 WLO851987:WLS851987 WVK851987:WVO851987 C917523:G917523 IY917523:JC917523 SU917523:SY917523 ACQ917523:ACU917523 AMM917523:AMQ917523 AWI917523:AWM917523 BGE917523:BGI917523 BQA917523:BQE917523 BZW917523:CAA917523 CJS917523:CJW917523 CTO917523:CTS917523 DDK917523:DDO917523 DNG917523:DNK917523 DXC917523:DXG917523 EGY917523:EHC917523 EQU917523:EQY917523 FAQ917523:FAU917523 FKM917523:FKQ917523 FUI917523:FUM917523 GEE917523:GEI917523 GOA917523:GOE917523 GXW917523:GYA917523 HHS917523:HHW917523 HRO917523:HRS917523 IBK917523:IBO917523 ILG917523:ILK917523 IVC917523:IVG917523 JEY917523:JFC917523 JOU917523:JOY917523 JYQ917523:JYU917523 KIM917523:KIQ917523 KSI917523:KSM917523 LCE917523:LCI917523 LMA917523:LME917523 LVW917523:LWA917523 MFS917523:MFW917523 MPO917523:MPS917523 MZK917523:MZO917523 NJG917523:NJK917523 NTC917523:NTG917523 OCY917523:ODC917523 OMU917523:OMY917523 OWQ917523:OWU917523 PGM917523:PGQ917523 PQI917523:PQM917523 QAE917523:QAI917523 QKA917523:QKE917523 QTW917523:QUA917523 RDS917523:RDW917523 RNO917523:RNS917523 RXK917523:RXO917523 SHG917523:SHK917523 SRC917523:SRG917523 TAY917523:TBC917523 TKU917523:TKY917523 TUQ917523:TUU917523 UEM917523:UEQ917523 UOI917523:UOM917523 UYE917523:UYI917523 VIA917523:VIE917523 VRW917523:VSA917523 WBS917523:WBW917523 WLO917523:WLS917523 WVK917523:WVO917523 C983059:G983059 IY983059:JC983059 SU983059:SY983059 ACQ983059:ACU983059 AMM983059:AMQ983059 AWI983059:AWM983059 BGE983059:BGI983059 BQA983059:BQE983059 BZW983059:CAA983059 CJS983059:CJW983059 CTO983059:CTS983059 DDK983059:DDO983059 DNG983059:DNK983059 DXC983059:DXG983059 EGY983059:EHC983059 EQU983059:EQY983059 FAQ983059:FAU983059 FKM983059:FKQ983059 FUI983059:FUM983059 GEE983059:GEI983059 GOA983059:GOE983059 GXW983059:GYA983059 HHS983059:HHW983059 HRO983059:HRS983059 IBK983059:IBO983059 ILG983059:ILK983059 IVC983059:IVG983059 JEY983059:JFC983059 JOU983059:JOY983059 JYQ983059:JYU983059 KIM983059:KIQ983059 KSI983059:KSM983059 LCE983059:LCI983059 LMA983059:LME983059 LVW983059:LWA983059 MFS983059:MFW983059 MPO983059:MPS983059 MZK983059:MZO983059 NJG983059:NJK983059 NTC983059:NTG983059 OCY983059:ODC983059 OMU983059:OMY983059 OWQ983059:OWU983059 PGM983059:PGQ983059 PQI983059:PQM983059 QAE983059:QAI983059 QKA983059:QKE983059 QTW983059:QUA983059 RDS983059:RDW983059 RNO983059:RNS983059 RXK983059:RXO983059 SHG983059:SHK983059 SRC983059:SRG983059 TAY983059:TBC983059 TKU983059:TKY983059 TUQ983059:TUU983059 UEM983059:UEQ983059 UOI983059:UOM983059 UYE983059:UYI983059 VIA983059:VIE983059 VRW983059:VSA983059 WBS983059:WBW983059 WLO983059:WLS983059 WVK983059:WVO983059">
      <formula1>$C$116:$C$118</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ormula1>$D$116:$D$121</formula1>
    </dataValidation>
    <dataValidation type="list" allowBlank="1" showInputMessage="1" showErrorMessage="1" sqref="C12:G12 IY12:JC12 SU12:SY12 ACQ12:ACU12 AMM12:AMQ12 AWI12:AWM12 BGE12:BGI12 BQA12:BQE12 BZW12:CAA12 CJS12:CJW12 CTO12:CTS12 DDK12:DDO12 DNG12:DNK12 DXC12:DXG12 EGY12:EHC12 EQU12:EQY12 FAQ12:FAU12 FKM12:FKQ12 FUI12:FUM12 GEE12:GEI12 GOA12:GOE12 GXW12:GYA12 HHS12:HHW12 HRO12:HRS12 IBK12:IBO12 ILG12:ILK12 IVC12:IVG12 JEY12:JFC12 JOU12:JOY12 JYQ12:JYU12 KIM12:KIQ12 KSI12:KSM12 LCE12:LCI12 LMA12:LME12 LVW12:LWA12 MFS12:MFW12 MPO12:MPS12 MZK12:MZO12 NJG12:NJK12 NTC12:NTG12 OCY12:ODC12 OMU12:OMY12 OWQ12:OWU12 PGM12:PGQ12 PQI12:PQM12 QAE12:QAI12 QKA12:QKE12 QTW12:QUA12 RDS12:RDW12 RNO12:RNS12 RXK12:RXO12 SHG12:SHK12 SRC12:SRG12 TAY12:TBC12 TKU12:TKY12 TUQ12:TUU12 UEM12:UEQ12 UOI12:UOM12 UYE12:UYI12 VIA12:VIE12 VRW12:VSA12 WBS12:WBW12 WLO12:WLS12 WVK12:WVO12 C65548:G65548 IY65548:JC65548 SU65548:SY65548 ACQ65548:ACU65548 AMM65548:AMQ65548 AWI65548:AWM65548 BGE65548:BGI65548 BQA65548:BQE65548 BZW65548:CAA65548 CJS65548:CJW65548 CTO65548:CTS65548 DDK65548:DDO65548 DNG65548:DNK65548 DXC65548:DXG65548 EGY65548:EHC65548 EQU65548:EQY65548 FAQ65548:FAU65548 FKM65548:FKQ65548 FUI65548:FUM65548 GEE65548:GEI65548 GOA65548:GOE65548 GXW65548:GYA65548 HHS65548:HHW65548 HRO65548:HRS65548 IBK65548:IBO65548 ILG65548:ILK65548 IVC65548:IVG65548 JEY65548:JFC65548 JOU65548:JOY65548 JYQ65548:JYU65548 KIM65548:KIQ65548 KSI65548:KSM65548 LCE65548:LCI65548 LMA65548:LME65548 LVW65548:LWA65548 MFS65548:MFW65548 MPO65548:MPS65548 MZK65548:MZO65548 NJG65548:NJK65548 NTC65548:NTG65548 OCY65548:ODC65548 OMU65548:OMY65548 OWQ65548:OWU65548 PGM65548:PGQ65548 PQI65548:PQM65548 QAE65548:QAI65548 QKA65548:QKE65548 QTW65548:QUA65548 RDS65548:RDW65548 RNO65548:RNS65548 RXK65548:RXO65548 SHG65548:SHK65548 SRC65548:SRG65548 TAY65548:TBC65548 TKU65548:TKY65548 TUQ65548:TUU65548 UEM65548:UEQ65548 UOI65548:UOM65548 UYE65548:UYI65548 VIA65548:VIE65548 VRW65548:VSA65548 WBS65548:WBW65548 WLO65548:WLS65548 WVK65548:WVO65548 C131084:G131084 IY131084:JC131084 SU131084:SY131084 ACQ131084:ACU131084 AMM131084:AMQ131084 AWI131084:AWM131084 BGE131084:BGI131084 BQA131084:BQE131084 BZW131084:CAA131084 CJS131084:CJW131084 CTO131084:CTS131084 DDK131084:DDO131084 DNG131084:DNK131084 DXC131084:DXG131084 EGY131084:EHC131084 EQU131084:EQY131084 FAQ131084:FAU131084 FKM131084:FKQ131084 FUI131084:FUM131084 GEE131084:GEI131084 GOA131084:GOE131084 GXW131084:GYA131084 HHS131084:HHW131084 HRO131084:HRS131084 IBK131084:IBO131084 ILG131084:ILK131084 IVC131084:IVG131084 JEY131084:JFC131084 JOU131084:JOY131084 JYQ131084:JYU131084 KIM131084:KIQ131084 KSI131084:KSM131084 LCE131084:LCI131084 LMA131084:LME131084 LVW131084:LWA131084 MFS131084:MFW131084 MPO131084:MPS131084 MZK131084:MZO131084 NJG131084:NJK131084 NTC131084:NTG131084 OCY131084:ODC131084 OMU131084:OMY131084 OWQ131084:OWU131084 PGM131084:PGQ131084 PQI131084:PQM131084 QAE131084:QAI131084 QKA131084:QKE131084 QTW131084:QUA131084 RDS131084:RDW131084 RNO131084:RNS131084 RXK131084:RXO131084 SHG131084:SHK131084 SRC131084:SRG131084 TAY131084:TBC131084 TKU131084:TKY131084 TUQ131084:TUU131084 UEM131084:UEQ131084 UOI131084:UOM131084 UYE131084:UYI131084 VIA131084:VIE131084 VRW131084:VSA131084 WBS131084:WBW131084 WLO131084:WLS131084 WVK131084:WVO131084 C196620:G196620 IY196620:JC196620 SU196620:SY196620 ACQ196620:ACU196620 AMM196620:AMQ196620 AWI196620:AWM196620 BGE196620:BGI196620 BQA196620:BQE196620 BZW196620:CAA196620 CJS196620:CJW196620 CTO196620:CTS196620 DDK196620:DDO196620 DNG196620:DNK196620 DXC196620:DXG196620 EGY196620:EHC196620 EQU196620:EQY196620 FAQ196620:FAU196620 FKM196620:FKQ196620 FUI196620:FUM196620 GEE196620:GEI196620 GOA196620:GOE196620 GXW196620:GYA196620 HHS196620:HHW196620 HRO196620:HRS196620 IBK196620:IBO196620 ILG196620:ILK196620 IVC196620:IVG196620 JEY196620:JFC196620 JOU196620:JOY196620 JYQ196620:JYU196620 KIM196620:KIQ196620 KSI196620:KSM196620 LCE196620:LCI196620 LMA196620:LME196620 LVW196620:LWA196620 MFS196620:MFW196620 MPO196620:MPS196620 MZK196620:MZO196620 NJG196620:NJK196620 NTC196620:NTG196620 OCY196620:ODC196620 OMU196620:OMY196620 OWQ196620:OWU196620 PGM196620:PGQ196620 PQI196620:PQM196620 QAE196620:QAI196620 QKA196620:QKE196620 QTW196620:QUA196620 RDS196620:RDW196620 RNO196620:RNS196620 RXK196620:RXO196620 SHG196620:SHK196620 SRC196620:SRG196620 TAY196620:TBC196620 TKU196620:TKY196620 TUQ196620:TUU196620 UEM196620:UEQ196620 UOI196620:UOM196620 UYE196620:UYI196620 VIA196620:VIE196620 VRW196620:VSA196620 WBS196620:WBW196620 WLO196620:WLS196620 WVK196620:WVO196620 C262156:G262156 IY262156:JC262156 SU262156:SY262156 ACQ262156:ACU262156 AMM262156:AMQ262156 AWI262156:AWM262156 BGE262156:BGI262156 BQA262156:BQE262156 BZW262156:CAA262156 CJS262156:CJW262156 CTO262156:CTS262156 DDK262156:DDO262156 DNG262156:DNK262156 DXC262156:DXG262156 EGY262156:EHC262156 EQU262156:EQY262156 FAQ262156:FAU262156 FKM262156:FKQ262156 FUI262156:FUM262156 GEE262156:GEI262156 GOA262156:GOE262156 GXW262156:GYA262156 HHS262156:HHW262156 HRO262156:HRS262156 IBK262156:IBO262156 ILG262156:ILK262156 IVC262156:IVG262156 JEY262156:JFC262156 JOU262156:JOY262156 JYQ262156:JYU262156 KIM262156:KIQ262156 KSI262156:KSM262156 LCE262156:LCI262156 LMA262156:LME262156 LVW262156:LWA262156 MFS262156:MFW262156 MPO262156:MPS262156 MZK262156:MZO262156 NJG262156:NJK262156 NTC262156:NTG262156 OCY262156:ODC262156 OMU262156:OMY262156 OWQ262156:OWU262156 PGM262156:PGQ262156 PQI262156:PQM262156 QAE262156:QAI262156 QKA262156:QKE262156 QTW262156:QUA262156 RDS262156:RDW262156 RNO262156:RNS262156 RXK262156:RXO262156 SHG262156:SHK262156 SRC262156:SRG262156 TAY262156:TBC262156 TKU262156:TKY262156 TUQ262156:TUU262156 UEM262156:UEQ262156 UOI262156:UOM262156 UYE262156:UYI262156 VIA262156:VIE262156 VRW262156:VSA262156 WBS262156:WBW262156 WLO262156:WLS262156 WVK262156:WVO262156 C327692:G327692 IY327692:JC327692 SU327692:SY327692 ACQ327692:ACU327692 AMM327692:AMQ327692 AWI327692:AWM327692 BGE327692:BGI327692 BQA327692:BQE327692 BZW327692:CAA327692 CJS327692:CJW327692 CTO327692:CTS327692 DDK327692:DDO327692 DNG327692:DNK327692 DXC327692:DXG327692 EGY327692:EHC327692 EQU327692:EQY327692 FAQ327692:FAU327692 FKM327692:FKQ327692 FUI327692:FUM327692 GEE327692:GEI327692 GOA327692:GOE327692 GXW327692:GYA327692 HHS327692:HHW327692 HRO327692:HRS327692 IBK327692:IBO327692 ILG327692:ILK327692 IVC327692:IVG327692 JEY327692:JFC327692 JOU327692:JOY327692 JYQ327692:JYU327692 KIM327692:KIQ327692 KSI327692:KSM327692 LCE327692:LCI327692 LMA327692:LME327692 LVW327692:LWA327692 MFS327692:MFW327692 MPO327692:MPS327692 MZK327692:MZO327692 NJG327692:NJK327692 NTC327692:NTG327692 OCY327692:ODC327692 OMU327692:OMY327692 OWQ327692:OWU327692 PGM327692:PGQ327692 PQI327692:PQM327692 QAE327692:QAI327692 QKA327692:QKE327692 QTW327692:QUA327692 RDS327692:RDW327692 RNO327692:RNS327692 RXK327692:RXO327692 SHG327692:SHK327692 SRC327692:SRG327692 TAY327692:TBC327692 TKU327692:TKY327692 TUQ327692:TUU327692 UEM327692:UEQ327692 UOI327692:UOM327692 UYE327692:UYI327692 VIA327692:VIE327692 VRW327692:VSA327692 WBS327692:WBW327692 WLO327692:WLS327692 WVK327692:WVO327692 C393228:G393228 IY393228:JC393228 SU393228:SY393228 ACQ393228:ACU393228 AMM393228:AMQ393228 AWI393228:AWM393228 BGE393228:BGI393228 BQA393228:BQE393228 BZW393228:CAA393228 CJS393228:CJW393228 CTO393228:CTS393228 DDK393228:DDO393228 DNG393228:DNK393228 DXC393228:DXG393228 EGY393228:EHC393228 EQU393228:EQY393228 FAQ393228:FAU393228 FKM393228:FKQ393228 FUI393228:FUM393228 GEE393228:GEI393228 GOA393228:GOE393228 GXW393228:GYA393228 HHS393228:HHW393228 HRO393228:HRS393228 IBK393228:IBO393228 ILG393228:ILK393228 IVC393228:IVG393228 JEY393228:JFC393228 JOU393228:JOY393228 JYQ393228:JYU393228 KIM393228:KIQ393228 KSI393228:KSM393228 LCE393228:LCI393228 LMA393228:LME393228 LVW393228:LWA393228 MFS393228:MFW393228 MPO393228:MPS393228 MZK393228:MZO393228 NJG393228:NJK393228 NTC393228:NTG393228 OCY393228:ODC393228 OMU393228:OMY393228 OWQ393228:OWU393228 PGM393228:PGQ393228 PQI393228:PQM393228 QAE393228:QAI393228 QKA393228:QKE393228 QTW393228:QUA393228 RDS393228:RDW393228 RNO393228:RNS393228 RXK393228:RXO393228 SHG393228:SHK393228 SRC393228:SRG393228 TAY393228:TBC393228 TKU393228:TKY393228 TUQ393228:TUU393228 UEM393228:UEQ393228 UOI393228:UOM393228 UYE393228:UYI393228 VIA393228:VIE393228 VRW393228:VSA393228 WBS393228:WBW393228 WLO393228:WLS393228 WVK393228:WVO393228 C458764:G458764 IY458764:JC458764 SU458764:SY458764 ACQ458764:ACU458764 AMM458764:AMQ458764 AWI458764:AWM458764 BGE458764:BGI458764 BQA458764:BQE458764 BZW458764:CAA458764 CJS458764:CJW458764 CTO458764:CTS458764 DDK458764:DDO458764 DNG458764:DNK458764 DXC458764:DXG458764 EGY458764:EHC458764 EQU458764:EQY458764 FAQ458764:FAU458764 FKM458764:FKQ458764 FUI458764:FUM458764 GEE458764:GEI458764 GOA458764:GOE458764 GXW458764:GYA458764 HHS458764:HHW458764 HRO458764:HRS458764 IBK458764:IBO458764 ILG458764:ILK458764 IVC458764:IVG458764 JEY458764:JFC458764 JOU458764:JOY458764 JYQ458764:JYU458764 KIM458764:KIQ458764 KSI458764:KSM458764 LCE458764:LCI458764 LMA458764:LME458764 LVW458764:LWA458764 MFS458764:MFW458764 MPO458764:MPS458764 MZK458764:MZO458764 NJG458764:NJK458764 NTC458764:NTG458764 OCY458764:ODC458764 OMU458764:OMY458764 OWQ458764:OWU458764 PGM458764:PGQ458764 PQI458764:PQM458764 QAE458764:QAI458764 QKA458764:QKE458764 QTW458764:QUA458764 RDS458764:RDW458764 RNO458764:RNS458764 RXK458764:RXO458764 SHG458764:SHK458764 SRC458764:SRG458764 TAY458764:TBC458764 TKU458764:TKY458764 TUQ458764:TUU458764 UEM458764:UEQ458764 UOI458764:UOM458764 UYE458764:UYI458764 VIA458764:VIE458764 VRW458764:VSA458764 WBS458764:WBW458764 WLO458764:WLS458764 WVK458764:WVO458764 C524300:G524300 IY524300:JC524300 SU524300:SY524300 ACQ524300:ACU524300 AMM524300:AMQ524300 AWI524300:AWM524300 BGE524300:BGI524300 BQA524300:BQE524300 BZW524300:CAA524300 CJS524300:CJW524300 CTO524300:CTS524300 DDK524300:DDO524300 DNG524300:DNK524300 DXC524300:DXG524300 EGY524300:EHC524300 EQU524300:EQY524300 FAQ524300:FAU524300 FKM524300:FKQ524300 FUI524300:FUM524300 GEE524300:GEI524300 GOA524300:GOE524300 GXW524300:GYA524300 HHS524300:HHW524300 HRO524300:HRS524300 IBK524300:IBO524300 ILG524300:ILK524300 IVC524300:IVG524300 JEY524300:JFC524300 JOU524300:JOY524300 JYQ524300:JYU524300 KIM524300:KIQ524300 KSI524300:KSM524300 LCE524300:LCI524300 LMA524300:LME524300 LVW524300:LWA524300 MFS524300:MFW524300 MPO524300:MPS524300 MZK524300:MZO524300 NJG524300:NJK524300 NTC524300:NTG524300 OCY524300:ODC524300 OMU524300:OMY524300 OWQ524300:OWU524300 PGM524300:PGQ524300 PQI524300:PQM524300 QAE524300:QAI524300 QKA524300:QKE524300 QTW524300:QUA524300 RDS524300:RDW524300 RNO524300:RNS524300 RXK524300:RXO524300 SHG524300:SHK524300 SRC524300:SRG524300 TAY524300:TBC524300 TKU524300:TKY524300 TUQ524300:TUU524300 UEM524300:UEQ524300 UOI524300:UOM524300 UYE524300:UYI524300 VIA524300:VIE524300 VRW524300:VSA524300 WBS524300:WBW524300 WLO524300:WLS524300 WVK524300:WVO524300 C589836:G589836 IY589836:JC589836 SU589836:SY589836 ACQ589836:ACU589836 AMM589836:AMQ589836 AWI589836:AWM589836 BGE589836:BGI589836 BQA589836:BQE589836 BZW589836:CAA589836 CJS589836:CJW589836 CTO589836:CTS589836 DDK589836:DDO589836 DNG589836:DNK589836 DXC589836:DXG589836 EGY589836:EHC589836 EQU589836:EQY589836 FAQ589836:FAU589836 FKM589836:FKQ589836 FUI589836:FUM589836 GEE589836:GEI589836 GOA589836:GOE589836 GXW589836:GYA589836 HHS589836:HHW589836 HRO589836:HRS589836 IBK589836:IBO589836 ILG589836:ILK589836 IVC589836:IVG589836 JEY589836:JFC589836 JOU589836:JOY589836 JYQ589836:JYU589836 KIM589836:KIQ589836 KSI589836:KSM589836 LCE589836:LCI589836 LMA589836:LME589836 LVW589836:LWA589836 MFS589836:MFW589836 MPO589836:MPS589836 MZK589836:MZO589836 NJG589836:NJK589836 NTC589836:NTG589836 OCY589836:ODC589836 OMU589836:OMY589836 OWQ589836:OWU589836 PGM589836:PGQ589836 PQI589836:PQM589836 QAE589836:QAI589836 QKA589836:QKE589836 QTW589836:QUA589836 RDS589836:RDW589836 RNO589836:RNS589836 RXK589836:RXO589836 SHG589836:SHK589836 SRC589836:SRG589836 TAY589836:TBC589836 TKU589836:TKY589836 TUQ589836:TUU589836 UEM589836:UEQ589836 UOI589836:UOM589836 UYE589836:UYI589836 VIA589836:VIE589836 VRW589836:VSA589836 WBS589836:WBW589836 WLO589836:WLS589836 WVK589836:WVO589836 C655372:G655372 IY655372:JC655372 SU655372:SY655372 ACQ655372:ACU655372 AMM655372:AMQ655372 AWI655372:AWM655372 BGE655372:BGI655372 BQA655372:BQE655372 BZW655372:CAA655372 CJS655372:CJW655372 CTO655372:CTS655372 DDK655372:DDO655372 DNG655372:DNK655372 DXC655372:DXG655372 EGY655372:EHC655372 EQU655372:EQY655372 FAQ655372:FAU655372 FKM655372:FKQ655372 FUI655372:FUM655372 GEE655372:GEI655372 GOA655372:GOE655372 GXW655372:GYA655372 HHS655372:HHW655372 HRO655372:HRS655372 IBK655372:IBO655372 ILG655372:ILK655372 IVC655372:IVG655372 JEY655372:JFC655372 JOU655372:JOY655372 JYQ655372:JYU655372 KIM655372:KIQ655372 KSI655372:KSM655372 LCE655372:LCI655372 LMA655372:LME655372 LVW655372:LWA655372 MFS655372:MFW655372 MPO655372:MPS655372 MZK655372:MZO655372 NJG655372:NJK655372 NTC655372:NTG655372 OCY655372:ODC655372 OMU655372:OMY655372 OWQ655372:OWU655372 PGM655372:PGQ655372 PQI655372:PQM655372 QAE655372:QAI655372 QKA655372:QKE655372 QTW655372:QUA655372 RDS655372:RDW655372 RNO655372:RNS655372 RXK655372:RXO655372 SHG655372:SHK655372 SRC655372:SRG655372 TAY655372:TBC655372 TKU655372:TKY655372 TUQ655372:TUU655372 UEM655372:UEQ655372 UOI655372:UOM655372 UYE655372:UYI655372 VIA655372:VIE655372 VRW655372:VSA655372 WBS655372:WBW655372 WLO655372:WLS655372 WVK655372:WVO655372 C720908:G720908 IY720908:JC720908 SU720908:SY720908 ACQ720908:ACU720908 AMM720908:AMQ720908 AWI720908:AWM720908 BGE720908:BGI720908 BQA720908:BQE720908 BZW720908:CAA720908 CJS720908:CJW720908 CTO720908:CTS720908 DDK720908:DDO720908 DNG720908:DNK720908 DXC720908:DXG720908 EGY720908:EHC720908 EQU720908:EQY720908 FAQ720908:FAU720908 FKM720908:FKQ720908 FUI720908:FUM720908 GEE720908:GEI720908 GOA720908:GOE720908 GXW720908:GYA720908 HHS720908:HHW720908 HRO720908:HRS720908 IBK720908:IBO720908 ILG720908:ILK720908 IVC720908:IVG720908 JEY720908:JFC720908 JOU720908:JOY720908 JYQ720908:JYU720908 KIM720908:KIQ720908 KSI720908:KSM720908 LCE720908:LCI720908 LMA720908:LME720908 LVW720908:LWA720908 MFS720908:MFW720908 MPO720908:MPS720908 MZK720908:MZO720908 NJG720908:NJK720908 NTC720908:NTG720908 OCY720908:ODC720908 OMU720908:OMY720908 OWQ720908:OWU720908 PGM720908:PGQ720908 PQI720908:PQM720908 QAE720908:QAI720908 QKA720908:QKE720908 QTW720908:QUA720908 RDS720908:RDW720908 RNO720908:RNS720908 RXK720908:RXO720908 SHG720908:SHK720908 SRC720908:SRG720908 TAY720908:TBC720908 TKU720908:TKY720908 TUQ720908:TUU720908 UEM720908:UEQ720908 UOI720908:UOM720908 UYE720908:UYI720908 VIA720908:VIE720908 VRW720908:VSA720908 WBS720908:WBW720908 WLO720908:WLS720908 WVK720908:WVO720908 C786444:G786444 IY786444:JC786444 SU786444:SY786444 ACQ786444:ACU786444 AMM786444:AMQ786444 AWI786444:AWM786444 BGE786444:BGI786444 BQA786444:BQE786444 BZW786444:CAA786444 CJS786444:CJW786444 CTO786444:CTS786444 DDK786444:DDO786444 DNG786444:DNK786444 DXC786444:DXG786444 EGY786444:EHC786444 EQU786444:EQY786444 FAQ786444:FAU786444 FKM786444:FKQ786444 FUI786444:FUM786444 GEE786444:GEI786444 GOA786444:GOE786444 GXW786444:GYA786444 HHS786444:HHW786444 HRO786444:HRS786444 IBK786444:IBO786444 ILG786444:ILK786444 IVC786444:IVG786444 JEY786444:JFC786444 JOU786444:JOY786444 JYQ786444:JYU786444 KIM786444:KIQ786444 KSI786444:KSM786444 LCE786444:LCI786444 LMA786444:LME786444 LVW786444:LWA786444 MFS786444:MFW786444 MPO786444:MPS786444 MZK786444:MZO786444 NJG786444:NJK786444 NTC786444:NTG786444 OCY786444:ODC786444 OMU786444:OMY786444 OWQ786444:OWU786444 PGM786444:PGQ786444 PQI786444:PQM786444 QAE786444:QAI786444 QKA786444:QKE786444 QTW786444:QUA786444 RDS786444:RDW786444 RNO786444:RNS786444 RXK786444:RXO786444 SHG786444:SHK786444 SRC786444:SRG786444 TAY786444:TBC786444 TKU786444:TKY786444 TUQ786444:TUU786444 UEM786444:UEQ786444 UOI786444:UOM786444 UYE786444:UYI786444 VIA786444:VIE786444 VRW786444:VSA786444 WBS786444:WBW786444 WLO786444:WLS786444 WVK786444:WVO786444 C851980:G851980 IY851980:JC851980 SU851980:SY851980 ACQ851980:ACU851980 AMM851980:AMQ851980 AWI851980:AWM851980 BGE851980:BGI851980 BQA851980:BQE851980 BZW851980:CAA851980 CJS851980:CJW851980 CTO851980:CTS851980 DDK851980:DDO851980 DNG851980:DNK851980 DXC851980:DXG851980 EGY851980:EHC851980 EQU851980:EQY851980 FAQ851980:FAU851980 FKM851980:FKQ851980 FUI851980:FUM851980 GEE851980:GEI851980 GOA851980:GOE851980 GXW851980:GYA851980 HHS851980:HHW851980 HRO851980:HRS851980 IBK851980:IBO851980 ILG851980:ILK851980 IVC851980:IVG851980 JEY851980:JFC851980 JOU851980:JOY851980 JYQ851980:JYU851980 KIM851980:KIQ851980 KSI851980:KSM851980 LCE851980:LCI851980 LMA851980:LME851980 LVW851980:LWA851980 MFS851980:MFW851980 MPO851980:MPS851980 MZK851980:MZO851980 NJG851980:NJK851980 NTC851980:NTG851980 OCY851980:ODC851980 OMU851980:OMY851980 OWQ851980:OWU851980 PGM851980:PGQ851980 PQI851980:PQM851980 QAE851980:QAI851980 QKA851980:QKE851980 QTW851980:QUA851980 RDS851980:RDW851980 RNO851980:RNS851980 RXK851980:RXO851980 SHG851980:SHK851980 SRC851980:SRG851980 TAY851980:TBC851980 TKU851980:TKY851980 TUQ851980:TUU851980 UEM851980:UEQ851980 UOI851980:UOM851980 UYE851980:UYI851980 VIA851980:VIE851980 VRW851980:VSA851980 WBS851980:WBW851980 WLO851980:WLS851980 WVK851980:WVO851980 C917516:G917516 IY917516:JC917516 SU917516:SY917516 ACQ917516:ACU917516 AMM917516:AMQ917516 AWI917516:AWM917516 BGE917516:BGI917516 BQA917516:BQE917516 BZW917516:CAA917516 CJS917516:CJW917516 CTO917516:CTS917516 DDK917516:DDO917516 DNG917516:DNK917516 DXC917516:DXG917516 EGY917516:EHC917516 EQU917516:EQY917516 FAQ917516:FAU917516 FKM917516:FKQ917516 FUI917516:FUM917516 GEE917516:GEI917516 GOA917516:GOE917516 GXW917516:GYA917516 HHS917516:HHW917516 HRO917516:HRS917516 IBK917516:IBO917516 ILG917516:ILK917516 IVC917516:IVG917516 JEY917516:JFC917516 JOU917516:JOY917516 JYQ917516:JYU917516 KIM917516:KIQ917516 KSI917516:KSM917516 LCE917516:LCI917516 LMA917516:LME917516 LVW917516:LWA917516 MFS917516:MFW917516 MPO917516:MPS917516 MZK917516:MZO917516 NJG917516:NJK917516 NTC917516:NTG917516 OCY917516:ODC917516 OMU917516:OMY917516 OWQ917516:OWU917516 PGM917516:PGQ917516 PQI917516:PQM917516 QAE917516:QAI917516 QKA917516:QKE917516 QTW917516:QUA917516 RDS917516:RDW917516 RNO917516:RNS917516 RXK917516:RXO917516 SHG917516:SHK917516 SRC917516:SRG917516 TAY917516:TBC917516 TKU917516:TKY917516 TUQ917516:TUU917516 UEM917516:UEQ917516 UOI917516:UOM917516 UYE917516:UYI917516 VIA917516:VIE917516 VRW917516:VSA917516 WBS917516:WBW917516 WLO917516:WLS917516 WVK917516:WVO917516 C983052:G983052 IY983052:JC983052 SU983052:SY983052 ACQ983052:ACU983052 AMM983052:AMQ983052 AWI983052:AWM983052 BGE983052:BGI983052 BQA983052:BQE983052 BZW983052:CAA983052 CJS983052:CJW983052 CTO983052:CTS983052 DDK983052:DDO983052 DNG983052:DNK983052 DXC983052:DXG983052 EGY983052:EHC983052 EQU983052:EQY983052 FAQ983052:FAU983052 FKM983052:FKQ983052 FUI983052:FUM983052 GEE983052:GEI983052 GOA983052:GOE983052 GXW983052:GYA983052 HHS983052:HHW983052 HRO983052:HRS983052 IBK983052:IBO983052 ILG983052:ILK983052 IVC983052:IVG983052 JEY983052:JFC983052 JOU983052:JOY983052 JYQ983052:JYU983052 KIM983052:KIQ983052 KSI983052:KSM983052 LCE983052:LCI983052 LMA983052:LME983052 LVW983052:LWA983052 MFS983052:MFW983052 MPO983052:MPS983052 MZK983052:MZO983052 NJG983052:NJK983052 NTC983052:NTG983052 OCY983052:ODC983052 OMU983052:OMY983052 OWQ983052:OWU983052 PGM983052:PGQ983052 PQI983052:PQM983052 QAE983052:QAI983052 QKA983052:QKE983052 QTW983052:QUA983052 RDS983052:RDW983052 RNO983052:RNS983052 RXK983052:RXO983052 SHG983052:SHK983052 SRC983052:SRG983052 TAY983052:TBC983052 TKU983052:TKY983052 TUQ983052:TUU983052 UEM983052:UEQ983052 UOI983052:UOM983052 UYE983052:UYI983052 VIA983052:VIE983052 VRW983052:VSA983052 WBS983052:WBW983052 WLO983052:WLS983052 WVK983052:WVO983052">
      <formula1>$E$116:$E$127</formula1>
    </dataValidation>
  </dataValidations>
  <printOptions horizontalCentered="1"/>
  <pageMargins left="0.39370078740157483" right="0.39370078740157483" top="0.98425196850393704" bottom="0.98425196850393704" header="0.51181102362204722" footer="0.51181102362204722"/>
  <pageSetup paperSize="9" scale="76" firstPageNumber="429496319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8"/>
  <sheetViews>
    <sheetView view="pageBreakPreview" topLeftCell="G3" zoomScale="70" zoomScaleNormal="50" zoomScaleSheetLayoutView="70" workbookViewId="0">
      <selection activeCell="A4" sqref="A4:W4"/>
    </sheetView>
  </sheetViews>
  <sheetFormatPr defaultColWidth="8.75" defaultRowHeight="13.5"/>
  <cols>
    <col min="1" max="1" width="6.375" style="3303" customWidth="1"/>
    <col min="2" max="2" width="8" style="3303" customWidth="1"/>
    <col min="3" max="3" width="14.375" style="3303" customWidth="1"/>
    <col min="4" max="4" width="7.375" style="3303" customWidth="1"/>
    <col min="5" max="5" width="5.5" style="3303" customWidth="1"/>
    <col min="6" max="6" width="6.5" style="3303" customWidth="1"/>
    <col min="7" max="7" width="6.625" style="3303" customWidth="1"/>
    <col min="8" max="8" width="7.25" style="3318" customWidth="1"/>
    <col min="9" max="9" width="14.875" style="3319" customWidth="1"/>
    <col min="10" max="10" width="15.25" style="3319" customWidth="1"/>
    <col min="11" max="11" width="16.875" style="3319" customWidth="1"/>
    <col min="12" max="12" width="16.5" style="3319" customWidth="1"/>
    <col min="13" max="13" width="11.25" style="3320" customWidth="1"/>
    <col min="14" max="14" width="11.625" style="3303" customWidth="1"/>
    <col min="15" max="15" width="12.875" style="3303" customWidth="1"/>
    <col min="16" max="16" width="11" style="3303" customWidth="1"/>
    <col min="17" max="17" width="10.875" style="3303" customWidth="1"/>
    <col min="18" max="18" width="12.25" style="3303" customWidth="1"/>
    <col min="19" max="19" width="14.5" style="3303" customWidth="1"/>
    <col min="20" max="21" width="12.75" style="3303" customWidth="1"/>
    <col min="22" max="22" width="12.75" style="3319" customWidth="1"/>
    <col min="23" max="23" width="17.375" style="3321" customWidth="1"/>
    <col min="24" max="27" width="15.25" style="3302" bestFit="1" customWidth="1"/>
    <col min="28" max="59" width="8.75" style="3302"/>
    <col min="60" max="80" width="9" style="3302" bestFit="1" customWidth="1"/>
    <col min="81" max="91" width="9" style="3303" bestFit="1" customWidth="1"/>
    <col min="92" max="256" width="8.75" style="3303"/>
    <col min="257" max="257" width="6.375" style="3303" customWidth="1"/>
    <col min="258" max="258" width="8" style="3303" customWidth="1"/>
    <col min="259" max="259" width="14.375" style="3303" customWidth="1"/>
    <col min="260" max="260" width="7.375" style="3303" customWidth="1"/>
    <col min="261" max="261" width="5.5" style="3303" customWidth="1"/>
    <col min="262" max="262" width="6.5" style="3303" customWidth="1"/>
    <col min="263" max="263" width="6.625" style="3303" customWidth="1"/>
    <col min="264" max="264" width="7.25" style="3303" customWidth="1"/>
    <col min="265" max="265" width="14.875" style="3303" customWidth="1"/>
    <col min="266" max="266" width="15.25" style="3303" customWidth="1"/>
    <col min="267" max="267" width="16.875" style="3303" customWidth="1"/>
    <col min="268" max="268" width="16.5" style="3303" customWidth="1"/>
    <col min="269" max="269" width="11.25" style="3303" customWidth="1"/>
    <col min="270" max="270" width="11.625" style="3303" customWidth="1"/>
    <col min="271" max="271" width="12.875" style="3303" customWidth="1"/>
    <col min="272" max="272" width="11" style="3303" customWidth="1"/>
    <col min="273" max="273" width="10.875" style="3303" customWidth="1"/>
    <col min="274" max="274" width="12.25" style="3303" customWidth="1"/>
    <col min="275" max="275" width="14.5" style="3303" customWidth="1"/>
    <col min="276" max="277" width="12.75" style="3303" customWidth="1"/>
    <col min="278" max="278" width="13.875" style="3303" customWidth="1"/>
    <col min="279" max="279" width="15.25" style="3303" customWidth="1"/>
    <col min="280" max="283" width="15.25" style="3303" bestFit="1" customWidth="1"/>
    <col min="284" max="315" width="8.75" style="3303"/>
    <col min="316" max="347" width="9" style="3303" bestFit="1" customWidth="1"/>
    <col min="348" max="512" width="8.75" style="3303"/>
    <col min="513" max="513" width="6.375" style="3303" customWidth="1"/>
    <col min="514" max="514" width="8" style="3303" customWidth="1"/>
    <col min="515" max="515" width="14.375" style="3303" customWidth="1"/>
    <col min="516" max="516" width="7.375" style="3303" customWidth="1"/>
    <col min="517" max="517" width="5.5" style="3303" customWidth="1"/>
    <col min="518" max="518" width="6.5" style="3303" customWidth="1"/>
    <col min="519" max="519" width="6.625" style="3303" customWidth="1"/>
    <col min="520" max="520" width="7.25" style="3303" customWidth="1"/>
    <col min="521" max="521" width="14.875" style="3303" customWidth="1"/>
    <col min="522" max="522" width="15.25" style="3303" customWidth="1"/>
    <col min="523" max="523" width="16.875" style="3303" customWidth="1"/>
    <col min="524" max="524" width="16.5" style="3303" customWidth="1"/>
    <col min="525" max="525" width="11.25" style="3303" customWidth="1"/>
    <col min="526" max="526" width="11.625" style="3303" customWidth="1"/>
    <col min="527" max="527" width="12.875" style="3303" customWidth="1"/>
    <col min="528" max="528" width="11" style="3303" customWidth="1"/>
    <col min="529" max="529" width="10.875" style="3303" customWidth="1"/>
    <col min="530" max="530" width="12.25" style="3303" customWidth="1"/>
    <col min="531" max="531" width="14.5" style="3303" customWidth="1"/>
    <col min="532" max="533" width="12.75" style="3303" customWidth="1"/>
    <col min="534" max="534" width="13.875" style="3303" customWidth="1"/>
    <col min="535" max="535" width="15.25" style="3303" customWidth="1"/>
    <col min="536" max="539" width="15.25" style="3303" bestFit="1" customWidth="1"/>
    <col min="540" max="571" width="8.75" style="3303"/>
    <col min="572" max="603" width="9" style="3303" bestFit="1" customWidth="1"/>
    <col min="604" max="768" width="8.75" style="3303"/>
    <col min="769" max="769" width="6.375" style="3303" customWidth="1"/>
    <col min="770" max="770" width="8" style="3303" customWidth="1"/>
    <col min="771" max="771" width="14.375" style="3303" customWidth="1"/>
    <col min="772" max="772" width="7.375" style="3303" customWidth="1"/>
    <col min="773" max="773" width="5.5" style="3303" customWidth="1"/>
    <col min="774" max="774" width="6.5" style="3303" customWidth="1"/>
    <col min="775" max="775" width="6.625" style="3303" customWidth="1"/>
    <col min="776" max="776" width="7.25" style="3303" customWidth="1"/>
    <col min="777" max="777" width="14.875" style="3303" customWidth="1"/>
    <col min="778" max="778" width="15.25" style="3303" customWidth="1"/>
    <col min="779" max="779" width="16.875" style="3303" customWidth="1"/>
    <col min="780" max="780" width="16.5" style="3303" customWidth="1"/>
    <col min="781" max="781" width="11.25" style="3303" customWidth="1"/>
    <col min="782" max="782" width="11.625" style="3303" customWidth="1"/>
    <col min="783" max="783" width="12.875" style="3303" customWidth="1"/>
    <col min="784" max="784" width="11" style="3303" customWidth="1"/>
    <col min="785" max="785" width="10.875" style="3303" customWidth="1"/>
    <col min="786" max="786" width="12.25" style="3303" customWidth="1"/>
    <col min="787" max="787" width="14.5" style="3303" customWidth="1"/>
    <col min="788" max="789" width="12.75" style="3303" customWidth="1"/>
    <col min="790" max="790" width="13.875" style="3303" customWidth="1"/>
    <col min="791" max="791" width="15.25" style="3303" customWidth="1"/>
    <col min="792" max="795" width="15.25" style="3303" bestFit="1" customWidth="1"/>
    <col min="796" max="827" width="8.75" style="3303"/>
    <col min="828" max="859" width="9" style="3303" bestFit="1" customWidth="1"/>
    <col min="860" max="1024" width="8.75" style="3303"/>
    <col min="1025" max="1025" width="6.375" style="3303" customWidth="1"/>
    <col min="1026" max="1026" width="8" style="3303" customWidth="1"/>
    <col min="1027" max="1027" width="14.375" style="3303" customWidth="1"/>
    <col min="1028" max="1028" width="7.375" style="3303" customWidth="1"/>
    <col min="1029" max="1029" width="5.5" style="3303" customWidth="1"/>
    <col min="1030" max="1030" width="6.5" style="3303" customWidth="1"/>
    <col min="1031" max="1031" width="6.625" style="3303" customWidth="1"/>
    <col min="1032" max="1032" width="7.25" style="3303" customWidth="1"/>
    <col min="1033" max="1033" width="14.875" style="3303" customWidth="1"/>
    <col min="1034" max="1034" width="15.25" style="3303" customWidth="1"/>
    <col min="1035" max="1035" width="16.875" style="3303" customWidth="1"/>
    <col min="1036" max="1036" width="16.5" style="3303" customWidth="1"/>
    <col min="1037" max="1037" width="11.25" style="3303" customWidth="1"/>
    <col min="1038" max="1038" width="11.625" style="3303" customWidth="1"/>
    <col min="1039" max="1039" width="12.875" style="3303" customWidth="1"/>
    <col min="1040" max="1040" width="11" style="3303" customWidth="1"/>
    <col min="1041" max="1041" width="10.875" style="3303" customWidth="1"/>
    <col min="1042" max="1042" width="12.25" style="3303" customWidth="1"/>
    <col min="1043" max="1043" width="14.5" style="3303" customWidth="1"/>
    <col min="1044" max="1045" width="12.75" style="3303" customWidth="1"/>
    <col min="1046" max="1046" width="13.875" style="3303" customWidth="1"/>
    <col min="1047" max="1047" width="15.25" style="3303" customWidth="1"/>
    <col min="1048" max="1051" width="15.25" style="3303" bestFit="1" customWidth="1"/>
    <col min="1052" max="1083" width="8.75" style="3303"/>
    <col min="1084" max="1115" width="9" style="3303" bestFit="1" customWidth="1"/>
    <col min="1116" max="1280" width="8.75" style="3303"/>
    <col min="1281" max="1281" width="6.375" style="3303" customWidth="1"/>
    <col min="1282" max="1282" width="8" style="3303" customWidth="1"/>
    <col min="1283" max="1283" width="14.375" style="3303" customWidth="1"/>
    <col min="1284" max="1284" width="7.375" style="3303" customWidth="1"/>
    <col min="1285" max="1285" width="5.5" style="3303" customWidth="1"/>
    <col min="1286" max="1286" width="6.5" style="3303" customWidth="1"/>
    <col min="1287" max="1287" width="6.625" style="3303" customWidth="1"/>
    <col min="1288" max="1288" width="7.25" style="3303" customWidth="1"/>
    <col min="1289" max="1289" width="14.875" style="3303" customWidth="1"/>
    <col min="1290" max="1290" width="15.25" style="3303" customWidth="1"/>
    <col min="1291" max="1291" width="16.875" style="3303" customWidth="1"/>
    <col min="1292" max="1292" width="16.5" style="3303" customWidth="1"/>
    <col min="1293" max="1293" width="11.25" style="3303" customWidth="1"/>
    <col min="1294" max="1294" width="11.625" style="3303" customWidth="1"/>
    <col min="1295" max="1295" width="12.875" style="3303" customWidth="1"/>
    <col min="1296" max="1296" width="11" style="3303" customWidth="1"/>
    <col min="1297" max="1297" width="10.875" style="3303" customWidth="1"/>
    <col min="1298" max="1298" width="12.25" style="3303" customWidth="1"/>
    <col min="1299" max="1299" width="14.5" style="3303" customWidth="1"/>
    <col min="1300" max="1301" width="12.75" style="3303" customWidth="1"/>
    <col min="1302" max="1302" width="13.875" style="3303" customWidth="1"/>
    <col min="1303" max="1303" width="15.25" style="3303" customWidth="1"/>
    <col min="1304" max="1307" width="15.25" style="3303" bestFit="1" customWidth="1"/>
    <col min="1308" max="1339" width="8.75" style="3303"/>
    <col min="1340" max="1371" width="9" style="3303" bestFit="1" customWidth="1"/>
    <col min="1372" max="1536" width="8.75" style="3303"/>
    <col min="1537" max="1537" width="6.375" style="3303" customWidth="1"/>
    <col min="1538" max="1538" width="8" style="3303" customWidth="1"/>
    <col min="1539" max="1539" width="14.375" style="3303" customWidth="1"/>
    <col min="1540" max="1540" width="7.375" style="3303" customWidth="1"/>
    <col min="1541" max="1541" width="5.5" style="3303" customWidth="1"/>
    <col min="1542" max="1542" width="6.5" style="3303" customWidth="1"/>
    <col min="1543" max="1543" width="6.625" style="3303" customWidth="1"/>
    <col min="1544" max="1544" width="7.25" style="3303" customWidth="1"/>
    <col min="1545" max="1545" width="14.875" style="3303" customWidth="1"/>
    <col min="1546" max="1546" width="15.25" style="3303" customWidth="1"/>
    <col min="1547" max="1547" width="16.875" style="3303" customWidth="1"/>
    <col min="1548" max="1548" width="16.5" style="3303" customWidth="1"/>
    <col min="1549" max="1549" width="11.25" style="3303" customWidth="1"/>
    <col min="1550" max="1550" width="11.625" style="3303" customWidth="1"/>
    <col min="1551" max="1551" width="12.875" style="3303" customWidth="1"/>
    <col min="1552" max="1552" width="11" style="3303" customWidth="1"/>
    <col min="1553" max="1553" width="10.875" style="3303" customWidth="1"/>
    <col min="1554" max="1554" width="12.25" style="3303" customWidth="1"/>
    <col min="1555" max="1555" width="14.5" style="3303" customWidth="1"/>
    <col min="1556" max="1557" width="12.75" style="3303" customWidth="1"/>
    <col min="1558" max="1558" width="13.875" style="3303" customWidth="1"/>
    <col min="1559" max="1559" width="15.25" style="3303" customWidth="1"/>
    <col min="1560" max="1563" width="15.25" style="3303" bestFit="1" customWidth="1"/>
    <col min="1564" max="1595" width="8.75" style="3303"/>
    <col min="1596" max="1627" width="9" style="3303" bestFit="1" customWidth="1"/>
    <col min="1628" max="1792" width="8.75" style="3303"/>
    <col min="1793" max="1793" width="6.375" style="3303" customWidth="1"/>
    <col min="1794" max="1794" width="8" style="3303" customWidth="1"/>
    <col min="1795" max="1795" width="14.375" style="3303" customWidth="1"/>
    <col min="1796" max="1796" width="7.375" style="3303" customWidth="1"/>
    <col min="1797" max="1797" width="5.5" style="3303" customWidth="1"/>
    <col min="1798" max="1798" width="6.5" style="3303" customWidth="1"/>
    <col min="1799" max="1799" width="6.625" style="3303" customWidth="1"/>
    <col min="1800" max="1800" width="7.25" style="3303" customWidth="1"/>
    <col min="1801" max="1801" width="14.875" style="3303" customWidth="1"/>
    <col min="1802" max="1802" width="15.25" style="3303" customWidth="1"/>
    <col min="1803" max="1803" width="16.875" style="3303" customWidth="1"/>
    <col min="1804" max="1804" width="16.5" style="3303" customWidth="1"/>
    <col min="1805" max="1805" width="11.25" style="3303" customWidth="1"/>
    <col min="1806" max="1806" width="11.625" style="3303" customWidth="1"/>
    <col min="1807" max="1807" width="12.875" style="3303" customWidth="1"/>
    <col min="1808" max="1808" width="11" style="3303" customWidth="1"/>
    <col min="1809" max="1809" width="10.875" style="3303" customWidth="1"/>
    <col min="1810" max="1810" width="12.25" style="3303" customWidth="1"/>
    <col min="1811" max="1811" width="14.5" style="3303" customWidth="1"/>
    <col min="1812" max="1813" width="12.75" style="3303" customWidth="1"/>
    <col min="1814" max="1814" width="13.875" style="3303" customWidth="1"/>
    <col min="1815" max="1815" width="15.25" style="3303" customWidth="1"/>
    <col min="1816" max="1819" width="15.25" style="3303" bestFit="1" customWidth="1"/>
    <col min="1820" max="1851" width="8.75" style="3303"/>
    <col min="1852" max="1883" width="9" style="3303" bestFit="1" customWidth="1"/>
    <col min="1884" max="2048" width="8.75" style="3303"/>
    <col min="2049" max="2049" width="6.375" style="3303" customWidth="1"/>
    <col min="2050" max="2050" width="8" style="3303" customWidth="1"/>
    <col min="2051" max="2051" width="14.375" style="3303" customWidth="1"/>
    <col min="2052" max="2052" width="7.375" style="3303" customWidth="1"/>
    <col min="2053" max="2053" width="5.5" style="3303" customWidth="1"/>
    <col min="2054" max="2054" width="6.5" style="3303" customWidth="1"/>
    <col min="2055" max="2055" width="6.625" style="3303" customWidth="1"/>
    <col min="2056" max="2056" width="7.25" style="3303" customWidth="1"/>
    <col min="2057" max="2057" width="14.875" style="3303" customWidth="1"/>
    <col min="2058" max="2058" width="15.25" style="3303" customWidth="1"/>
    <col min="2059" max="2059" width="16.875" style="3303" customWidth="1"/>
    <col min="2060" max="2060" width="16.5" style="3303" customWidth="1"/>
    <col min="2061" max="2061" width="11.25" style="3303" customWidth="1"/>
    <col min="2062" max="2062" width="11.625" style="3303" customWidth="1"/>
    <col min="2063" max="2063" width="12.875" style="3303" customWidth="1"/>
    <col min="2064" max="2064" width="11" style="3303" customWidth="1"/>
    <col min="2065" max="2065" width="10.875" style="3303" customWidth="1"/>
    <col min="2066" max="2066" width="12.25" style="3303" customWidth="1"/>
    <col min="2067" max="2067" width="14.5" style="3303" customWidth="1"/>
    <col min="2068" max="2069" width="12.75" style="3303" customWidth="1"/>
    <col min="2070" max="2070" width="13.875" style="3303" customWidth="1"/>
    <col min="2071" max="2071" width="15.25" style="3303" customWidth="1"/>
    <col min="2072" max="2075" width="15.25" style="3303" bestFit="1" customWidth="1"/>
    <col min="2076" max="2107" width="8.75" style="3303"/>
    <col min="2108" max="2139" width="9" style="3303" bestFit="1" customWidth="1"/>
    <col min="2140" max="2304" width="8.75" style="3303"/>
    <col min="2305" max="2305" width="6.375" style="3303" customWidth="1"/>
    <col min="2306" max="2306" width="8" style="3303" customWidth="1"/>
    <col min="2307" max="2307" width="14.375" style="3303" customWidth="1"/>
    <col min="2308" max="2308" width="7.375" style="3303" customWidth="1"/>
    <col min="2309" max="2309" width="5.5" style="3303" customWidth="1"/>
    <col min="2310" max="2310" width="6.5" style="3303" customWidth="1"/>
    <col min="2311" max="2311" width="6.625" style="3303" customWidth="1"/>
    <col min="2312" max="2312" width="7.25" style="3303" customWidth="1"/>
    <col min="2313" max="2313" width="14.875" style="3303" customWidth="1"/>
    <col min="2314" max="2314" width="15.25" style="3303" customWidth="1"/>
    <col min="2315" max="2315" width="16.875" style="3303" customWidth="1"/>
    <col min="2316" max="2316" width="16.5" style="3303" customWidth="1"/>
    <col min="2317" max="2317" width="11.25" style="3303" customWidth="1"/>
    <col min="2318" max="2318" width="11.625" style="3303" customWidth="1"/>
    <col min="2319" max="2319" width="12.875" style="3303" customWidth="1"/>
    <col min="2320" max="2320" width="11" style="3303" customWidth="1"/>
    <col min="2321" max="2321" width="10.875" style="3303" customWidth="1"/>
    <col min="2322" max="2322" width="12.25" style="3303" customWidth="1"/>
    <col min="2323" max="2323" width="14.5" style="3303" customWidth="1"/>
    <col min="2324" max="2325" width="12.75" style="3303" customWidth="1"/>
    <col min="2326" max="2326" width="13.875" style="3303" customWidth="1"/>
    <col min="2327" max="2327" width="15.25" style="3303" customWidth="1"/>
    <col min="2328" max="2331" width="15.25" style="3303" bestFit="1" customWidth="1"/>
    <col min="2332" max="2363" width="8.75" style="3303"/>
    <col min="2364" max="2395" width="9" style="3303" bestFit="1" customWidth="1"/>
    <col min="2396" max="2560" width="8.75" style="3303"/>
    <col min="2561" max="2561" width="6.375" style="3303" customWidth="1"/>
    <col min="2562" max="2562" width="8" style="3303" customWidth="1"/>
    <col min="2563" max="2563" width="14.375" style="3303" customWidth="1"/>
    <col min="2564" max="2564" width="7.375" style="3303" customWidth="1"/>
    <col min="2565" max="2565" width="5.5" style="3303" customWidth="1"/>
    <col min="2566" max="2566" width="6.5" style="3303" customWidth="1"/>
    <col min="2567" max="2567" width="6.625" style="3303" customWidth="1"/>
    <col min="2568" max="2568" width="7.25" style="3303" customWidth="1"/>
    <col min="2569" max="2569" width="14.875" style="3303" customWidth="1"/>
    <col min="2570" max="2570" width="15.25" style="3303" customWidth="1"/>
    <col min="2571" max="2571" width="16.875" style="3303" customWidth="1"/>
    <col min="2572" max="2572" width="16.5" style="3303" customWidth="1"/>
    <col min="2573" max="2573" width="11.25" style="3303" customWidth="1"/>
    <col min="2574" max="2574" width="11.625" style="3303" customWidth="1"/>
    <col min="2575" max="2575" width="12.875" style="3303" customWidth="1"/>
    <col min="2576" max="2576" width="11" style="3303" customWidth="1"/>
    <col min="2577" max="2577" width="10.875" style="3303" customWidth="1"/>
    <col min="2578" max="2578" width="12.25" style="3303" customWidth="1"/>
    <col min="2579" max="2579" width="14.5" style="3303" customWidth="1"/>
    <col min="2580" max="2581" width="12.75" style="3303" customWidth="1"/>
    <col min="2582" max="2582" width="13.875" style="3303" customWidth="1"/>
    <col min="2583" max="2583" width="15.25" style="3303" customWidth="1"/>
    <col min="2584" max="2587" width="15.25" style="3303" bestFit="1" customWidth="1"/>
    <col min="2588" max="2619" width="8.75" style="3303"/>
    <col min="2620" max="2651" width="9" style="3303" bestFit="1" customWidth="1"/>
    <col min="2652" max="2816" width="8.75" style="3303"/>
    <col min="2817" max="2817" width="6.375" style="3303" customWidth="1"/>
    <col min="2818" max="2818" width="8" style="3303" customWidth="1"/>
    <col min="2819" max="2819" width="14.375" style="3303" customWidth="1"/>
    <col min="2820" max="2820" width="7.375" style="3303" customWidth="1"/>
    <col min="2821" max="2821" width="5.5" style="3303" customWidth="1"/>
    <col min="2822" max="2822" width="6.5" style="3303" customWidth="1"/>
    <col min="2823" max="2823" width="6.625" style="3303" customWidth="1"/>
    <col min="2824" max="2824" width="7.25" style="3303" customWidth="1"/>
    <col min="2825" max="2825" width="14.875" style="3303" customWidth="1"/>
    <col min="2826" max="2826" width="15.25" style="3303" customWidth="1"/>
    <col min="2827" max="2827" width="16.875" style="3303" customWidth="1"/>
    <col min="2828" max="2828" width="16.5" style="3303" customWidth="1"/>
    <col min="2829" max="2829" width="11.25" style="3303" customWidth="1"/>
    <col min="2830" max="2830" width="11.625" style="3303" customWidth="1"/>
    <col min="2831" max="2831" width="12.875" style="3303" customWidth="1"/>
    <col min="2832" max="2832" width="11" style="3303" customWidth="1"/>
    <col min="2833" max="2833" width="10.875" style="3303" customWidth="1"/>
    <col min="2834" max="2834" width="12.25" style="3303" customWidth="1"/>
    <col min="2835" max="2835" width="14.5" style="3303" customWidth="1"/>
    <col min="2836" max="2837" width="12.75" style="3303" customWidth="1"/>
    <col min="2838" max="2838" width="13.875" style="3303" customWidth="1"/>
    <col min="2839" max="2839" width="15.25" style="3303" customWidth="1"/>
    <col min="2840" max="2843" width="15.25" style="3303" bestFit="1" customWidth="1"/>
    <col min="2844" max="2875" width="8.75" style="3303"/>
    <col min="2876" max="2907" width="9" style="3303" bestFit="1" customWidth="1"/>
    <col min="2908" max="3072" width="8.75" style="3303"/>
    <col min="3073" max="3073" width="6.375" style="3303" customWidth="1"/>
    <col min="3074" max="3074" width="8" style="3303" customWidth="1"/>
    <col min="3075" max="3075" width="14.375" style="3303" customWidth="1"/>
    <col min="3076" max="3076" width="7.375" style="3303" customWidth="1"/>
    <col min="3077" max="3077" width="5.5" style="3303" customWidth="1"/>
    <col min="3078" max="3078" width="6.5" style="3303" customWidth="1"/>
    <col min="3079" max="3079" width="6.625" style="3303" customWidth="1"/>
    <col min="3080" max="3080" width="7.25" style="3303" customWidth="1"/>
    <col min="3081" max="3081" width="14.875" style="3303" customWidth="1"/>
    <col min="3082" max="3082" width="15.25" style="3303" customWidth="1"/>
    <col min="3083" max="3083" width="16.875" style="3303" customWidth="1"/>
    <col min="3084" max="3084" width="16.5" style="3303" customWidth="1"/>
    <col min="3085" max="3085" width="11.25" style="3303" customWidth="1"/>
    <col min="3086" max="3086" width="11.625" style="3303" customWidth="1"/>
    <col min="3087" max="3087" width="12.875" style="3303" customWidth="1"/>
    <col min="3088" max="3088" width="11" style="3303" customWidth="1"/>
    <col min="3089" max="3089" width="10.875" style="3303" customWidth="1"/>
    <col min="3090" max="3090" width="12.25" style="3303" customWidth="1"/>
    <col min="3091" max="3091" width="14.5" style="3303" customWidth="1"/>
    <col min="3092" max="3093" width="12.75" style="3303" customWidth="1"/>
    <col min="3094" max="3094" width="13.875" style="3303" customWidth="1"/>
    <col min="3095" max="3095" width="15.25" style="3303" customWidth="1"/>
    <col min="3096" max="3099" width="15.25" style="3303" bestFit="1" customWidth="1"/>
    <col min="3100" max="3131" width="8.75" style="3303"/>
    <col min="3132" max="3163" width="9" style="3303" bestFit="1" customWidth="1"/>
    <col min="3164" max="3328" width="8.75" style="3303"/>
    <col min="3329" max="3329" width="6.375" style="3303" customWidth="1"/>
    <col min="3330" max="3330" width="8" style="3303" customWidth="1"/>
    <col min="3331" max="3331" width="14.375" style="3303" customWidth="1"/>
    <col min="3332" max="3332" width="7.375" style="3303" customWidth="1"/>
    <col min="3333" max="3333" width="5.5" style="3303" customWidth="1"/>
    <col min="3334" max="3334" width="6.5" style="3303" customWidth="1"/>
    <col min="3335" max="3335" width="6.625" style="3303" customWidth="1"/>
    <col min="3336" max="3336" width="7.25" style="3303" customWidth="1"/>
    <col min="3337" max="3337" width="14.875" style="3303" customWidth="1"/>
    <col min="3338" max="3338" width="15.25" style="3303" customWidth="1"/>
    <col min="3339" max="3339" width="16.875" style="3303" customWidth="1"/>
    <col min="3340" max="3340" width="16.5" style="3303" customWidth="1"/>
    <col min="3341" max="3341" width="11.25" style="3303" customWidth="1"/>
    <col min="3342" max="3342" width="11.625" style="3303" customWidth="1"/>
    <col min="3343" max="3343" width="12.875" style="3303" customWidth="1"/>
    <col min="3344" max="3344" width="11" style="3303" customWidth="1"/>
    <col min="3345" max="3345" width="10.875" style="3303" customWidth="1"/>
    <col min="3346" max="3346" width="12.25" style="3303" customWidth="1"/>
    <col min="3347" max="3347" width="14.5" style="3303" customWidth="1"/>
    <col min="3348" max="3349" width="12.75" style="3303" customWidth="1"/>
    <col min="3350" max="3350" width="13.875" style="3303" customWidth="1"/>
    <col min="3351" max="3351" width="15.25" style="3303" customWidth="1"/>
    <col min="3352" max="3355" width="15.25" style="3303" bestFit="1" customWidth="1"/>
    <col min="3356" max="3387" width="8.75" style="3303"/>
    <col min="3388" max="3419" width="9" style="3303" bestFit="1" customWidth="1"/>
    <col min="3420" max="3584" width="8.75" style="3303"/>
    <col min="3585" max="3585" width="6.375" style="3303" customWidth="1"/>
    <col min="3586" max="3586" width="8" style="3303" customWidth="1"/>
    <col min="3587" max="3587" width="14.375" style="3303" customWidth="1"/>
    <col min="3588" max="3588" width="7.375" style="3303" customWidth="1"/>
    <col min="3589" max="3589" width="5.5" style="3303" customWidth="1"/>
    <col min="3590" max="3590" width="6.5" style="3303" customWidth="1"/>
    <col min="3591" max="3591" width="6.625" style="3303" customWidth="1"/>
    <col min="3592" max="3592" width="7.25" style="3303" customWidth="1"/>
    <col min="3593" max="3593" width="14.875" style="3303" customWidth="1"/>
    <col min="3594" max="3594" width="15.25" style="3303" customWidth="1"/>
    <col min="3595" max="3595" width="16.875" style="3303" customWidth="1"/>
    <col min="3596" max="3596" width="16.5" style="3303" customWidth="1"/>
    <col min="3597" max="3597" width="11.25" style="3303" customWidth="1"/>
    <col min="3598" max="3598" width="11.625" style="3303" customWidth="1"/>
    <col min="3599" max="3599" width="12.875" style="3303" customWidth="1"/>
    <col min="3600" max="3600" width="11" style="3303" customWidth="1"/>
    <col min="3601" max="3601" width="10.875" style="3303" customWidth="1"/>
    <col min="3602" max="3602" width="12.25" style="3303" customWidth="1"/>
    <col min="3603" max="3603" width="14.5" style="3303" customWidth="1"/>
    <col min="3604" max="3605" width="12.75" style="3303" customWidth="1"/>
    <col min="3606" max="3606" width="13.875" style="3303" customWidth="1"/>
    <col min="3607" max="3607" width="15.25" style="3303" customWidth="1"/>
    <col min="3608" max="3611" width="15.25" style="3303" bestFit="1" customWidth="1"/>
    <col min="3612" max="3643" width="8.75" style="3303"/>
    <col min="3644" max="3675" width="9" style="3303" bestFit="1" customWidth="1"/>
    <col min="3676" max="3840" width="8.75" style="3303"/>
    <col min="3841" max="3841" width="6.375" style="3303" customWidth="1"/>
    <col min="3842" max="3842" width="8" style="3303" customWidth="1"/>
    <col min="3843" max="3843" width="14.375" style="3303" customWidth="1"/>
    <col min="3844" max="3844" width="7.375" style="3303" customWidth="1"/>
    <col min="3845" max="3845" width="5.5" style="3303" customWidth="1"/>
    <col min="3846" max="3846" width="6.5" style="3303" customWidth="1"/>
    <col min="3847" max="3847" width="6.625" style="3303" customWidth="1"/>
    <col min="3848" max="3848" width="7.25" style="3303" customWidth="1"/>
    <col min="3849" max="3849" width="14.875" style="3303" customWidth="1"/>
    <col min="3850" max="3850" width="15.25" style="3303" customWidth="1"/>
    <col min="3851" max="3851" width="16.875" style="3303" customWidth="1"/>
    <col min="3852" max="3852" width="16.5" style="3303" customWidth="1"/>
    <col min="3853" max="3853" width="11.25" style="3303" customWidth="1"/>
    <col min="3854" max="3854" width="11.625" style="3303" customWidth="1"/>
    <col min="3855" max="3855" width="12.875" style="3303" customWidth="1"/>
    <col min="3856" max="3856" width="11" style="3303" customWidth="1"/>
    <col min="3857" max="3857" width="10.875" style="3303" customWidth="1"/>
    <col min="3858" max="3858" width="12.25" style="3303" customWidth="1"/>
    <col min="3859" max="3859" width="14.5" style="3303" customWidth="1"/>
    <col min="3860" max="3861" width="12.75" style="3303" customWidth="1"/>
    <col min="3862" max="3862" width="13.875" style="3303" customWidth="1"/>
    <col min="3863" max="3863" width="15.25" style="3303" customWidth="1"/>
    <col min="3864" max="3867" width="15.25" style="3303" bestFit="1" customWidth="1"/>
    <col min="3868" max="3899" width="8.75" style="3303"/>
    <col min="3900" max="3931" width="9" style="3303" bestFit="1" customWidth="1"/>
    <col min="3932" max="4096" width="8.75" style="3303"/>
    <col min="4097" max="4097" width="6.375" style="3303" customWidth="1"/>
    <col min="4098" max="4098" width="8" style="3303" customWidth="1"/>
    <col min="4099" max="4099" width="14.375" style="3303" customWidth="1"/>
    <col min="4100" max="4100" width="7.375" style="3303" customWidth="1"/>
    <col min="4101" max="4101" width="5.5" style="3303" customWidth="1"/>
    <col min="4102" max="4102" width="6.5" style="3303" customWidth="1"/>
    <col min="4103" max="4103" width="6.625" style="3303" customWidth="1"/>
    <col min="4104" max="4104" width="7.25" style="3303" customWidth="1"/>
    <col min="4105" max="4105" width="14.875" style="3303" customWidth="1"/>
    <col min="4106" max="4106" width="15.25" style="3303" customWidth="1"/>
    <col min="4107" max="4107" width="16.875" style="3303" customWidth="1"/>
    <col min="4108" max="4108" width="16.5" style="3303" customWidth="1"/>
    <col min="4109" max="4109" width="11.25" style="3303" customWidth="1"/>
    <col min="4110" max="4110" width="11.625" style="3303" customWidth="1"/>
    <col min="4111" max="4111" width="12.875" style="3303" customWidth="1"/>
    <col min="4112" max="4112" width="11" style="3303" customWidth="1"/>
    <col min="4113" max="4113" width="10.875" style="3303" customWidth="1"/>
    <col min="4114" max="4114" width="12.25" style="3303" customWidth="1"/>
    <col min="4115" max="4115" width="14.5" style="3303" customWidth="1"/>
    <col min="4116" max="4117" width="12.75" style="3303" customWidth="1"/>
    <col min="4118" max="4118" width="13.875" style="3303" customWidth="1"/>
    <col min="4119" max="4119" width="15.25" style="3303" customWidth="1"/>
    <col min="4120" max="4123" width="15.25" style="3303" bestFit="1" customWidth="1"/>
    <col min="4124" max="4155" width="8.75" style="3303"/>
    <col min="4156" max="4187" width="9" style="3303" bestFit="1" customWidth="1"/>
    <col min="4188" max="4352" width="8.75" style="3303"/>
    <col min="4353" max="4353" width="6.375" style="3303" customWidth="1"/>
    <col min="4354" max="4354" width="8" style="3303" customWidth="1"/>
    <col min="4355" max="4355" width="14.375" style="3303" customWidth="1"/>
    <col min="4356" max="4356" width="7.375" style="3303" customWidth="1"/>
    <col min="4357" max="4357" width="5.5" style="3303" customWidth="1"/>
    <col min="4358" max="4358" width="6.5" style="3303" customWidth="1"/>
    <col min="4359" max="4359" width="6.625" style="3303" customWidth="1"/>
    <col min="4360" max="4360" width="7.25" style="3303" customWidth="1"/>
    <col min="4361" max="4361" width="14.875" style="3303" customWidth="1"/>
    <col min="4362" max="4362" width="15.25" style="3303" customWidth="1"/>
    <col min="4363" max="4363" width="16.875" style="3303" customWidth="1"/>
    <col min="4364" max="4364" width="16.5" style="3303" customWidth="1"/>
    <col min="4365" max="4365" width="11.25" style="3303" customWidth="1"/>
    <col min="4366" max="4366" width="11.625" style="3303" customWidth="1"/>
    <col min="4367" max="4367" width="12.875" style="3303" customWidth="1"/>
    <col min="4368" max="4368" width="11" style="3303" customWidth="1"/>
    <col min="4369" max="4369" width="10.875" style="3303" customWidth="1"/>
    <col min="4370" max="4370" width="12.25" style="3303" customWidth="1"/>
    <col min="4371" max="4371" width="14.5" style="3303" customWidth="1"/>
    <col min="4372" max="4373" width="12.75" style="3303" customWidth="1"/>
    <col min="4374" max="4374" width="13.875" style="3303" customWidth="1"/>
    <col min="4375" max="4375" width="15.25" style="3303" customWidth="1"/>
    <col min="4376" max="4379" width="15.25" style="3303" bestFit="1" customWidth="1"/>
    <col min="4380" max="4411" width="8.75" style="3303"/>
    <col min="4412" max="4443" width="9" style="3303" bestFit="1" customWidth="1"/>
    <col min="4444" max="4608" width="8.75" style="3303"/>
    <col min="4609" max="4609" width="6.375" style="3303" customWidth="1"/>
    <col min="4610" max="4610" width="8" style="3303" customWidth="1"/>
    <col min="4611" max="4611" width="14.375" style="3303" customWidth="1"/>
    <col min="4612" max="4612" width="7.375" style="3303" customWidth="1"/>
    <col min="4613" max="4613" width="5.5" style="3303" customWidth="1"/>
    <col min="4614" max="4614" width="6.5" style="3303" customWidth="1"/>
    <col min="4615" max="4615" width="6.625" style="3303" customWidth="1"/>
    <col min="4616" max="4616" width="7.25" style="3303" customWidth="1"/>
    <col min="4617" max="4617" width="14.875" style="3303" customWidth="1"/>
    <col min="4618" max="4618" width="15.25" style="3303" customWidth="1"/>
    <col min="4619" max="4619" width="16.875" style="3303" customWidth="1"/>
    <col min="4620" max="4620" width="16.5" style="3303" customWidth="1"/>
    <col min="4621" max="4621" width="11.25" style="3303" customWidth="1"/>
    <col min="4622" max="4622" width="11.625" style="3303" customWidth="1"/>
    <col min="4623" max="4623" width="12.875" style="3303" customWidth="1"/>
    <col min="4624" max="4624" width="11" style="3303" customWidth="1"/>
    <col min="4625" max="4625" width="10.875" style="3303" customWidth="1"/>
    <col min="4626" max="4626" width="12.25" style="3303" customWidth="1"/>
    <col min="4627" max="4627" width="14.5" style="3303" customWidth="1"/>
    <col min="4628" max="4629" width="12.75" style="3303" customWidth="1"/>
    <col min="4630" max="4630" width="13.875" style="3303" customWidth="1"/>
    <col min="4631" max="4631" width="15.25" style="3303" customWidth="1"/>
    <col min="4632" max="4635" width="15.25" style="3303" bestFit="1" customWidth="1"/>
    <col min="4636" max="4667" width="8.75" style="3303"/>
    <col min="4668" max="4699" width="9" style="3303" bestFit="1" customWidth="1"/>
    <col min="4700" max="4864" width="8.75" style="3303"/>
    <col min="4865" max="4865" width="6.375" style="3303" customWidth="1"/>
    <col min="4866" max="4866" width="8" style="3303" customWidth="1"/>
    <col min="4867" max="4867" width="14.375" style="3303" customWidth="1"/>
    <col min="4868" max="4868" width="7.375" style="3303" customWidth="1"/>
    <col min="4869" max="4869" width="5.5" style="3303" customWidth="1"/>
    <col min="4870" max="4870" width="6.5" style="3303" customWidth="1"/>
    <col min="4871" max="4871" width="6.625" style="3303" customWidth="1"/>
    <col min="4872" max="4872" width="7.25" style="3303" customWidth="1"/>
    <col min="4873" max="4873" width="14.875" style="3303" customWidth="1"/>
    <col min="4874" max="4874" width="15.25" style="3303" customWidth="1"/>
    <col min="4875" max="4875" width="16.875" style="3303" customWidth="1"/>
    <col min="4876" max="4876" width="16.5" style="3303" customWidth="1"/>
    <col min="4877" max="4877" width="11.25" style="3303" customWidth="1"/>
    <col min="4878" max="4878" width="11.625" style="3303" customWidth="1"/>
    <col min="4879" max="4879" width="12.875" style="3303" customWidth="1"/>
    <col min="4880" max="4880" width="11" style="3303" customWidth="1"/>
    <col min="4881" max="4881" width="10.875" style="3303" customWidth="1"/>
    <col min="4882" max="4882" width="12.25" style="3303" customWidth="1"/>
    <col min="4883" max="4883" width="14.5" style="3303" customWidth="1"/>
    <col min="4884" max="4885" width="12.75" style="3303" customWidth="1"/>
    <col min="4886" max="4886" width="13.875" style="3303" customWidth="1"/>
    <col min="4887" max="4887" width="15.25" style="3303" customWidth="1"/>
    <col min="4888" max="4891" width="15.25" style="3303" bestFit="1" customWidth="1"/>
    <col min="4892" max="4923" width="8.75" style="3303"/>
    <col min="4924" max="4955" width="9" style="3303" bestFit="1" customWidth="1"/>
    <col min="4956" max="5120" width="8.75" style="3303"/>
    <col min="5121" max="5121" width="6.375" style="3303" customWidth="1"/>
    <col min="5122" max="5122" width="8" style="3303" customWidth="1"/>
    <col min="5123" max="5123" width="14.375" style="3303" customWidth="1"/>
    <col min="5124" max="5124" width="7.375" style="3303" customWidth="1"/>
    <col min="5125" max="5125" width="5.5" style="3303" customWidth="1"/>
    <col min="5126" max="5126" width="6.5" style="3303" customWidth="1"/>
    <col min="5127" max="5127" width="6.625" style="3303" customWidth="1"/>
    <col min="5128" max="5128" width="7.25" style="3303" customWidth="1"/>
    <col min="5129" max="5129" width="14.875" style="3303" customWidth="1"/>
    <col min="5130" max="5130" width="15.25" style="3303" customWidth="1"/>
    <col min="5131" max="5131" width="16.875" style="3303" customWidth="1"/>
    <col min="5132" max="5132" width="16.5" style="3303" customWidth="1"/>
    <col min="5133" max="5133" width="11.25" style="3303" customWidth="1"/>
    <col min="5134" max="5134" width="11.625" style="3303" customWidth="1"/>
    <col min="5135" max="5135" width="12.875" style="3303" customWidth="1"/>
    <col min="5136" max="5136" width="11" style="3303" customWidth="1"/>
    <col min="5137" max="5137" width="10.875" style="3303" customWidth="1"/>
    <col min="5138" max="5138" width="12.25" style="3303" customWidth="1"/>
    <col min="5139" max="5139" width="14.5" style="3303" customWidth="1"/>
    <col min="5140" max="5141" width="12.75" style="3303" customWidth="1"/>
    <col min="5142" max="5142" width="13.875" style="3303" customWidth="1"/>
    <col min="5143" max="5143" width="15.25" style="3303" customWidth="1"/>
    <col min="5144" max="5147" width="15.25" style="3303" bestFit="1" customWidth="1"/>
    <col min="5148" max="5179" width="8.75" style="3303"/>
    <col min="5180" max="5211" width="9" style="3303" bestFit="1" customWidth="1"/>
    <col min="5212" max="5376" width="8.75" style="3303"/>
    <col min="5377" max="5377" width="6.375" style="3303" customWidth="1"/>
    <col min="5378" max="5378" width="8" style="3303" customWidth="1"/>
    <col min="5379" max="5379" width="14.375" style="3303" customWidth="1"/>
    <col min="5380" max="5380" width="7.375" style="3303" customWidth="1"/>
    <col min="5381" max="5381" width="5.5" style="3303" customWidth="1"/>
    <col min="5382" max="5382" width="6.5" style="3303" customWidth="1"/>
    <col min="5383" max="5383" width="6.625" style="3303" customWidth="1"/>
    <col min="5384" max="5384" width="7.25" style="3303" customWidth="1"/>
    <col min="5385" max="5385" width="14.875" style="3303" customWidth="1"/>
    <col min="5386" max="5386" width="15.25" style="3303" customWidth="1"/>
    <col min="5387" max="5387" width="16.875" style="3303" customWidth="1"/>
    <col min="5388" max="5388" width="16.5" style="3303" customWidth="1"/>
    <col min="5389" max="5389" width="11.25" style="3303" customWidth="1"/>
    <col min="5390" max="5390" width="11.625" style="3303" customWidth="1"/>
    <col min="5391" max="5391" width="12.875" style="3303" customWidth="1"/>
    <col min="5392" max="5392" width="11" style="3303" customWidth="1"/>
    <col min="5393" max="5393" width="10.875" style="3303" customWidth="1"/>
    <col min="5394" max="5394" width="12.25" style="3303" customWidth="1"/>
    <col min="5395" max="5395" width="14.5" style="3303" customWidth="1"/>
    <col min="5396" max="5397" width="12.75" style="3303" customWidth="1"/>
    <col min="5398" max="5398" width="13.875" style="3303" customWidth="1"/>
    <col min="5399" max="5399" width="15.25" style="3303" customWidth="1"/>
    <col min="5400" max="5403" width="15.25" style="3303" bestFit="1" customWidth="1"/>
    <col min="5404" max="5435" width="8.75" style="3303"/>
    <col min="5436" max="5467" width="9" style="3303" bestFit="1" customWidth="1"/>
    <col min="5468" max="5632" width="8.75" style="3303"/>
    <col min="5633" max="5633" width="6.375" style="3303" customWidth="1"/>
    <col min="5634" max="5634" width="8" style="3303" customWidth="1"/>
    <col min="5635" max="5635" width="14.375" style="3303" customWidth="1"/>
    <col min="5636" max="5636" width="7.375" style="3303" customWidth="1"/>
    <col min="5637" max="5637" width="5.5" style="3303" customWidth="1"/>
    <col min="5638" max="5638" width="6.5" style="3303" customWidth="1"/>
    <col min="5639" max="5639" width="6.625" style="3303" customWidth="1"/>
    <col min="5640" max="5640" width="7.25" style="3303" customWidth="1"/>
    <col min="5641" max="5641" width="14.875" style="3303" customWidth="1"/>
    <col min="5642" max="5642" width="15.25" style="3303" customWidth="1"/>
    <col min="5643" max="5643" width="16.875" style="3303" customWidth="1"/>
    <col min="5644" max="5644" width="16.5" style="3303" customWidth="1"/>
    <col min="5645" max="5645" width="11.25" style="3303" customWidth="1"/>
    <col min="5646" max="5646" width="11.625" style="3303" customWidth="1"/>
    <col min="5647" max="5647" width="12.875" style="3303" customWidth="1"/>
    <col min="5648" max="5648" width="11" style="3303" customWidth="1"/>
    <col min="5649" max="5649" width="10.875" style="3303" customWidth="1"/>
    <col min="5650" max="5650" width="12.25" style="3303" customWidth="1"/>
    <col min="5651" max="5651" width="14.5" style="3303" customWidth="1"/>
    <col min="5652" max="5653" width="12.75" style="3303" customWidth="1"/>
    <col min="5654" max="5654" width="13.875" style="3303" customWidth="1"/>
    <col min="5655" max="5655" width="15.25" style="3303" customWidth="1"/>
    <col min="5656" max="5659" width="15.25" style="3303" bestFit="1" customWidth="1"/>
    <col min="5660" max="5691" width="8.75" style="3303"/>
    <col min="5692" max="5723" width="9" style="3303" bestFit="1" customWidth="1"/>
    <col min="5724" max="5888" width="8.75" style="3303"/>
    <col min="5889" max="5889" width="6.375" style="3303" customWidth="1"/>
    <col min="5890" max="5890" width="8" style="3303" customWidth="1"/>
    <col min="5891" max="5891" width="14.375" style="3303" customWidth="1"/>
    <col min="5892" max="5892" width="7.375" style="3303" customWidth="1"/>
    <col min="5893" max="5893" width="5.5" style="3303" customWidth="1"/>
    <col min="5894" max="5894" width="6.5" style="3303" customWidth="1"/>
    <col min="5895" max="5895" width="6.625" style="3303" customWidth="1"/>
    <col min="5896" max="5896" width="7.25" style="3303" customWidth="1"/>
    <col min="5897" max="5897" width="14.875" style="3303" customWidth="1"/>
    <col min="5898" max="5898" width="15.25" style="3303" customWidth="1"/>
    <col min="5899" max="5899" width="16.875" style="3303" customWidth="1"/>
    <col min="5900" max="5900" width="16.5" style="3303" customWidth="1"/>
    <col min="5901" max="5901" width="11.25" style="3303" customWidth="1"/>
    <col min="5902" max="5902" width="11.625" style="3303" customWidth="1"/>
    <col min="5903" max="5903" width="12.875" style="3303" customWidth="1"/>
    <col min="5904" max="5904" width="11" style="3303" customWidth="1"/>
    <col min="5905" max="5905" width="10.875" style="3303" customWidth="1"/>
    <col min="5906" max="5906" width="12.25" style="3303" customWidth="1"/>
    <col min="5907" max="5907" width="14.5" style="3303" customWidth="1"/>
    <col min="5908" max="5909" width="12.75" style="3303" customWidth="1"/>
    <col min="5910" max="5910" width="13.875" style="3303" customWidth="1"/>
    <col min="5911" max="5911" width="15.25" style="3303" customWidth="1"/>
    <col min="5912" max="5915" width="15.25" style="3303" bestFit="1" customWidth="1"/>
    <col min="5916" max="5947" width="8.75" style="3303"/>
    <col min="5948" max="5979" width="9" style="3303" bestFit="1" customWidth="1"/>
    <col min="5980" max="6144" width="8.75" style="3303"/>
    <col min="6145" max="6145" width="6.375" style="3303" customWidth="1"/>
    <col min="6146" max="6146" width="8" style="3303" customWidth="1"/>
    <col min="6147" max="6147" width="14.375" style="3303" customWidth="1"/>
    <col min="6148" max="6148" width="7.375" style="3303" customWidth="1"/>
    <col min="6149" max="6149" width="5.5" style="3303" customWidth="1"/>
    <col min="6150" max="6150" width="6.5" style="3303" customWidth="1"/>
    <col min="6151" max="6151" width="6.625" style="3303" customWidth="1"/>
    <col min="6152" max="6152" width="7.25" style="3303" customWidth="1"/>
    <col min="6153" max="6153" width="14.875" style="3303" customWidth="1"/>
    <col min="6154" max="6154" width="15.25" style="3303" customWidth="1"/>
    <col min="6155" max="6155" width="16.875" style="3303" customWidth="1"/>
    <col min="6156" max="6156" width="16.5" style="3303" customWidth="1"/>
    <col min="6157" max="6157" width="11.25" style="3303" customWidth="1"/>
    <col min="6158" max="6158" width="11.625" style="3303" customWidth="1"/>
    <col min="6159" max="6159" width="12.875" style="3303" customWidth="1"/>
    <col min="6160" max="6160" width="11" style="3303" customWidth="1"/>
    <col min="6161" max="6161" width="10.875" style="3303" customWidth="1"/>
    <col min="6162" max="6162" width="12.25" style="3303" customWidth="1"/>
    <col min="6163" max="6163" width="14.5" style="3303" customWidth="1"/>
    <col min="6164" max="6165" width="12.75" style="3303" customWidth="1"/>
    <col min="6166" max="6166" width="13.875" style="3303" customWidth="1"/>
    <col min="6167" max="6167" width="15.25" style="3303" customWidth="1"/>
    <col min="6168" max="6171" width="15.25" style="3303" bestFit="1" customWidth="1"/>
    <col min="6172" max="6203" width="8.75" style="3303"/>
    <col min="6204" max="6235" width="9" style="3303" bestFit="1" customWidth="1"/>
    <col min="6236" max="6400" width="8.75" style="3303"/>
    <col min="6401" max="6401" width="6.375" style="3303" customWidth="1"/>
    <col min="6402" max="6402" width="8" style="3303" customWidth="1"/>
    <col min="6403" max="6403" width="14.375" style="3303" customWidth="1"/>
    <col min="6404" max="6404" width="7.375" style="3303" customWidth="1"/>
    <col min="6405" max="6405" width="5.5" style="3303" customWidth="1"/>
    <col min="6406" max="6406" width="6.5" style="3303" customWidth="1"/>
    <col min="6407" max="6407" width="6.625" style="3303" customWidth="1"/>
    <col min="6408" max="6408" width="7.25" style="3303" customWidth="1"/>
    <col min="6409" max="6409" width="14.875" style="3303" customWidth="1"/>
    <col min="6410" max="6410" width="15.25" style="3303" customWidth="1"/>
    <col min="6411" max="6411" width="16.875" style="3303" customWidth="1"/>
    <col min="6412" max="6412" width="16.5" style="3303" customWidth="1"/>
    <col min="6413" max="6413" width="11.25" style="3303" customWidth="1"/>
    <col min="6414" max="6414" width="11.625" style="3303" customWidth="1"/>
    <col min="6415" max="6415" width="12.875" style="3303" customWidth="1"/>
    <col min="6416" max="6416" width="11" style="3303" customWidth="1"/>
    <col min="6417" max="6417" width="10.875" style="3303" customWidth="1"/>
    <col min="6418" max="6418" width="12.25" style="3303" customWidth="1"/>
    <col min="6419" max="6419" width="14.5" style="3303" customWidth="1"/>
    <col min="6420" max="6421" width="12.75" style="3303" customWidth="1"/>
    <col min="6422" max="6422" width="13.875" style="3303" customWidth="1"/>
    <col min="6423" max="6423" width="15.25" style="3303" customWidth="1"/>
    <col min="6424" max="6427" width="15.25" style="3303" bestFit="1" customWidth="1"/>
    <col min="6428" max="6459" width="8.75" style="3303"/>
    <col min="6460" max="6491" width="9" style="3303" bestFit="1" customWidth="1"/>
    <col min="6492" max="6656" width="8.75" style="3303"/>
    <col min="6657" max="6657" width="6.375" style="3303" customWidth="1"/>
    <col min="6658" max="6658" width="8" style="3303" customWidth="1"/>
    <col min="6659" max="6659" width="14.375" style="3303" customWidth="1"/>
    <col min="6660" max="6660" width="7.375" style="3303" customWidth="1"/>
    <col min="6661" max="6661" width="5.5" style="3303" customWidth="1"/>
    <col min="6662" max="6662" width="6.5" style="3303" customWidth="1"/>
    <col min="6663" max="6663" width="6.625" style="3303" customWidth="1"/>
    <col min="6664" max="6664" width="7.25" style="3303" customWidth="1"/>
    <col min="6665" max="6665" width="14.875" style="3303" customWidth="1"/>
    <col min="6666" max="6666" width="15.25" style="3303" customWidth="1"/>
    <col min="6667" max="6667" width="16.875" style="3303" customWidth="1"/>
    <col min="6668" max="6668" width="16.5" style="3303" customWidth="1"/>
    <col min="6669" max="6669" width="11.25" style="3303" customWidth="1"/>
    <col min="6670" max="6670" width="11.625" style="3303" customWidth="1"/>
    <col min="6671" max="6671" width="12.875" style="3303" customWidth="1"/>
    <col min="6672" max="6672" width="11" style="3303" customWidth="1"/>
    <col min="6673" max="6673" width="10.875" style="3303" customWidth="1"/>
    <col min="6674" max="6674" width="12.25" style="3303" customWidth="1"/>
    <col min="6675" max="6675" width="14.5" style="3303" customWidth="1"/>
    <col min="6676" max="6677" width="12.75" style="3303" customWidth="1"/>
    <col min="6678" max="6678" width="13.875" style="3303" customWidth="1"/>
    <col min="6679" max="6679" width="15.25" style="3303" customWidth="1"/>
    <col min="6680" max="6683" width="15.25" style="3303" bestFit="1" customWidth="1"/>
    <col min="6684" max="6715" width="8.75" style="3303"/>
    <col min="6716" max="6747" width="9" style="3303" bestFit="1" customWidth="1"/>
    <col min="6748" max="6912" width="8.75" style="3303"/>
    <col min="6913" max="6913" width="6.375" style="3303" customWidth="1"/>
    <col min="6914" max="6914" width="8" style="3303" customWidth="1"/>
    <col min="6915" max="6915" width="14.375" style="3303" customWidth="1"/>
    <col min="6916" max="6916" width="7.375" style="3303" customWidth="1"/>
    <col min="6917" max="6917" width="5.5" style="3303" customWidth="1"/>
    <col min="6918" max="6918" width="6.5" style="3303" customWidth="1"/>
    <col min="6919" max="6919" width="6.625" style="3303" customWidth="1"/>
    <col min="6920" max="6920" width="7.25" style="3303" customWidth="1"/>
    <col min="6921" max="6921" width="14.875" style="3303" customWidth="1"/>
    <col min="6922" max="6922" width="15.25" style="3303" customWidth="1"/>
    <col min="6923" max="6923" width="16.875" style="3303" customWidth="1"/>
    <col min="6924" max="6924" width="16.5" style="3303" customWidth="1"/>
    <col min="6925" max="6925" width="11.25" style="3303" customWidth="1"/>
    <col min="6926" max="6926" width="11.625" style="3303" customWidth="1"/>
    <col min="6927" max="6927" width="12.875" style="3303" customWidth="1"/>
    <col min="6928" max="6928" width="11" style="3303" customWidth="1"/>
    <col min="6929" max="6929" width="10.875" style="3303" customWidth="1"/>
    <col min="6930" max="6930" width="12.25" style="3303" customWidth="1"/>
    <col min="6931" max="6931" width="14.5" style="3303" customWidth="1"/>
    <col min="6932" max="6933" width="12.75" style="3303" customWidth="1"/>
    <col min="6934" max="6934" width="13.875" style="3303" customWidth="1"/>
    <col min="6935" max="6935" width="15.25" style="3303" customWidth="1"/>
    <col min="6936" max="6939" width="15.25" style="3303" bestFit="1" customWidth="1"/>
    <col min="6940" max="6971" width="8.75" style="3303"/>
    <col min="6972" max="7003" width="9" style="3303" bestFit="1" customWidth="1"/>
    <col min="7004" max="7168" width="8.75" style="3303"/>
    <col min="7169" max="7169" width="6.375" style="3303" customWidth="1"/>
    <col min="7170" max="7170" width="8" style="3303" customWidth="1"/>
    <col min="7171" max="7171" width="14.375" style="3303" customWidth="1"/>
    <col min="7172" max="7172" width="7.375" style="3303" customWidth="1"/>
    <col min="7173" max="7173" width="5.5" style="3303" customWidth="1"/>
    <col min="7174" max="7174" width="6.5" style="3303" customWidth="1"/>
    <col min="7175" max="7175" width="6.625" style="3303" customWidth="1"/>
    <col min="7176" max="7176" width="7.25" style="3303" customWidth="1"/>
    <col min="7177" max="7177" width="14.875" style="3303" customWidth="1"/>
    <col min="7178" max="7178" width="15.25" style="3303" customWidth="1"/>
    <col min="7179" max="7179" width="16.875" style="3303" customWidth="1"/>
    <col min="7180" max="7180" width="16.5" style="3303" customWidth="1"/>
    <col min="7181" max="7181" width="11.25" style="3303" customWidth="1"/>
    <col min="7182" max="7182" width="11.625" style="3303" customWidth="1"/>
    <col min="7183" max="7183" width="12.875" style="3303" customWidth="1"/>
    <col min="7184" max="7184" width="11" style="3303" customWidth="1"/>
    <col min="7185" max="7185" width="10.875" style="3303" customWidth="1"/>
    <col min="7186" max="7186" width="12.25" style="3303" customWidth="1"/>
    <col min="7187" max="7187" width="14.5" style="3303" customWidth="1"/>
    <col min="7188" max="7189" width="12.75" style="3303" customWidth="1"/>
    <col min="7190" max="7190" width="13.875" style="3303" customWidth="1"/>
    <col min="7191" max="7191" width="15.25" style="3303" customWidth="1"/>
    <col min="7192" max="7195" width="15.25" style="3303" bestFit="1" customWidth="1"/>
    <col min="7196" max="7227" width="8.75" style="3303"/>
    <col min="7228" max="7259" width="9" style="3303" bestFit="1" customWidth="1"/>
    <col min="7260" max="7424" width="8.75" style="3303"/>
    <col min="7425" max="7425" width="6.375" style="3303" customWidth="1"/>
    <col min="7426" max="7426" width="8" style="3303" customWidth="1"/>
    <col min="7427" max="7427" width="14.375" style="3303" customWidth="1"/>
    <col min="7428" max="7428" width="7.375" style="3303" customWidth="1"/>
    <col min="7429" max="7429" width="5.5" style="3303" customWidth="1"/>
    <col min="7430" max="7430" width="6.5" style="3303" customWidth="1"/>
    <col min="7431" max="7431" width="6.625" style="3303" customWidth="1"/>
    <col min="7432" max="7432" width="7.25" style="3303" customWidth="1"/>
    <col min="7433" max="7433" width="14.875" style="3303" customWidth="1"/>
    <col min="7434" max="7434" width="15.25" style="3303" customWidth="1"/>
    <col min="7435" max="7435" width="16.875" style="3303" customWidth="1"/>
    <col min="7436" max="7436" width="16.5" style="3303" customWidth="1"/>
    <col min="7437" max="7437" width="11.25" style="3303" customWidth="1"/>
    <col min="7438" max="7438" width="11.625" style="3303" customWidth="1"/>
    <col min="7439" max="7439" width="12.875" style="3303" customWidth="1"/>
    <col min="7440" max="7440" width="11" style="3303" customWidth="1"/>
    <col min="7441" max="7441" width="10.875" style="3303" customWidth="1"/>
    <col min="7442" max="7442" width="12.25" style="3303" customWidth="1"/>
    <col min="7443" max="7443" width="14.5" style="3303" customWidth="1"/>
    <col min="7444" max="7445" width="12.75" style="3303" customWidth="1"/>
    <col min="7446" max="7446" width="13.875" style="3303" customWidth="1"/>
    <col min="7447" max="7447" width="15.25" style="3303" customWidth="1"/>
    <col min="7448" max="7451" width="15.25" style="3303" bestFit="1" customWidth="1"/>
    <col min="7452" max="7483" width="8.75" style="3303"/>
    <col min="7484" max="7515" width="9" style="3303" bestFit="1" customWidth="1"/>
    <col min="7516" max="7680" width="8.75" style="3303"/>
    <col min="7681" max="7681" width="6.375" style="3303" customWidth="1"/>
    <col min="7682" max="7682" width="8" style="3303" customWidth="1"/>
    <col min="7683" max="7683" width="14.375" style="3303" customWidth="1"/>
    <col min="7684" max="7684" width="7.375" style="3303" customWidth="1"/>
    <col min="7685" max="7685" width="5.5" style="3303" customWidth="1"/>
    <col min="7686" max="7686" width="6.5" style="3303" customWidth="1"/>
    <col min="7687" max="7687" width="6.625" style="3303" customWidth="1"/>
    <col min="7688" max="7688" width="7.25" style="3303" customWidth="1"/>
    <col min="7689" max="7689" width="14.875" style="3303" customWidth="1"/>
    <col min="7690" max="7690" width="15.25" style="3303" customWidth="1"/>
    <col min="7691" max="7691" width="16.875" style="3303" customWidth="1"/>
    <col min="7692" max="7692" width="16.5" style="3303" customWidth="1"/>
    <col min="7693" max="7693" width="11.25" style="3303" customWidth="1"/>
    <col min="7694" max="7694" width="11.625" style="3303" customWidth="1"/>
    <col min="7695" max="7695" width="12.875" style="3303" customWidth="1"/>
    <col min="7696" max="7696" width="11" style="3303" customWidth="1"/>
    <col min="7697" max="7697" width="10.875" style="3303" customWidth="1"/>
    <col min="7698" max="7698" width="12.25" style="3303" customWidth="1"/>
    <col min="7699" max="7699" width="14.5" style="3303" customWidth="1"/>
    <col min="7700" max="7701" width="12.75" style="3303" customWidth="1"/>
    <col min="7702" max="7702" width="13.875" style="3303" customWidth="1"/>
    <col min="7703" max="7703" width="15.25" style="3303" customWidth="1"/>
    <col min="7704" max="7707" width="15.25" style="3303" bestFit="1" customWidth="1"/>
    <col min="7708" max="7739" width="8.75" style="3303"/>
    <col min="7740" max="7771" width="9" style="3303" bestFit="1" customWidth="1"/>
    <col min="7772" max="7936" width="8.75" style="3303"/>
    <col min="7937" max="7937" width="6.375" style="3303" customWidth="1"/>
    <col min="7938" max="7938" width="8" style="3303" customWidth="1"/>
    <col min="7939" max="7939" width="14.375" style="3303" customWidth="1"/>
    <col min="7940" max="7940" width="7.375" style="3303" customWidth="1"/>
    <col min="7941" max="7941" width="5.5" style="3303" customWidth="1"/>
    <col min="7942" max="7942" width="6.5" style="3303" customWidth="1"/>
    <col min="7943" max="7943" width="6.625" style="3303" customWidth="1"/>
    <col min="7944" max="7944" width="7.25" style="3303" customWidth="1"/>
    <col min="7945" max="7945" width="14.875" style="3303" customWidth="1"/>
    <col min="7946" max="7946" width="15.25" style="3303" customWidth="1"/>
    <col min="7947" max="7947" width="16.875" style="3303" customWidth="1"/>
    <col min="7948" max="7948" width="16.5" style="3303" customWidth="1"/>
    <col min="7949" max="7949" width="11.25" style="3303" customWidth="1"/>
    <col min="7950" max="7950" width="11.625" style="3303" customWidth="1"/>
    <col min="7951" max="7951" width="12.875" style="3303" customWidth="1"/>
    <col min="7952" max="7952" width="11" style="3303" customWidth="1"/>
    <col min="7953" max="7953" width="10.875" style="3303" customWidth="1"/>
    <col min="7954" max="7954" width="12.25" style="3303" customWidth="1"/>
    <col min="7955" max="7955" width="14.5" style="3303" customWidth="1"/>
    <col min="7956" max="7957" width="12.75" style="3303" customWidth="1"/>
    <col min="7958" max="7958" width="13.875" style="3303" customWidth="1"/>
    <col min="7959" max="7959" width="15.25" style="3303" customWidth="1"/>
    <col min="7960" max="7963" width="15.25" style="3303" bestFit="1" customWidth="1"/>
    <col min="7964" max="7995" width="8.75" style="3303"/>
    <col min="7996" max="8027" width="9" style="3303" bestFit="1" customWidth="1"/>
    <col min="8028" max="8192" width="8.75" style="3303"/>
    <col min="8193" max="8193" width="6.375" style="3303" customWidth="1"/>
    <col min="8194" max="8194" width="8" style="3303" customWidth="1"/>
    <col min="8195" max="8195" width="14.375" style="3303" customWidth="1"/>
    <col min="8196" max="8196" width="7.375" style="3303" customWidth="1"/>
    <col min="8197" max="8197" width="5.5" style="3303" customWidth="1"/>
    <col min="8198" max="8198" width="6.5" style="3303" customWidth="1"/>
    <col min="8199" max="8199" width="6.625" style="3303" customWidth="1"/>
    <col min="8200" max="8200" width="7.25" style="3303" customWidth="1"/>
    <col min="8201" max="8201" width="14.875" style="3303" customWidth="1"/>
    <col min="8202" max="8202" width="15.25" style="3303" customWidth="1"/>
    <col min="8203" max="8203" width="16.875" style="3303" customWidth="1"/>
    <col min="8204" max="8204" width="16.5" style="3303" customWidth="1"/>
    <col min="8205" max="8205" width="11.25" style="3303" customWidth="1"/>
    <col min="8206" max="8206" width="11.625" style="3303" customWidth="1"/>
    <col min="8207" max="8207" width="12.875" style="3303" customWidth="1"/>
    <col min="8208" max="8208" width="11" style="3303" customWidth="1"/>
    <col min="8209" max="8209" width="10.875" style="3303" customWidth="1"/>
    <col min="8210" max="8210" width="12.25" style="3303" customWidth="1"/>
    <col min="8211" max="8211" width="14.5" style="3303" customWidth="1"/>
    <col min="8212" max="8213" width="12.75" style="3303" customWidth="1"/>
    <col min="8214" max="8214" width="13.875" style="3303" customWidth="1"/>
    <col min="8215" max="8215" width="15.25" style="3303" customWidth="1"/>
    <col min="8216" max="8219" width="15.25" style="3303" bestFit="1" customWidth="1"/>
    <col min="8220" max="8251" width="8.75" style="3303"/>
    <col min="8252" max="8283" width="9" style="3303" bestFit="1" customWidth="1"/>
    <col min="8284" max="8448" width="8.75" style="3303"/>
    <col min="8449" max="8449" width="6.375" style="3303" customWidth="1"/>
    <col min="8450" max="8450" width="8" style="3303" customWidth="1"/>
    <col min="8451" max="8451" width="14.375" style="3303" customWidth="1"/>
    <col min="8452" max="8452" width="7.375" style="3303" customWidth="1"/>
    <col min="8453" max="8453" width="5.5" style="3303" customWidth="1"/>
    <col min="8454" max="8454" width="6.5" style="3303" customWidth="1"/>
    <col min="8455" max="8455" width="6.625" style="3303" customWidth="1"/>
    <col min="8456" max="8456" width="7.25" style="3303" customWidth="1"/>
    <col min="8457" max="8457" width="14.875" style="3303" customWidth="1"/>
    <col min="8458" max="8458" width="15.25" style="3303" customWidth="1"/>
    <col min="8459" max="8459" width="16.875" style="3303" customWidth="1"/>
    <col min="8460" max="8460" width="16.5" style="3303" customWidth="1"/>
    <col min="8461" max="8461" width="11.25" style="3303" customWidth="1"/>
    <col min="8462" max="8462" width="11.625" style="3303" customWidth="1"/>
    <col min="8463" max="8463" width="12.875" style="3303" customWidth="1"/>
    <col min="8464" max="8464" width="11" style="3303" customWidth="1"/>
    <col min="8465" max="8465" width="10.875" style="3303" customWidth="1"/>
    <col min="8466" max="8466" width="12.25" style="3303" customWidth="1"/>
    <col min="8467" max="8467" width="14.5" style="3303" customWidth="1"/>
    <col min="8468" max="8469" width="12.75" style="3303" customWidth="1"/>
    <col min="8470" max="8470" width="13.875" style="3303" customWidth="1"/>
    <col min="8471" max="8471" width="15.25" style="3303" customWidth="1"/>
    <col min="8472" max="8475" width="15.25" style="3303" bestFit="1" customWidth="1"/>
    <col min="8476" max="8507" width="8.75" style="3303"/>
    <col min="8508" max="8539" width="9" style="3303" bestFit="1" customWidth="1"/>
    <col min="8540" max="8704" width="8.75" style="3303"/>
    <col min="8705" max="8705" width="6.375" style="3303" customWidth="1"/>
    <col min="8706" max="8706" width="8" style="3303" customWidth="1"/>
    <col min="8707" max="8707" width="14.375" style="3303" customWidth="1"/>
    <col min="8708" max="8708" width="7.375" style="3303" customWidth="1"/>
    <col min="8709" max="8709" width="5.5" style="3303" customWidth="1"/>
    <col min="8710" max="8710" width="6.5" style="3303" customWidth="1"/>
    <col min="8711" max="8711" width="6.625" style="3303" customWidth="1"/>
    <col min="8712" max="8712" width="7.25" style="3303" customWidth="1"/>
    <col min="8713" max="8713" width="14.875" style="3303" customWidth="1"/>
    <col min="8714" max="8714" width="15.25" style="3303" customWidth="1"/>
    <col min="8715" max="8715" width="16.875" style="3303" customWidth="1"/>
    <col min="8716" max="8716" width="16.5" style="3303" customWidth="1"/>
    <col min="8717" max="8717" width="11.25" style="3303" customWidth="1"/>
    <col min="8718" max="8718" width="11.625" style="3303" customWidth="1"/>
    <col min="8719" max="8719" width="12.875" style="3303" customWidth="1"/>
    <col min="8720" max="8720" width="11" style="3303" customWidth="1"/>
    <col min="8721" max="8721" width="10.875" style="3303" customWidth="1"/>
    <col min="8722" max="8722" width="12.25" style="3303" customWidth="1"/>
    <col min="8723" max="8723" width="14.5" style="3303" customWidth="1"/>
    <col min="8724" max="8725" width="12.75" style="3303" customWidth="1"/>
    <col min="8726" max="8726" width="13.875" style="3303" customWidth="1"/>
    <col min="8727" max="8727" width="15.25" style="3303" customWidth="1"/>
    <col min="8728" max="8731" width="15.25" style="3303" bestFit="1" customWidth="1"/>
    <col min="8732" max="8763" width="8.75" style="3303"/>
    <col min="8764" max="8795" width="9" style="3303" bestFit="1" customWidth="1"/>
    <col min="8796" max="8960" width="8.75" style="3303"/>
    <col min="8961" max="8961" width="6.375" style="3303" customWidth="1"/>
    <col min="8962" max="8962" width="8" style="3303" customWidth="1"/>
    <col min="8963" max="8963" width="14.375" style="3303" customWidth="1"/>
    <col min="8964" max="8964" width="7.375" style="3303" customWidth="1"/>
    <col min="8965" max="8965" width="5.5" style="3303" customWidth="1"/>
    <col min="8966" max="8966" width="6.5" style="3303" customWidth="1"/>
    <col min="8967" max="8967" width="6.625" style="3303" customWidth="1"/>
    <col min="8968" max="8968" width="7.25" style="3303" customWidth="1"/>
    <col min="8969" max="8969" width="14.875" style="3303" customWidth="1"/>
    <col min="8970" max="8970" width="15.25" style="3303" customWidth="1"/>
    <col min="8971" max="8971" width="16.875" style="3303" customWidth="1"/>
    <col min="8972" max="8972" width="16.5" style="3303" customWidth="1"/>
    <col min="8973" max="8973" width="11.25" style="3303" customWidth="1"/>
    <col min="8974" max="8974" width="11.625" style="3303" customWidth="1"/>
    <col min="8975" max="8975" width="12.875" style="3303" customWidth="1"/>
    <col min="8976" max="8976" width="11" style="3303" customWidth="1"/>
    <col min="8977" max="8977" width="10.875" style="3303" customWidth="1"/>
    <col min="8978" max="8978" width="12.25" style="3303" customWidth="1"/>
    <col min="8979" max="8979" width="14.5" style="3303" customWidth="1"/>
    <col min="8980" max="8981" width="12.75" style="3303" customWidth="1"/>
    <col min="8982" max="8982" width="13.875" style="3303" customWidth="1"/>
    <col min="8983" max="8983" width="15.25" style="3303" customWidth="1"/>
    <col min="8984" max="8987" width="15.25" style="3303" bestFit="1" customWidth="1"/>
    <col min="8988" max="9019" width="8.75" style="3303"/>
    <col min="9020" max="9051" width="9" style="3303" bestFit="1" customWidth="1"/>
    <col min="9052" max="9216" width="8.75" style="3303"/>
    <col min="9217" max="9217" width="6.375" style="3303" customWidth="1"/>
    <col min="9218" max="9218" width="8" style="3303" customWidth="1"/>
    <col min="9219" max="9219" width="14.375" style="3303" customWidth="1"/>
    <col min="9220" max="9220" width="7.375" style="3303" customWidth="1"/>
    <col min="9221" max="9221" width="5.5" style="3303" customWidth="1"/>
    <col min="9222" max="9222" width="6.5" style="3303" customWidth="1"/>
    <col min="9223" max="9223" width="6.625" style="3303" customWidth="1"/>
    <col min="9224" max="9224" width="7.25" style="3303" customWidth="1"/>
    <col min="9225" max="9225" width="14.875" style="3303" customWidth="1"/>
    <col min="9226" max="9226" width="15.25" style="3303" customWidth="1"/>
    <col min="9227" max="9227" width="16.875" style="3303" customWidth="1"/>
    <col min="9228" max="9228" width="16.5" style="3303" customWidth="1"/>
    <col min="9229" max="9229" width="11.25" style="3303" customWidth="1"/>
    <col min="9230" max="9230" width="11.625" style="3303" customWidth="1"/>
    <col min="9231" max="9231" width="12.875" style="3303" customWidth="1"/>
    <col min="9232" max="9232" width="11" style="3303" customWidth="1"/>
    <col min="9233" max="9233" width="10.875" style="3303" customWidth="1"/>
    <col min="9234" max="9234" width="12.25" style="3303" customWidth="1"/>
    <col min="9235" max="9235" width="14.5" style="3303" customWidth="1"/>
    <col min="9236" max="9237" width="12.75" style="3303" customWidth="1"/>
    <col min="9238" max="9238" width="13.875" style="3303" customWidth="1"/>
    <col min="9239" max="9239" width="15.25" style="3303" customWidth="1"/>
    <col min="9240" max="9243" width="15.25" style="3303" bestFit="1" customWidth="1"/>
    <col min="9244" max="9275" width="8.75" style="3303"/>
    <col min="9276" max="9307" width="9" style="3303" bestFit="1" customWidth="1"/>
    <col min="9308" max="9472" width="8.75" style="3303"/>
    <col min="9473" max="9473" width="6.375" style="3303" customWidth="1"/>
    <col min="9474" max="9474" width="8" style="3303" customWidth="1"/>
    <col min="9475" max="9475" width="14.375" style="3303" customWidth="1"/>
    <col min="9476" max="9476" width="7.375" style="3303" customWidth="1"/>
    <col min="9477" max="9477" width="5.5" style="3303" customWidth="1"/>
    <col min="9478" max="9478" width="6.5" style="3303" customWidth="1"/>
    <col min="9479" max="9479" width="6.625" style="3303" customWidth="1"/>
    <col min="9480" max="9480" width="7.25" style="3303" customWidth="1"/>
    <col min="9481" max="9481" width="14.875" style="3303" customWidth="1"/>
    <col min="9482" max="9482" width="15.25" style="3303" customWidth="1"/>
    <col min="9483" max="9483" width="16.875" style="3303" customWidth="1"/>
    <col min="9484" max="9484" width="16.5" style="3303" customWidth="1"/>
    <col min="9485" max="9485" width="11.25" style="3303" customWidth="1"/>
    <col min="9486" max="9486" width="11.625" style="3303" customWidth="1"/>
    <col min="9487" max="9487" width="12.875" style="3303" customWidth="1"/>
    <col min="9488" max="9488" width="11" style="3303" customWidth="1"/>
    <col min="9489" max="9489" width="10.875" style="3303" customWidth="1"/>
    <col min="9490" max="9490" width="12.25" style="3303" customWidth="1"/>
    <col min="9491" max="9491" width="14.5" style="3303" customWidth="1"/>
    <col min="9492" max="9493" width="12.75" style="3303" customWidth="1"/>
    <col min="9494" max="9494" width="13.875" style="3303" customWidth="1"/>
    <col min="9495" max="9495" width="15.25" style="3303" customWidth="1"/>
    <col min="9496" max="9499" width="15.25" style="3303" bestFit="1" customWidth="1"/>
    <col min="9500" max="9531" width="8.75" style="3303"/>
    <col min="9532" max="9563" width="9" style="3303" bestFit="1" customWidth="1"/>
    <col min="9564" max="9728" width="8.75" style="3303"/>
    <col min="9729" max="9729" width="6.375" style="3303" customWidth="1"/>
    <col min="9730" max="9730" width="8" style="3303" customWidth="1"/>
    <col min="9731" max="9731" width="14.375" style="3303" customWidth="1"/>
    <col min="9732" max="9732" width="7.375" style="3303" customWidth="1"/>
    <col min="9733" max="9733" width="5.5" style="3303" customWidth="1"/>
    <col min="9734" max="9734" width="6.5" style="3303" customWidth="1"/>
    <col min="9735" max="9735" width="6.625" style="3303" customWidth="1"/>
    <col min="9736" max="9736" width="7.25" style="3303" customWidth="1"/>
    <col min="9737" max="9737" width="14.875" style="3303" customWidth="1"/>
    <col min="9738" max="9738" width="15.25" style="3303" customWidth="1"/>
    <col min="9739" max="9739" width="16.875" style="3303" customWidth="1"/>
    <col min="9740" max="9740" width="16.5" style="3303" customWidth="1"/>
    <col min="9741" max="9741" width="11.25" style="3303" customWidth="1"/>
    <col min="9742" max="9742" width="11.625" style="3303" customWidth="1"/>
    <col min="9743" max="9743" width="12.875" style="3303" customWidth="1"/>
    <col min="9744" max="9744" width="11" style="3303" customWidth="1"/>
    <col min="9745" max="9745" width="10.875" style="3303" customWidth="1"/>
    <col min="9746" max="9746" width="12.25" style="3303" customWidth="1"/>
    <col min="9747" max="9747" width="14.5" style="3303" customWidth="1"/>
    <col min="9748" max="9749" width="12.75" style="3303" customWidth="1"/>
    <col min="9750" max="9750" width="13.875" style="3303" customWidth="1"/>
    <col min="9751" max="9751" width="15.25" style="3303" customWidth="1"/>
    <col min="9752" max="9755" width="15.25" style="3303" bestFit="1" customWidth="1"/>
    <col min="9756" max="9787" width="8.75" style="3303"/>
    <col min="9788" max="9819" width="9" style="3303" bestFit="1" customWidth="1"/>
    <col min="9820" max="9984" width="8.75" style="3303"/>
    <col min="9985" max="9985" width="6.375" style="3303" customWidth="1"/>
    <col min="9986" max="9986" width="8" style="3303" customWidth="1"/>
    <col min="9987" max="9987" width="14.375" style="3303" customWidth="1"/>
    <col min="9988" max="9988" width="7.375" style="3303" customWidth="1"/>
    <col min="9989" max="9989" width="5.5" style="3303" customWidth="1"/>
    <col min="9990" max="9990" width="6.5" style="3303" customWidth="1"/>
    <col min="9991" max="9991" width="6.625" style="3303" customWidth="1"/>
    <col min="9992" max="9992" width="7.25" style="3303" customWidth="1"/>
    <col min="9993" max="9993" width="14.875" style="3303" customWidth="1"/>
    <col min="9994" max="9994" width="15.25" style="3303" customWidth="1"/>
    <col min="9995" max="9995" width="16.875" style="3303" customWidth="1"/>
    <col min="9996" max="9996" width="16.5" style="3303" customWidth="1"/>
    <col min="9997" max="9997" width="11.25" style="3303" customWidth="1"/>
    <col min="9998" max="9998" width="11.625" style="3303" customWidth="1"/>
    <col min="9999" max="9999" width="12.875" style="3303" customWidth="1"/>
    <col min="10000" max="10000" width="11" style="3303" customWidth="1"/>
    <col min="10001" max="10001" width="10.875" style="3303" customWidth="1"/>
    <col min="10002" max="10002" width="12.25" style="3303" customWidth="1"/>
    <col min="10003" max="10003" width="14.5" style="3303" customWidth="1"/>
    <col min="10004" max="10005" width="12.75" style="3303" customWidth="1"/>
    <col min="10006" max="10006" width="13.875" style="3303" customWidth="1"/>
    <col min="10007" max="10007" width="15.25" style="3303" customWidth="1"/>
    <col min="10008" max="10011" width="15.25" style="3303" bestFit="1" customWidth="1"/>
    <col min="10012" max="10043" width="8.75" style="3303"/>
    <col min="10044" max="10075" width="9" style="3303" bestFit="1" customWidth="1"/>
    <col min="10076" max="10240" width="8.75" style="3303"/>
    <col min="10241" max="10241" width="6.375" style="3303" customWidth="1"/>
    <col min="10242" max="10242" width="8" style="3303" customWidth="1"/>
    <col min="10243" max="10243" width="14.375" style="3303" customWidth="1"/>
    <col min="10244" max="10244" width="7.375" style="3303" customWidth="1"/>
    <col min="10245" max="10245" width="5.5" style="3303" customWidth="1"/>
    <col min="10246" max="10246" width="6.5" style="3303" customWidth="1"/>
    <col min="10247" max="10247" width="6.625" style="3303" customWidth="1"/>
    <col min="10248" max="10248" width="7.25" style="3303" customWidth="1"/>
    <col min="10249" max="10249" width="14.875" style="3303" customWidth="1"/>
    <col min="10250" max="10250" width="15.25" style="3303" customWidth="1"/>
    <col min="10251" max="10251" width="16.875" style="3303" customWidth="1"/>
    <col min="10252" max="10252" width="16.5" style="3303" customWidth="1"/>
    <col min="10253" max="10253" width="11.25" style="3303" customWidth="1"/>
    <col min="10254" max="10254" width="11.625" style="3303" customWidth="1"/>
    <col min="10255" max="10255" width="12.875" style="3303" customWidth="1"/>
    <col min="10256" max="10256" width="11" style="3303" customWidth="1"/>
    <col min="10257" max="10257" width="10.875" style="3303" customWidth="1"/>
    <col min="10258" max="10258" width="12.25" style="3303" customWidth="1"/>
    <col min="10259" max="10259" width="14.5" style="3303" customWidth="1"/>
    <col min="10260" max="10261" width="12.75" style="3303" customWidth="1"/>
    <col min="10262" max="10262" width="13.875" style="3303" customWidth="1"/>
    <col min="10263" max="10263" width="15.25" style="3303" customWidth="1"/>
    <col min="10264" max="10267" width="15.25" style="3303" bestFit="1" customWidth="1"/>
    <col min="10268" max="10299" width="8.75" style="3303"/>
    <col min="10300" max="10331" width="9" style="3303" bestFit="1" customWidth="1"/>
    <col min="10332" max="10496" width="8.75" style="3303"/>
    <col min="10497" max="10497" width="6.375" style="3303" customWidth="1"/>
    <col min="10498" max="10498" width="8" style="3303" customWidth="1"/>
    <col min="10499" max="10499" width="14.375" style="3303" customWidth="1"/>
    <col min="10500" max="10500" width="7.375" style="3303" customWidth="1"/>
    <col min="10501" max="10501" width="5.5" style="3303" customWidth="1"/>
    <col min="10502" max="10502" width="6.5" style="3303" customWidth="1"/>
    <col min="10503" max="10503" width="6.625" style="3303" customWidth="1"/>
    <col min="10504" max="10504" width="7.25" style="3303" customWidth="1"/>
    <col min="10505" max="10505" width="14.875" style="3303" customWidth="1"/>
    <col min="10506" max="10506" width="15.25" style="3303" customWidth="1"/>
    <col min="10507" max="10507" width="16.875" style="3303" customWidth="1"/>
    <col min="10508" max="10508" width="16.5" style="3303" customWidth="1"/>
    <col min="10509" max="10509" width="11.25" style="3303" customWidth="1"/>
    <col min="10510" max="10510" width="11.625" style="3303" customWidth="1"/>
    <col min="10511" max="10511" width="12.875" style="3303" customWidth="1"/>
    <col min="10512" max="10512" width="11" style="3303" customWidth="1"/>
    <col min="10513" max="10513" width="10.875" style="3303" customWidth="1"/>
    <col min="10514" max="10514" width="12.25" style="3303" customWidth="1"/>
    <col min="10515" max="10515" width="14.5" style="3303" customWidth="1"/>
    <col min="10516" max="10517" width="12.75" style="3303" customWidth="1"/>
    <col min="10518" max="10518" width="13.875" style="3303" customWidth="1"/>
    <col min="10519" max="10519" width="15.25" style="3303" customWidth="1"/>
    <col min="10520" max="10523" width="15.25" style="3303" bestFit="1" customWidth="1"/>
    <col min="10524" max="10555" width="8.75" style="3303"/>
    <col min="10556" max="10587" width="9" style="3303" bestFit="1" customWidth="1"/>
    <col min="10588" max="10752" width="8.75" style="3303"/>
    <col min="10753" max="10753" width="6.375" style="3303" customWidth="1"/>
    <col min="10754" max="10754" width="8" style="3303" customWidth="1"/>
    <col min="10755" max="10755" width="14.375" style="3303" customWidth="1"/>
    <col min="10756" max="10756" width="7.375" style="3303" customWidth="1"/>
    <col min="10757" max="10757" width="5.5" style="3303" customWidth="1"/>
    <col min="10758" max="10758" width="6.5" style="3303" customWidth="1"/>
    <col min="10759" max="10759" width="6.625" style="3303" customWidth="1"/>
    <col min="10760" max="10760" width="7.25" style="3303" customWidth="1"/>
    <col min="10761" max="10761" width="14.875" style="3303" customWidth="1"/>
    <col min="10762" max="10762" width="15.25" style="3303" customWidth="1"/>
    <col min="10763" max="10763" width="16.875" style="3303" customWidth="1"/>
    <col min="10764" max="10764" width="16.5" style="3303" customWidth="1"/>
    <col min="10765" max="10765" width="11.25" style="3303" customWidth="1"/>
    <col min="10766" max="10766" width="11.625" style="3303" customWidth="1"/>
    <col min="10767" max="10767" width="12.875" style="3303" customWidth="1"/>
    <col min="10768" max="10768" width="11" style="3303" customWidth="1"/>
    <col min="10769" max="10769" width="10.875" style="3303" customWidth="1"/>
    <col min="10770" max="10770" width="12.25" style="3303" customWidth="1"/>
    <col min="10771" max="10771" width="14.5" style="3303" customWidth="1"/>
    <col min="10772" max="10773" width="12.75" style="3303" customWidth="1"/>
    <col min="10774" max="10774" width="13.875" style="3303" customWidth="1"/>
    <col min="10775" max="10775" width="15.25" style="3303" customWidth="1"/>
    <col min="10776" max="10779" width="15.25" style="3303" bestFit="1" customWidth="1"/>
    <col min="10780" max="10811" width="8.75" style="3303"/>
    <col min="10812" max="10843" width="9" style="3303" bestFit="1" customWidth="1"/>
    <col min="10844" max="11008" width="8.75" style="3303"/>
    <col min="11009" max="11009" width="6.375" style="3303" customWidth="1"/>
    <col min="11010" max="11010" width="8" style="3303" customWidth="1"/>
    <col min="11011" max="11011" width="14.375" style="3303" customWidth="1"/>
    <col min="11012" max="11012" width="7.375" style="3303" customWidth="1"/>
    <col min="11013" max="11013" width="5.5" style="3303" customWidth="1"/>
    <col min="11014" max="11014" width="6.5" style="3303" customWidth="1"/>
    <col min="11015" max="11015" width="6.625" style="3303" customWidth="1"/>
    <col min="11016" max="11016" width="7.25" style="3303" customWidth="1"/>
    <col min="11017" max="11017" width="14.875" style="3303" customWidth="1"/>
    <col min="11018" max="11018" width="15.25" style="3303" customWidth="1"/>
    <col min="11019" max="11019" width="16.875" style="3303" customWidth="1"/>
    <col min="11020" max="11020" width="16.5" style="3303" customWidth="1"/>
    <col min="11021" max="11021" width="11.25" style="3303" customWidth="1"/>
    <col min="11022" max="11022" width="11.625" style="3303" customWidth="1"/>
    <col min="11023" max="11023" width="12.875" style="3303" customWidth="1"/>
    <col min="11024" max="11024" width="11" style="3303" customWidth="1"/>
    <col min="11025" max="11025" width="10.875" style="3303" customWidth="1"/>
    <col min="11026" max="11026" width="12.25" style="3303" customWidth="1"/>
    <col min="11027" max="11027" width="14.5" style="3303" customWidth="1"/>
    <col min="11028" max="11029" width="12.75" style="3303" customWidth="1"/>
    <col min="11030" max="11030" width="13.875" style="3303" customWidth="1"/>
    <col min="11031" max="11031" width="15.25" style="3303" customWidth="1"/>
    <col min="11032" max="11035" width="15.25" style="3303" bestFit="1" customWidth="1"/>
    <col min="11036" max="11067" width="8.75" style="3303"/>
    <col min="11068" max="11099" width="9" style="3303" bestFit="1" customWidth="1"/>
    <col min="11100" max="11264" width="8.75" style="3303"/>
    <col min="11265" max="11265" width="6.375" style="3303" customWidth="1"/>
    <col min="11266" max="11266" width="8" style="3303" customWidth="1"/>
    <col min="11267" max="11267" width="14.375" style="3303" customWidth="1"/>
    <col min="11268" max="11268" width="7.375" style="3303" customWidth="1"/>
    <col min="11269" max="11269" width="5.5" style="3303" customWidth="1"/>
    <col min="11270" max="11270" width="6.5" style="3303" customWidth="1"/>
    <col min="11271" max="11271" width="6.625" style="3303" customWidth="1"/>
    <col min="11272" max="11272" width="7.25" style="3303" customWidth="1"/>
    <col min="11273" max="11273" width="14.875" style="3303" customWidth="1"/>
    <col min="11274" max="11274" width="15.25" style="3303" customWidth="1"/>
    <col min="11275" max="11275" width="16.875" style="3303" customWidth="1"/>
    <col min="11276" max="11276" width="16.5" style="3303" customWidth="1"/>
    <col min="11277" max="11277" width="11.25" style="3303" customWidth="1"/>
    <col min="11278" max="11278" width="11.625" style="3303" customWidth="1"/>
    <col min="11279" max="11279" width="12.875" style="3303" customWidth="1"/>
    <col min="11280" max="11280" width="11" style="3303" customWidth="1"/>
    <col min="11281" max="11281" width="10.875" style="3303" customWidth="1"/>
    <col min="11282" max="11282" width="12.25" style="3303" customWidth="1"/>
    <col min="11283" max="11283" width="14.5" style="3303" customWidth="1"/>
    <col min="11284" max="11285" width="12.75" style="3303" customWidth="1"/>
    <col min="11286" max="11286" width="13.875" style="3303" customWidth="1"/>
    <col min="11287" max="11287" width="15.25" style="3303" customWidth="1"/>
    <col min="11288" max="11291" width="15.25" style="3303" bestFit="1" customWidth="1"/>
    <col min="11292" max="11323" width="8.75" style="3303"/>
    <col min="11324" max="11355" width="9" style="3303" bestFit="1" customWidth="1"/>
    <col min="11356" max="11520" width="8.75" style="3303"/>
    <col min="11521" max="11521" width="6.375" style="3303" customWidth="1"/>
    <col min="11522" max="11522" width="8" style="3303" customWidth="1"/>
    <col min="11523" max="11523" width="14.375" style="3303" customWidth="1"/>
    <col min="11524" max="11524" width="7.375" style="3303" customWidth="1"/>
    <col min="11525" max="11525" width="5.5" style="3303" customWidth="1"/>
    <col min="11526" max="11526" width="6.5" style="3303" customWidth="1"/>
    <col min="11527" max="11527" width="6.625" style="3303" customWidth="1"/>
    <col min="11528" max="11528" width="7.25" style="3303" customWidth="1"/>
    <col min="11529" max="11529" width="14.875" style="3303" customWidth="1"/>
    <col min="11530" max="11530" width="15.25" style="3303" customWidth="1"/>
    <col min="11531" max="11531" width="16.875" style="3303" customWidth="1"/>
    <col min="11532" max="11532" width="16.5" style="3303" customWidth="1"/>
    <col min="11533" max="11533" width="11.25" style="3303" customWidth="1"/>
    <col min="11534" max="11534" width="11.625" style="3303" customWidth="1"/>
    <col min="11535" max="11535" width="12.875" style="3303" customWidth="1"/>
    <col min="11536" max="11536" width="11" style="3303" customWidth="1"/>
    <col min="11537" max="11537" width="10.875" style="3303" customWidth="1"/>
    <col min="11538" max="11538" width="12.25" style="3303" customWidth="1"/>
    <col min="11539" max="11539" width="14.5" style="3303" customWidth="1"/>
    <col min="11540" max="11541" width="12.75" style="3303" customWidth="1"/>
    <col min="11542" max="11542" width="13.875" style="3303" customWidth="1"/>
    <col min="11543" max="11543" width="15.25" style="3303" customWidth="1"/>
    <col min="11544" max="11547" width="15.25" style="3303" bestFit="1" customWidth="1"/>
    <col min="11548" max="11579" width="8.75" style="3303"/>
    <col min="11580" max="11611" width="9" style="3303" bestFit="1" customWidth="1"/>
    <col min="11612" max="11776" width="8.75" style="3303"/>
    <col min="11777" max="11777" width="6.375" style="3303" customWidth="1"/>
    <col min="11778" max="11778" width="8" style="3303" customWidth="1"/>
    <col min="11779" max="11779" width="14.375" style="3303" customWidth="1"/>
    <col min="11780" max="11780" width="7.375" style="3303" customWidth="1"/>
    <col min="11781" max="11781" width="5.5" style="3303" customWidth="1"/>
    <col min="11782" max="11782" width="6.5" style="3303" customWidth="1"/>
    <col min="11783" max="11783" width="6.625" style="3303" customWidth="1"/>
    <col min="11784" max="11784" width="7.25" style="3303" customWidth="1"/>
    <col min="11785" max="11785" width="14.875" style="3303" customWidth="1"/>
    <col min="11786" max="11786" width="15.25" style="3303" customWidth="1"/>
    <col min="11787" max="11787" width="16.875" style="3303" customWidth="1"/>
    <col min="11788" max="11788" width="16.5" style="3303" customWidth="1"/>
    <col min="11789" max="11789" width="11.25" style="3303" customWidth="1"/>
    <col min="11790" max="11790" width="11.625" style="3303" customWidth="1"/>
    <col min="11791" max="11791" width="12.875" style="3303" customWidth="1"/>
    <col min="11792" max="11792" width="11" style="3303" customWidth="1"/>
    <col min="11793" max="11793" width="10.875" style="3303" customWidth="1"/>
    <col min="11794" max="11794" width="12.25" style="3303" customWidth="1"/>
    <col min="11795" max="11795" width="14.5" style="3303" customWidth="1"/>
    <col min="11796" max="11797" width="12.75" style="3303" customWidth="1"/>
    <col min="11798" max="11798" width="13.875" style="3303" customWidth="1"/>
    <col min="11799" max="11799" width="15.25" style="3303" customWidth="1"/>
    <col min="11800" max="11803" width="15.25" style="3303" bestFit="1" customWidth="1"/>
    <col min="11804" max="11835" width="8.75" style="3303"/>
    <col min="11836" max="11867" width="9" style="3303" bestFit="1" customWidth="1"/>
    <col min="11868" max="12032" width="8.75" style="3303"/>
    <col min="12033" max="12033" width="6.375" style="3303" customWidth="1"/>
    <col min="12034" max="12034" width="8" style="3303" customWidth="1"/>
    <col min="12035" max="12035" width="14.375" style="3303" customWidth="1"/>
    <col min="12036" max="12036" width="7.375" style="3303" customWidth="1"/>
    <col min="12037" max="12037" width="5.5" style="3303" customWidth="1"/>
    <col min="12038" max="12038" width="6.5" style="3303" customWidth="1"/>
    <col min="12039" max="12039" width="6.625" style="3303" customWidth="1"/>
    <col min="12040" max="12040" width="7.25" style="3303" customWidth="1"/>
    <col min="12041" max="12041" width="14.875" style="3303" customWidth="1"/>
    <col min="12042" max="12042" width="15.25" style="3303" customWidth="1"/>
    <col min="12043" max="12043" width="16.875" style="3303" customWidth="1"/>
    <col min="12044" max="12044" width="16.5" style="3303" customWidth="1"/>
    <col min="12045" max="12045" width="11.25" style="3303" customWidth="1"/>
    <col min="12046" max="12046" width="11.625" style="3303" customWidth="1"/>
    <col min="12047" max="12047" width="12.875" style="3303" customWidth="1"/>
    <col min="12048" max="12048" width="11" style="3303" customWidth="1"/>
    <col min="12049" max="12049" width="10.875" style="3303" customWidth="1"/>
    <col min="12050" max="12050" width="12.25" style="3303" customWidth="1"/>
    <col min="12051" max="12051" width="14.5" style="3303" customWidth="1"/>
    <col min="12052" max="12053" width="12.75" style="3303" customWidth="1"/>
    <col min="12054" max="12054" width="13.875" style="3303" customWidth="1"/>
    <col min="12055" max="12055" width="15.25" style="3303" customWidth="1"/>
    <col min="12056" max="12059" width="15.25" style="3303" bestFit="1" customWidth="1"/>
    <col min="12060" max="12091" width="8.75" style="3303"/>
    <col min="12092" max="12123" width="9" style="3303" bestFit="1" customWidth="1"/>
    <col min="12124" max="12288" width="8.75" style="3303"/>
    <col min="12289" max="12289" width="6.375" style="3303" customWidth="1"/>
    <col min="12290" max="12290" width="8" style="3303" customWidth="1"/>
    <col min="12291" max="12291" width="14.375" style="3303" customWidth="1"/>
    <col min="12292" max="12292" width="7.375" style="3303" customWidth="1"/>
    <col min="12293" max="12293" width="5.5" style="3303" customWidth="1"/>
    <col min="12294" max="12294" width="6.5" style="3303" customWidth="1"/>
    <col min="12295" max="12295" width="6.625" style="3303" customWidth="1"/>
    <col min="12296" max="12296" width="7.25" style="3303" customWidth="1"/>
    <col min="12297" max="12297" width="14.875" style="3303" customWidth="1"/>
    <col min="12298" max="12298" width="15.25" style="3303" customWidth="1"/>
    <col min="12299" max="12299" width="16.875" style="3303" customWidth="1"/>
    <col min="12300" max="12300" width="16.5" style="3303" customWidth="1"/>
    <col min="12301" max="12301" width="11.25" style="3303" customWidth="1"/>
    <col min="12302" max="12302" width="11.625" style="3303" customWidth="1"/>
    <col min="12303" max="12303" width="12.875" style="3303" customWidth="1"/>
    <col min="12304" max="12304" width="11" style="3303" customWidth="1"/>
    <col min="12305" max="12305" width="10.875" style="3303" customWidth="1"/>
    <col min="12306" max="12306" width="12.25" style="3303" customWidth="1"/>
    <col min="12307" max="12307" width="14.5" style="3303" customWidth="1"/>
    <col min="12308" max="12309" width="12.75" style="3303" customWidth="1"/>
    <col min="12310" max="12310" width="13.875" style="3303" customWidth="1"/>
    <col min="12311" max="12311" width="15.25" style="3303" customWidth="1"/>
    <col min="12312" max="12315" width="15.25" style="3303" bestFit="1" customWidth="1"/>
    <col min="12316" max="12347" width="8.75" style="3303"/>
    <col min="12348" max="12379" width="9" style="3303" bestFit="1" customWidth="1"/>
    <col min="12380" max="12544" width="8.75" style="3303"/>
    <col min="12545" max="12545" width="6.375" style="3303" customWidth="1"/>
    <col min="12546" max="12546" width="8" style="3303" customWidth="1"/>
    <col min="12547" max="12547" width="14.375" style="3303" customWidth="1"/>
    <col min="12548" max="12548" width="7.375" style="3303" customWidth="1"/>
    <col min="12549" max="12549" width="5.5" style="3303" customWidth="1"/>
    <col min="12550" max="12550" width="6.5" style="3303" customWidth="1"/>
    <col min="12551" max="12551" width="6.625" style="3303" customWidth="1"/>
    <col min="12552" max="12552" width="7.25" style="3303" customWidth="1"/>
    <col min="12553" max="12553" width="14.875" style="3303" customWidth="1"/>
    <col min="12554" max="12554" width="15.25" style="3303" customWidth="1"/>
    <col min="12555" max="12555" width="16.875" style="3303" customWidth="1"/>
    <col min="12556" max="12556" width="16.5" style="3303" customWidth="1"/>
    <col min="12557" max="12557" width="11.25" style="3303" customWidth="1"/>
    <col min="12558" max="12558" width="11.625" style="3303" customWidth="1"/>
    <col min="12559" max="12559" width="12.875" style="3303" customWidth="1"/>
    <col min="12560" max="12560" width="11" style="3303" customWidth="1"/>
    <col min="12561" max="12561" width="10.875" style="3303" customWidth="1"/>
    <col min="12562" max="12562" width="12.25" style="3303" customWidth="1"/>
    <col min="12563" max="12563" width="14.5" style="3303" customWidth="1"/>
    <col min="12564" max="12565" width="12.75" style="3303" customWidth="1"/>
    <col min="12566" max="12566" width="13.875" style="3303" customWidth="1"/>
    <col min="12567" max="12567" width="15.25" style="3303" customWidth="1"/>
    <col min="12568" max="12571" width="15.25" style="3303" bestFit="1" customWidth="1"/>
    <col min="12572" max="12603" width="8.75" style="3303"/>
    <col min="12604" max="12635" width="9" style="3303" bestFit="1" customWidth="1"/>
    <col min="12636" max="12800" width="8.75" style="3303"/>
    <col min="12801" max="12801" width="6.375" style="3303" customWidth="1"/>
    <col min="12802" max="12802" width="8" style="3303" customWidth="1"/>
    <col min="12803" max="12803" width="14.375" style="3303" customWidth="1"/>
    <col min="12804" max="12804" width="7.375" style="3303" customWidth="1"/>
    <col min="12805" max="12805" width="5.5" style="3303" customWidth="1"/>
    <col min="12806" max="12806" width="6.5" style="3303" customWidth="1"/>
    <col min="12807" max="12807" width="6.625" style="3303" customWidth="1"/>
    <col min="12808" max="12808" width="7.25" style="3303" customWidth="1"/>
    <col min="12809" max="12809" width="14.875" style="3303" customWidth="1"/>
    <col min="12810" max="12810" width="15.25" style="3303" customWidth="1"/>
    <col min="12811" max="12811" width="16.875" style="3303" customWidth="1"/>
    <col min="12812" max="12812" width="16.5" style="3303" customWidth="1"/>
    <col min="12813" max="12813" width="11.25" style="3303" customWidth="1"/>
    <col min="12814" max="12814" width="11.625" style="3303" customWidth="1"/>
    <col min="12815" max="12815" width="12.875" style="3303" customWidth="1"/>
    <col min="12816" max="12816" width="11" style="3303" customWidth="1"/>
    <col min="12817" max="12817" width="10.875" style="3303" customWidth="1"/>
    <col min="12818" max="12818" width="12.25" style="3303" customWidth="1"/>
    <col min="12819" max="12819" width="14.5" style="3303" customWidth="1"/>
    <col min="12820" max="12821" width="12.75" style="3303" customWidth="1"/>
    <col min="12822" max="12822" width="13.875" style="3303" customWidth="1"/>
    <col min="12823" max="12823" width="15.25" style="3303" customWidth="1"/>
    <col min="12824" max="12827" width="15.25" style="3303" bestFit="1" customWidth="1"/>
    <col min="12828" max="12859" width="8.75" style="3303"/>
    <col min="12860" max="12891" width="9" style="3303" bestFit="1" customWidth="1"/>
    <col min="12892" max="13056" width="8.75" style="3303"/>
    <col min="13057" max="13057" width="6.375" style="3303" customWidth="1"/>
    <col min="13058" max="13058" width="8" style="3303" customWidth="1"/>
    <col min="13059" max="13059" width="14.375" style="3303" customWidth="1"/>
    <col min="13060" max="13060" width="7.375" style="3303" customWidth="1"/>
    <col min="13061" max="13061" width="5.5" style="3303" customWidth="1"/>
    <col min="13062" max="13062" width="6.5" style="3303" customWidth="1"/>
    <col min="13063" max="13063" width="6.625" style="3303" customWidth="1"/>
    <col min="13064" max="13064" width="7.25" style="3303" customWidth="1"/>
    <col min="13065" max="13065" width="14.875" style="3303" customWidth="1"/>
    <col min="13066" max="13066" width="15.25" style="3303" customWidth="1"/>
    <col min="13067" max="13067" width="16.875" style="3303" customWidth="1"/>
    <col min="13068" max="13068" width="16.5" style="3303" customWidth="1"/>
    <col min="13069" max="13069" width="11.25" style="3303" customWidth="1"/>
    <col min="13070" max="13070" width="11.625" style="3303" customWidth="1"/>
    <col min="13071" max="13071" width="12.875" style="3303" customWidth="1"/>
    <col min="13072" max="13072" width="11" style="3303" customWidth="1"/>
    <col min="13073" max="13073" width="10.875" style="3303" customWidth="1"/>
    <col min="13074" max="13074" width="12.25" style="3303" customWidth="1"/>
    <col min="13075" max="13075" width="14.5" style="3303" customWidth="1"/>
    <col min="13076" max="13077" width="12.75" style="3303" customWidth="1"/>
    <col min="13078" max="13078" width="13.875" style="3303" customWidth="1"/>
    <col min="13079" max="13079" width="15.25" style="3303" customWidth="1"/>
    <col min="13080" max="13083" width="15.25" style="3303" bestFit="1" customWidth="1"/>
    <col min="13084" max="13115" width="8.75" style="3303"/>
    <col min="13116" max="13147" width="9" style="3303" bestFit="1" customWidth="1"/>
    <col min="13148" max="13312" width="8.75" style="3303"/>
    <col min="13313" max="13313" width="6.375" style="3303" customWidth="1"/>
    <col min="13314" max="13314" width="8" style="3303" customWidth="1"/>
    <col min="13315" max="13315" width="14.375" style="3303" customWidth="1"/>
    <col min="13316" max="13316" width="7.375" style="3303" customWidth="1"/>
    <col min="13317" max="13317" width="5.5" style="3303" customWidth="1"/>
    <col min="13318" max="13318" width="6.5" style="3303" customWidth="1"/>
    <col min="13319" max="13319" width="6.625" style="3303" customWidth="1"/>
    <col min="13320" max="13320" width="7.25" style="3303" customWidth="1"/>
    <col min="13321" max="13321" width="14.875" style="3303" customWidth="1"/>
    <col min="13322" max="13322" width="15.25" style="3303" customWidth="1"/>
    <col min="13323" max="13323" width="16.875" style="3303" customWidth="1"/>
    <col min="13324" max="13324" width="16.5" style="3303" customWidth="1"/>
    <col min="13325" max="13325" width="11.25" style="3303" customWidth="1"/>
    <col min="13326" max="13326" width="11.625" style="3303" customWidth="1"/>
    <col min="13327" max="13327" width="12.875" style="3303" customWidth="1"/>
    <col min="13328" max="13328" width="11" style="3303" customWidth="1"/>
    <col min="13329" max="13329" width="10.875" style="3303" customWidth="1"/>
    <col min="13330" max="13330" width="12.25" style="3303" customWidth="1"/>
    <col min="13331" max="13331" width="14.5" style="3303" customWidth="1"/>
    <col min="13332" max="13333" width="12.75" style="3303" customWidth="1"/>
    <col min="13334" max="13334" width="13.875" style="3303" customWidth="1"/>
    <col min="13335" max="13335" width="15.25" style="3303" customWidth="1"/>
    <col min="13336" max="13339" width="15.25" style="3303" bestFit="1" customWidth="1"/>
    <col min="13340" max="13371" width="8.75" style="3303"/>
    <col min="13372" max="13403" width="9" style="3303" bestFit="1" customWidth="1"/>
    <col min="13404" max="13568" width="8.75" style="3303"/>
    <col min="13569" max="13569" width="6.375" style="3303" customWidth="1"/>
    <col min="13570" max="13570" width="8" style="3303" customWidth="1"/>
    <col min="13571" max="13571" width="14.375" style="3303" customWidth="1"/>
    <col min="13572" max="13572" width="7.375" style="3303" customWidth="1"/>
    <col min="13573" max="13573" width="5.5" style="3303" customWidth="1"/>
    <col min="13574" max="13574" width="6.5" style="3303" customWidth="1"/>
    <col min="13575" max="13575" width="6.625" style="3303" customWidth="1"/>
    <col min="13576" max="13576" width="7.25" style="3303" customWidth="1"/>
    <col min="13577" max="13577" width="14.875" style="3303" customWidth="1"/>
    <col min="13578" max="13578" width="15.25" style="3303" customWidth="1"/>
    <col min="13579" max="13579" width="16.875" style="3303" customWidth="1"/>
    <col min="13580" max="13580" width="16.5" style="3303" customWidth="1"/>
    <col min="13581" max="13581" width="11.25" style="3303" customWidth="1"/>
    <col min="13582" max="13582" width="11.625" style="3303" customWidth="1"/>
    <col min="13583" max="13583" width="12.875" style="3303" customWidth="1"/>
    <col min="13584" max="13584" width="11" style="3303" customWidth="1"/>
    <col min="13585" max="13585" width="10.875" style="3303" customWidth="1"/>
    <col min="13586" max="13586" width="12.25" style="3303" customWidth="1"/>
    <col min="13587" max="13587" width="14.5" style="3303" customWidth="1"/>
    <col min="13588" max="13589" width="12.75" style="3303" customWidth="1"/>
    <col min="13590" max="13590" width="13.875" style="3303" customWidth="1"/>
    <col min="13591" max="13591" width="15.25" style="3303" customWidth="1"/>
    <col min="13592" max="13595" width="15.25" style="3303" bestFit="1" customWidth="1"/>
    <col min="13596" max="13627" width="8.75" style="3303"/>
    <col min="13628" max="13659" width="9" style="3303" bestFit="1" customWidth="1"/>
    <col min="13660" max="13824" width="8.75" style="3303"/>
    <col min="13825" max="13825" width="6.375" style="3303" customWidth="1"/>
    <col min="13826" max="13826" width="8" style="3303" customWidth="1"/>
    <col min="13827" max="13827" width="14.375" style="3303" customWidth="1"/>
    <col min="13828" max="13828" width="7.375" style="3303" customWidth="1"/>
    <col min="13829" max="13829" width="5.5" style="3303" customWidth="1"/>
    <col min="13830" max="13830" width="6.5" style="3303" customWidth="1"/>
    <col min="13831" max="13831" width="6.625" style="3303" customWidth="1"/>
    <col min="13832" max="13832" width="7.25" style="3303" customWidth="1"/>
    <col min="13833" max="13833" width="14.875" style="3303" customWidth="1"/>
    <col min="13834" max="13834" width="15.25" style="3303" customWidth="1"/>
    <col min="13835" max="13835" width="16.875" style="3303" customWidth="1"/>
    <col min="13836" max="13836" width="16.5" style="3303" customWidth="1"/>
    <col min="13837" max="13837" width="11.25" style="3303" customWidth="1"/>
    <col min="13838" max="13838" width="11.625" style="3303" customWidth="1"/>
    <col min="13839" max="13839" width="12.875" style="3303" customWidth="1"/>
    <col min="13840" max="13840" width="11" style="3303" customWidth="1"/>
    <col min="13841" max="13841" width="10.875" style="3303" customWidth="1"/>
    <col min="13842" max="13842" width="12.25" style="3303" customWidth="1"/>
    <col min="13843" max="13843" width="14.5" style="3303" customWidth="1"/>
    <col min="13844" max="13845" width="12.75" style="3303" customWidth="1"/>
    <col min="13846" max="13846" width="13.875" style="3303" customWidth="1"/>
    <col min="13847" max="13847" width="15.25" style="3303" customWidth="1"/>
    <col min="13848" max="13851" width="15.25" style="3303" bestFit="1" customWidth="1"/>
    <col min="13852" max="13883" width="8.75" style="3303"/>
    <col min="13884" max="13915" width="9" style="3303" bestFit="1" customWidth="1"/>
    <col min="13916" max="14080" width="8.75" style="3303"/>
    <col min="14081" max="14081" width="6.375" style="3303" customWidth="1"/>
    <col min="14082" max="14082" width="8" style="3303" customWidth="1"/>
    <col min="14083" max="14083" width="14.375" style="3303" customWidth="1"/>
    <col min="14084" max="14084" width="7.375" style="3303" customWidth="1"/>
    <col min="14085" max="14085" width="5.5" style="3303" customWidth="1"/>
    <col min="14086" max="14086" width="6.5" style="3303" customWidth="1"/>
    <col min="14087" max="14087" width="6.625" style="3303" customWidth="1"/>
    <col min="14088" max="14088" width="7.25" style="3303" customWidth="1"/>
    <col min="14089" max="14089" width="14.875" style="3303" customWidth="1"/>
    <col min="14090" max="14090" width="15.25" style="3303" customWidth="1"/>
    <col min="14091" max="14091" width="16.875" style="3303" customWidth="1"/>
    <col min="14092" max="14092" width="16.5" style="3303" customWidth="1"/>
    <col min="14093" max="14093" width="11.25" style="3303" customWidth="1"/>
    <col min="14094" max="14094" width="11.625" style="3303" customWidth="1"/>
    <col min="14095" max="14095" width="12.875" style="3303" customWidth="1"/>
    <col min="14096" max="14096" width="11" style="3303" customWidth="1"/>
    <col min="14097" max="14097" width="10.875" style="3303" customWidth="1"/>
    <col min="14098" max="14098" width="12.25" style="3303" customWidth="1"/>
    <col min="14099" max="14099" width="14.5" style="3303" customWidth="1"/>
    <col min="14100" max="14101" width="12.75" style="3303" customWidth="1"/>
    <col min="14102" max="14102" width="13.875" style="3303" customWidth="1"/>
    <col min="14103" max="14103" width="15.25" style="3303" customWidth="1"/>
    <col min="14104" max="14107" width="15.25" style="3303" bestFit="1" customWidth="1"/>
    <col min="14108" max="14139" width="8.75" style="3303"/>
    <col min="14140" max="14171" width="9" style="3303" bestFit="1" customWidth="1"/>
    <col min="14172" max="14336" width="8.75" style="3303"/>
    <col min="14337" max="14337" width="6.375" style="3303" customWidth="1"/>
    <col min="14338" max="14338" width="8" style="3303" customWidth="1"/>
    <col min="14339" max="14339" width="14.375" style="3303" customWidth="1"/>
    <col min="14340" max="14340" width="7.375" style="3303" customWidth="1"/>
    <col min="14341" max="14341" width="5.5" style="3303" customWidth="1"/>
    <col min="14342" max="14342" width="6.5" style="3303" customWidth="1"/>
    <col min="14343" max="14343" width="6.625" style="3303" customWidth="1"/>
    <col min="14344" max="14344" width="7.25" style="3303" customWidth="1"/>
    <col min="14345" max="14345" width="14.875" style="3303" customWidth="1"/>
    <col min="14346" max="14346" width="15.25" style="3303" customWidth="1"/>
    <col min="14347" max="14347" width="16.875" style="3303" customWidth="1"/>
    <col min="14348" max="14348" width="16.5" style="3303" customWidth="1"/>
    <col min="14349" max="14349" width="11.25" style="3303" customWidth="1"/>
    <col min="14350" max="14350" width="11.625" style="3303" customWidth="1"/>
    <col min="14351" max="14351" width="12.875" style="3303" customWidth="1"/>
    <col min="14352" max="14352" width="11" style="3303" customWidth="1"/>
    <col min="14353" max="14353" width="10.875" style="3303" customWidth="1"/>
    <col min="14354" max="14354" width="12.25" style="3303" customWidth="1"/>
    <col min="14355" max="14355" width="14.5" style="3303" customWidth="1"/>
    <col min="14356" max="14357" width="12.75" style="3303" customWidth="1"/>
    <col min="14358" max="14358" width="13.875" style="3303" customWidth="1"/>
    <col min="14359" max="14359" width="15.25" style="3303" customWidth="1"/>
    <col min="14360" max="14363" width="15.25" style="3303" bestFit="1" customWidth="1"/>
    <col min="14364" max="14395" width="8.75" style="3303"/>
    <col min="14396" max="14427" width="9" style="3303" bestFit="1" customWidth="1"/>
    <col min="14428" max="14592" width="8.75" style="3303"/>
    <col min="14593" max="14593" width="6.375" style="3303" customWidth="1"/>
    <col min="14594" max="14594" width="8" style="3303" customWidth="1"/>
    <col min="14595" max="14595" width="14.375" style="3303" customWidth="1"/>
    <col min="14596" max="14596" width="7.375" style="3303" customWidth="1"/>
    <col min="14597" max="14597" width="5.5" style="3303" customWidth="1"/>
    <col min="14598" max="14598" width="6.5" style="3303" customWidth="1"/>
    <col min="14599" max="14599" width="6.625" style="3303" customWidth="1"/>
    <col min="14600" max="14600" width="7.25" style="3303" customWidth="1"/>
    <col min="14601" max="14601" width="14.875" style="3303" customWidth="1"/>
    <col min="14602" max="14602" width="15.25" style="3303" customWidth="1"/>
    <col min="14603" max="14603" width="16.875" style="3303" customWidth="1"/>
    <col min="14604" max="14604" width="16.5" style="3303" customWidth="1"/>
    <col min="14605" max="14605" width="11.25" style="3303" customWidth="1"/>
    <col min="14606" max="14606" width="11.625" style="3303" customWidth="1"/>
    <col min="14607" max="14607" width="12.875" style="3303" customWidth="1"/>
    <col min="14608" max="14608" width="11" style="3303" customWidth="1"/>
    <col min="14609" max="14609" width="10.875" style="3303" customWidth="1"/>
    <col min="14610" max="14610" width="12.25" style="3303" customWidth="1"/>
    <col min="14611" max="14611" width="14.5" style="3303" customWidth="1"/>
    <col min="14612" max="14613" width="12.75" style="3303" customWidth="1"/>
    <col min="14614" max="14614" width="13.875" style="3303" customWidth="1"/>
    <col min="14615" max="14615" width="15.25" style="3303" customWidth="1"/>
    <col min="14616" max="14619" width="15.25" style="3303" bestFit="1" customWidth="1"/>
    <col min="14620" max="14651" width="8.75" style="3303"/>
    <col min="14652" max="14683" width="9" style="3303" bestFit="1" customWidth="1"/>
    <col min="14684" max="14848" width="8.75" style="3303"/>
    <col min="14849" max="14849" width="6.375" style="3303" customWidth="1"/>
    <col min="14850" max="14850" width="8" style="3303" customWidth="1"/>
    <col min="14851" max="14851" width="14.375" style="3303" customWidth="1"/>
    <col min="14852" max="14852" width="7.375" style="3303" customWidth="1"/>
    <col min="14853" max="14853" width="5.5" style="3303" customWidth="1"/>
    <col min="14854" max="14854" width="6.5" style="3303" customWidth="1"/>
    <col min="14855" max="14855" width="6.625" style="3303" customWidth="1"/>
    <col min="14856" max="14856" width="7.25" style="3303" customWidth="1"/>
    <col min="14857" max="14857" width="14.875" style="3303" customWidth="1"/>
    <col min="14858" max="14858" width="15.25" style="3303" customWidth="1"/>
    <col min="14859" max="14859" width="16.875" style="3303" customWidth="1"/>
    <col min="14860" max="14860" width="16.5" style="3303" customWidth="1"/>
    <col min="14861" max="14861" width="11.25" style="3303" customWidth="1"/>
    <col min="14862" max="14862" width="11.625" style="3303" customWidth="1"/>
    <col min="14863" max="14863" width="12.875" style="3303" customWidth="1"/>
    <col min="14864" max="14864" width="11" style="3303" customWidth="1"/>
    <col min="14865" max="14865" width="10.875" style="3303" customWidth="1"/>
    <col min="14866" max="14866" width="12.25" style="3303" customWidth="1"/>
    <col min="14867" max="14867" width="14.5" style="3303" customWidth="1"/>
    <col min="14868" max="14869" width="12.75" style="3303" customWidth="1"/>
    <col min="14870" max="14870" width="13.875" style="3303" customWidth="1"/>
    <col min="14871" max="14871" width="15.25" style="3303" customWidth="1"/>
    <col min="14872" max="14875" width="15.25" style="3303" bestFit="1" customWidth="1"/>
    <col min="14876" max="14907" width="8.75" style="3303"/>
    <col min="14908" max="14939" width="9" style="3303" bestFit="1" customWidth="1"/>
    <col min="14940" max="15104" width="8.75" style="3303"/>
    <col min="15105" max="15105" width="6.375" style="3303" customWidth="1"/>
    <col min="15106" max="15106" width="8" style="3303" customWidth="1"/>
    <col min="15107" max="15107" width="14.375" style="3303" customWidth="1"/>
    <col min="15108" max="15108" width="7.375" style="3303" customWidth="1"/>
    <col min="15109" max="15109" width="5.5" style="3303" customWidth="1"/>
    <col min="15110" max="15110" width="6.5" style="3303" customWidth="1"/>
    <col min="15111" max="15111" width="6.625" style="3303" customWidth="1"/>
    <col min="15112" max="15112" width="7.25" style="3303" customWidth="1"/>
    <col min="15113" max="15113" width="14.875" style="3303" customWidth="1"/>
    <col min="15114" max="15114" width="15.25" style="3303" customWidth="1"/>
    <col min="15115" max="15115" width="16.875" style="3303" customWidth="1"/>
    <col min="15116" max="15116" width="16.5" style="3303" customWidth="1"/>
    <col min="15117" max="15117" width="11.25" style="3303" customWidth="1"/>
    <col min="15118" max="15118" width="11.625" style="3303" customWidth="1"/>
    <col min="15119" max="15119" width="12.875" style="3303" customWidth="1"/>
    <col min="15120" max="15120" width="11" style="3303" customWidth="1"/>
    <col min="15121" max="15121" width="10.875" style="3303" customWidth="1"/>
    <col min="15122" max="15122" width="12.25" style="3303" customWidth="1"/>
    <col min="15123" max="15123" width="14.5" style="3303" customWidth="1"/>
    <col min="15124" max="15125" width="12.75" style="3303" customWidth="1"/>
    <col min="15126" max="15126" width="13.875" style="3303" customWidth="1"/>
    <col min="15127" max="15127" width="15.25" style="3303" customWidth="1"/>
    <col min="15128" max="15131" width="15.25" style="3303" bestFit="1" customWidth="1"/>
    <col min="15132" max="15163" width="8.75" style="3303"/>
    <col min="15164" max="15195" width="9" style="3303" bestFit="1" customWidth="1"/>
    <col min="15196" max="15360" width="8.75" style="3303"/>
    <col min="15361" max="15361" width="6.375" style="3303" customWidth="1"/>
    <col min="15362" max="15362" width="8" style="3303" customWidth="1"/>
    <col min="15363" max="15363" width="14.375" style="3303" customWidth="1"/>
    <col min="15364" max="15364" width="7.375" style="3303" customWidth="1"/>
    <col min="15365" max="15365" width="5.5" style="3303" customWidth="1"/>
    <col min="15366" max="15366" width="6.5" style="3303" customWidth="1"/>
    <col min="15367" max="15367" width="6.625" style="3303" customWidth="1"/>
    <col min="15368" max="15368" width="7.25" style="3303" customWidth="1"/>
    <col min="15369" max="15369" width="14.875" style="3303" customWidth="1"/>
    <col min="15370" max="15370" width="15.25" style="3303" customWidth="1"/>
    <col min="15371" max="15371" width="16.875" style="3303" customWidth="1"/>
    <col min="15372" max="15372" width="16.5" style="3303" customWidth="1"/>
    <col min="15373" max="15373" width="11.25" style="3303" customWidth="1"/>
    <col min="15374" max="15374" width="11.625" style="3303" customWidth="1"/>
    <col min="15375" max="15375" width="12.875" style="3303" customWidth="1"/>
    <col min="15376" max="15376" width="11" style="3303" customWidth="1"/>
    <col min="15377" max="15377" width="10.875" style="3303" customWidth="1"/>
    <col min="15378" max="15378" width="12.25" style="3303" customWidth="1"/>
    <col min="15379" max="15379" width="14.5" style="3303" customWidth="1"/>
    <col min="15380" max="15381" width="12.75" style="3303" customWidth="1"/>
    <col min="15382" max="15382" width="13.875" style="3303" customWidth="1"/>
    <col min="15383" max="15383" width="15.25" style="3303" customWidth="1"/>
    <col min="15384" max="15387" width="15.25" style="3303" bestFit="1" customWidth="1"/>
    <col min="15388" max="15419" width="8.75" style="3303"/>
    <col min="15420" max="15451" width="9" style="3303" bestFit="1" customWidth="1"/>
    <col min="15452" max="15616" width="8.75" style="3303"/>
    <col min="15617" max="15617" width="6.375" style="3303" customWidth="1"/>
    <col min="15618" max="15618" width="8" style="3303" customWidth="1"/>
    <col min="15619" max="15619" width="14.375" style="3303" customWidth="1"/>
    <col min="15620" max="15620" width="7.375" style="3303" customWidth="1"/>
    <col min="15621" max="15621" width="5.5" style="3303" customWidth="1"/>
    <col min="15622" max="15622" width="6.5" style="3303" customWidth="1"/>
    <col min="15623" max="15623" width="6.625" style="3303" customWidth="1"/>
    <col min="15624" max="15624" width="7.25" style="3303" customWidth="1"/>
    <col min="15625" max="15625" width="14.875" style="3303" customWidth="1"/>
    <col min="15626" max="15626" width="15.25" style="3303" customWidth="1"/>
    <col min="15627" max="15627" width="16.875" style="3303" customWidth="1"/>
    <col min="15628" max="15628" width="16.5" style="3303" customWidth="1"/>
    <col min="15629" max="15629" width="11.25" style="3303" customWidth="1"/>
    <col min="15630" max="15630" width="11.625" style="3303" customWidth="1"/>
    <col min="15631" max="15631" width="12.875" style="3303" customWidth="1"/>
    <col min="15632" max="15632" width="11" style="3303" customWidth="1"/>
    <col min="15633" max="15633" width="10.875" style="3303" customWidth="1"/>
    <col min="15634" max="15634" width="12.25" style="3303" customWidth="1"/>
    <col min="15635" max="15635" width="14.5" style="3303" customWidth="1"/>
    <col min="15636" max="15637" width="12.75" style="3303" customWidth="1"/>
    <col min="15638" max="15638" width="13.875" style="3303" customWidth="1"/>
    <col min="15639" max="15639" width="15.25" style="3303" customWidth="1"/>
    <col min="15640" max="15643" width="15.25" style="3303" bestFit="1" customWidth="1"/>
    <col min="15644" max="15675" width="8.75" style="3303"/>
    <col min="15676" max="15707" width="9" style="3303" bestFit="1" customWidth="1"/>
    <col min="15708" max="15872" width="8.75" style="3303"/>
    <col min="15873" max="15873" width="6.375" style="3303" customWidth="1"/>
    <col min="15874" max="15874" width="8" style="3303" customWidth="1"/>
    <col min="15875" max="15875" width="14.375" style="3303" customWidth="1"/>
    <col min="15876" max="15876" width="7.375" style="3303" customWidth="1"/>
    <col min="15877" max="15877" width="5.5" style="3303" customWidth="1"/>
    <col min="15878" max="15878" width="6.5" style="3303" customWidth="1"/>
    <col min="15879" max="15879" width="6.625" style="3303" customWidth="1"/>
    <col min="15880" max="15880" width="7.25" style="3303" customWidth="1"/>
    <col min="15881" max="15881" width="14.875" style="3303" customWidth="1"/>
    <col min="15882" max="15882" width="15.25" style="3303" customWidth="1"/>
    <col min="15883" max="15883" width="16.875" style="3303" customWidth="1"/>
    <col min="15884" max="15884" width="16.5" style="3303" customWidth="1"/>
    <col min="15885" max="15885" width="11.25" style="3303" customWidth="1"/>
    <col min="15886" max="15886" width="11.625" style="3303" customWidth="1"/>
    <col min="15887" max="15887" width="12.875" style="3303" customWidth="1"/>
    <col min="15888" max="15888" width="11" style="3303" customWidth="1"/>
    <col min="15889" max="15889" width="10.875" style="3303" customWidth="1"/>
    <col min="15890" max="15890" width="12.25" style="3303" customWidth="1"/>
    <col min="15891" max="15891" width="14.5" style="3303" customWidth="1"/>
    <col min="15892" max="15893" width="12.75" style="3303" customWidth="1"/>
    <col min="15894" max="15894" width="13.875" style="3303" customWidth="1"/>
    <col min="15895" max="15895" width="15.25" style="3303" customWidth="1"/>
    <col min="15896" max="15899" width="15.25" style="3303" bestFit="1" customWidth="1"/>
    <col min="15900" max="15931" width="8.75" style="3303"/>
    <col min="15932" max="15963" width="9" style="3303" bestFit="1" customWidth="1"/>
    <col min="15964" max="16128" width="8.75" style="3303"/>
    <col min="16129" max="16129" width="6.375" style="3303" customWidth="1"/>
    <col min="16130" max="16130" width="8" style="3303" customWidth="1"/>
    <col min="16131" max="16131" width="14.375" style="3303" customWidth="1"/>
    <col min="16132" max="16132" width="7.375" style="3303" customWidth="1"/>
    <col min="16133" max="16133" width="5.5" style="3303" customWidth="1"/>
    <col min="16134" max="16134" width="6.5" style="3303" customWidth="1"/>
    <col min="16135" max="16135" width="6.625" style="3303" customWidth="1"/>
    <col min="16136" max="16136" width="7.25" style="3303" customWidth="1"/>
    <col min="16137" max="16137" width="14.875" style="3303" customWidth="1"/>
    <col min="16138" max="16138" width="15.25" style="3303" customWidth="1"/>
    <col min="16139" max="16139" width="16.875" style="3303" customWidth="1"/>
    <col min="16140" max="16140" width="16.5" style="3303" customWidth="1"/>
    <col min="16141" max="16141" width="11.25" style="3303" customWidth="1"/>
    <col min="16142" max="16142" width="11.625" style="3303" customWidth="1"/>
    <col min="16143" max="16143" width="12.875" style="3303" customWidth="1"/>
    <col min="16144" max="16144" width="11" style="3303" customWidth="1"/>
    <col min="16145" max="16145" width="10.875" style="3303" customWidth="1"/>
    <col min="16146" max="16146" width="12.25" style="3303" customWidth="1"/>
    <col min="16147" max="16147" width="14.5" style="3303" customWidth="1"/>
    <col min="16148" max="16149" width="12.75" style="3303" customWidth="1"/>
    <col min="16150" max="16150" width="13.875" style="3303" customWidth="1"/>
    <col min="16151" max="16151" width="15.25" style="3303" customWidth="1"/>
    <col min="16152" max="16155" width="15.25" style="3303" bestFit="1" customWidth="1"/>
    <col min="16156" max="16187" width="8.75" style="3303"/>
    <col min="16188" max="16219" width="9" style="3303" bestFit="1" customWidth="1"/>
    <col min="16220" max="16384" width="8.75" style="3303"/>
  </cols>
  <sheetData>
    <row r="1" spans="1:80" ht="52.5" customHeight="1">
      <c r="A1" s="3471" t="s">
        <v>3236</v>
      </c>
      <c r="B1" s="3471"/>
      <c r="C1" s="3471"/>
      <c r="D1" s="3471"/>
      <c r="E1" s="3471"/>
      <c r="F1" s="3471"/>
      <c r="G1" s="3471"/>
      <c r="H1" s="3471"/>
      <c r="I1" s="3471"/>
      <c r="J1" s="3471"/>
      <c r="K1" s="3471"/>
      <c r="L1" s="3471"/>
      <c r="M1" s="3471"/>
      <c r="N1" s="3471"/>
      <c r="O1" s="3471"/>
      <c r="P1" s="3471"/>
      <c r="Q1" s="3471"/>
      <c r="R1" s="3471"/>
      <c r="S1" s="3471"/>
      <c r="T1" s="3471"/>
      <c r="U1" s="3471"/>
      <c r="V1" s="3471"/>
      <c r="W1" s="3471"/>
    </row>
    <row r="2" spans="1:80" ht="36" customHeight="1">
      <c r="A2" s="3470" t="s">
        <v>2375</v>
      </c>
      <c r="B2" s="3472" t="s">
        <v>3203</v>
      </c>
      <c r="C2" s="3470" t="s">
        <v>3204</v>
      </c>
      <c r="D2" s="3470" t="s">
        <v>3205</v>
      </c>
      <c r="E2" s="3470" t="s">
        <v>3206</v>
      </c>
      <c r="F2" s="3470" t="s">
        <v>3207</v>
      </c>
      <c r="G2" s="3470" t="s">
        <v>3208</v>
      </c>
      <c r="H2" s="3470" t="s">
        <v>3209</v>
      </c>
      <c r="I2" s="3464" t="s">
        <v>3210</v>
      </c>
      <c r="J2" s="3464"/>
      <c r="K2" s="3464" t="s">
        <v>3211</v>
      </c>
      <c r="L2" s="3464"/>
      <c r="M2" s="3465" t="s">
        <v>2032</v>
      </c>
      <c r="N2" s="3466" t="s">
        <v>3212</v>
      </c>
      <c r="O2" s="3467"/>
      <c r="P2" s="3467"/>
      <c r="Q2" s="3468"/>
      <c r="R2" s="3469" t="s">
        <v>3213</v>
      </c>
      <c r="S2" s="3469"/>
      <c r="T2" s="3470" t="s">
        <v>3214</v>
      </c>
      <c r="U2" s="3470"/>
      <c r="V2" s="3470" t="s">
        <v>3215</v>
      </c>
      <c r="W2" s="3470"/>
    </row>
    <row r="3" spans="1:80" ht="127.5" customHeight="1">
      <c r="A3" s="3470"/>
      <c r="B3" s="3472"/>
      <c r="C3" s="3470"/>
      <c r="D3" s="3470"/>
      <c r="E3" s="3470"/>
      <c r="F3" s="3470"/>
      <c r="G3" s="3470"/>
      <c r="H3" s="3470"/>
      <c r="I3" s="3304" t="s">
        <v>3216</v>
      </c>
      <c r="J3" s="3304" t="s">
        <v>3217</v>
      </c>
      <c r="K3" s="3304" t="s">
        <v>3218</v>
      </c>
      <c r="L3" s="3304" t="s">
        <v>3219</v>
      </c>
      <c r="M3" s="3465"/>
      <c r="N3" s="3304" t="s">
        <v>3220</v>
      </c>
      <c r="O3" s="3305" t="s">
        <v>3221</v>
      </c>
      <c r="P3" s="3305" t="s">
        <v>3222</v>
      </c>
      <c r="Q3" s="3305" t="s">
        <v>3223</v>
      </c>
      <c r="R3" s="3306" t="s">
        <v>3224</v>
      </c>
      <c r="S3" s="3306" t="s">
        <v>3225</v>
      </c>
      <c r="T3" s="3305" t="s">
        <v>3226</v>
      </c>
      <c r="U3" s="3305" t="s">
        <v>3227</v>
      </c>
      <c r="V3" s="3304" t="s">
        <v>3228</v>
      </c>
      <c r="W3" s="3307" t="s">
        <v>3229</v>
      </c>
    </row>
    <row r="4" spans="1:80" s="3313" customFormat="1" ht="349.5" customHeight="1">
      <c r="A4" s="3308">
        <v>1</v>
      </c>
      <c r="B4" s="3308" t="s">
        <v>3235</v>
      </c>
      <c r="C4" s="3308" t="s">
        <v>3237</v>
      </c>
      <c r="D4" s="3308" t="s">
        <v>3230</v>
      </c>
      <c r="E4" s="3308" t="s">
        <v>3238</v>
      </c>
      <c r="F4" s="3308" t="s">
        <v>3239</v>
      </c>
      <c r="G4" s="3308" t="s">
        <v>3231</v>
      </c>
      <c r="H4" s="3308" t="s">
        <v>3240</v>
      </c>
      <c r="I4" s="3309">
        <v>64531.281999999999</v>
      </c>
      <c r="J4" s="3309">
        <f>I4</f>
        <v>64531.281999999999</v>
      </c>
      <c r="K4" s="3309">
        <v>124382</v>
      </c>
      <c r="L4" s="3309">
        <f>121262-600</f>
        <v>120662</v>
      </c>
      <c r="M4" s="3310" t="s">
        <v>3244</v>
      </c>
      <c r="N4" s="3308" t="s">
        <v>3246</v>
      </c>
      <c r="O4" s="3310" t="s">
        <v>3245</v>
      </c>
      <c r="P4" s="3308" t="s">
        <v>3242</v>
      </c>
      <c r="Q4" s="3308" t="s">
        <v>3243</v>
      </c>
      <c r="R4" s="3308" t="s">
        <v>3257</v>
      </c>
      <c r="S4" s="3308" t="s">
        <v>3258</v>
      </c>
      <c r="T4" s="3308" t="s">
        <v>3259</v>
      </c>
      <c r="U4" s="3308" t="s">
        <v>3260</v>
      </c>
      <c r="V4" s="3311">
        <f>W4/K4*10000</f>
        <v>10507.162611953498</v>
      </c>
      <c r="W4" s="3309">
        <f>130354.62+335.57</f>
        <v>130690.19</v>
      </c>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12"/>
      <c r="BB4" s="3312"/>
      <c r="BC4" s="3312"/>
      <c r="BD4" s="3312"/>
      <c r="BE4" s="3312"/>
      <c r="BF4" s="3312"/>
      <c r="BG4" s="3312"/>
      <c r="BH4" s="3312"/>
      <c r="BI4" s="3312"/>
      <c r="BJ4" s="3312"/>
      <c r="BK4" s="3312"/>
      <c r="BL4" s="3312"/>
      <c r="BM4" s="3312"/>
      <c r="BN4" s="3312"/>
      <c r="BO4" s="3312"/>
      <c r="BP4" s="3312"/>
      <c r="BQ4" s="3312"/>
      <c r="BR4" s="3312"/>
      <c r="BS4" s="3312"/>
      <c r="BT4" s="3312"/>
      <c r="BU4" s="3312"/>
      <c r="BV4" s="3312"/>
      <c r="BW4" s="3312"/>
      <c r="BX4" s="3312"/>
      <c r="BY4" s="3312"/>
      <c r="BZ4" s="3312"/>
      <c r="CA4" s="3312"/>
      <c r="CB4" s="3312"/>
    </row>
    <row r="5" spans="1:80" s="3313" customFormat="1" ht="47.25" customHeight="1">
      <c r="A5" s="3462" t="s">
        <v>3232</v>
      </c>
      <c r="B5" s="3462"/>
      <c r="C5" s="3462"/>
      <c r="D5" s="3462"/>
      <c r="E5" s="3462"/>
      <c r="F5" s="3462"/>
      <c r="G5" s="3462"/>
      <c r="H5" s="3462"/>
      <c r="I5" s="3463" t="s">
        <v>3233</v>
      </c>
      <c r="J5" s="3463"/>
      <c r="K5" s="3463"/>
      <c r="L5" s="3463"/>
      <c r="M5" s="3463"/>
      <c r="N5" s="3463"/>
      <c r="O5" s="3463"/>
      <c r="P5" s="3462" t="s">
        <v>3234</v>
      </c>
      <c r="Q5" s="3462"/>
      <c r="R5" s="3462"/>
      <c r="S5" s="3462"/>
      <c r="T5" s="3462"/>
      <c r="U5" s="3462"/>
      <c r="V5" s="3462"/>
      <c r="W5" s="3462"/>
      <c r="X5" s="3312"/>
      <c r="Y5" s="3312"/>
      <c r="Z5" s="3312"/>
      <c r="AA5" s="3312"/>
      <c r="AB5" s="3312"/>
      <c r="AC5" s="3312"/>
      <c r="AD5" s="3312"/>
      <c r="AE5" s="3312"/>
      <c r="AF5" s="3312"/>
      <c r="AG5" s="3312"/>
      <c r="AH5" s="3312"/>
      <c r="AI5" s="3312"/>
      <c r="AJ5" s="3312"/>
      <c r="AK5" s="3312"/>
      <c r="AL5" s="3312"/>
      <c r="AM5" s="3312"/>
      <c r="AN5" s="3312"/>
      <c r="AO5" s="3312"/>
      <c r="AP5" s="3312"/>
      <c r="AQ5" s="3312"/>
      <c r="AR5" s="3312"/>
      <c r="AS5" s="3312"/>
      <c r="AT5" s="3312"/>
      <c r="AU5" s="3312"/>
      <c r="AV5" s="3312"/>
      <c r="AW5" s="3312"/>
      <c r="AX5" s="3312"/>
      <c r="AY5" s="3312"/>
      <c r="AZ5" s="3312"/>
      <c r="BA5" s="3312"/>
      <c r="BB5" s="3312"/>
      <c r="BC5" s="3312"/>
      <c r="BD5" s="3312"/>
      <c r="BE5" s="3312"/>
      <c r="BF5" s="3312"/>
      <c r="BG5" s="3312"/>
      <c r="BH5" s="3312"/>
      <c r="BI5" s="3312"/>
      <c r="BJ5" s="3312"/>
      <c r="BK5" s="3312"/>
      <c r="BL5" s="3312"/>
      <c r="BM5" s="3312"/>
      <c r="BN5" s="3312"/>
      <c r="BO5" s="3312"/>
      <c r="BP5" s="3312"/>
      <c r="BQ5" s="3312"/>
      <c r="BR5" s="3312"/>
      <c r="BS5" s="3312"/>
      <c r="BT5" s="3312"/>
      <c r="BU5" s="3312"/>
      <c r="BV5" s="3312"/>
      <c r="BW5" s="3312"/>
      <c r="BX5" s="3312"/>
      <c r="BY5" s="3312"/>
      <c r="BZ5" s="3312"/>
      <c r="CA5" s="3312"/>
      <c r="CB5" s="3312"/>
    </row>
    <row r="6" spans="1:80" s="3302" customFormat="1">
      <c r="H6" s="3314"/>
      <c r="I6" s="3315"/>
      <c r="J6" s="3315"/>
      <c r="K6" s="3315"/>
      <c r="L6" s="3315"/>
      <c r="M6" s="3316"/>
      <c r="V6" s="3315"/>
      <c r="W6" s="3317"/>
    </row>
    <row r="7" spans="1:80" s="3302" customFormat="1">
      <c r="H7" s="3314"/>
      <c r="I7" s="3315"/>
      <c r="J7" s="3315"/>
      <c r="K7" s="3315"/>
      <c r="L7" s="3315"/>
      <c r="M7" s="3316"/>
      <c r="V7" s="3315"/>
      <c r="W7" s="3317"/>
    </row>
    <row r="8" spans="1:80" s="3302" customFormat="1">
      <c r="H8" s="3314"/>
      <c r="I8" s="3315"/>
      <c r="J8" s="3315"/>
      <c r="K8" s="3315"/>
      <c r="L8" s="3315"/>
      <c r="M8" s="3316"/>
      <c r="V8" s="3315"/>
      <c r="W8" s="3317"/>
    </row>
  </sheetData>
  <mergeCells count="19">
    <mergeCell ref="A1:W1"/>
    <mergeCell ref="A2:A3"/>
    <mergeCell ref="B2:B3"/>
    <mergeCell ref="C2:C3"/>
    <mergeCell ref="D2:D3"/>
    <mergeCell ref="E2:E3"/>
    <mergeCell ref="F2:F3"/>
    <mergeCell ref="G2:G3"/>
    <mergeCell ref="H2:H3"/>
    <mergeCell ref="I2:J2"/>
    <mergeCell ref="A5:H5"/>
    <mergeCell ref="I5:O5"/>
    <mergeCell ref="P5:W5"/>
    <mergeCell ref="K2:L2"/>
    <mergeCell ref="M2:M3"/>
    <mergeCell ref="N2:Q2"/>
    <mergeCell ref="R2:S2"/>
    <mergeCell ref="T2:U2"/>
    <mergeCell ref="V2:W2"/>
  </mergeCells>
  <phoneticPr fontId="231" type="noConversion"/>
  <printOptions horizontalCentered="1"/>
  <pageMargins left="0" right="0" top="0.74803149606299213" bottom="0.43307086614173229" header="0.23622047244094491" footer="0.15748031496062992"/>
  <pageSetup paperSize="8" scale="73"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58" t="s">
        <v>2055</v>
      </c>
      <c r="B1" s="1759"/>
      <c r="C1" s="1787" t="s">
        <v>2056</v>
      </c>
      <c r="D1" s="1788" t="s">
        <v>3090</v>
      </c>
      <c r="E1" s="1787" t="s">
        <v>2057</v>
      </c>
      <c r="F1" s="1789" t="s">
        <v>3091</v>
      </c>
      <c r="G1" s="308"/>
      <c r="H1" s="308"/>
      <c r="I1" s="308"/>
      <c r="J1" s="2011"/>
      <c r="K1" s="2011"/>
      <c r="L1" s="2011"/>
      <c r="M1" s="2011"/>
      <c r="N1" s="2011"/>
      <c r="O1" s="2011"/>
      <c r="P1" s="2011"/>
      <c r="Q1" s="2011"/>
      <c r="R1" s="2011"/>
      <c r="S1" s="2011"/>
      <c r="T1" s="2011"/>
      <c r="U1" s="2011"/>
      <c r="V1" s="2011"/>
    </row>
    <row r="2" spans="1:22" ht="21.75" customHeight="1" thickBot="1">
      <c r="A2" s="3518" t="str">
        <f>项目基本情况!K2</f>
        <v>出让国有建设用地使用权</v>
      </c>
      <c r="B2" s="3519"/>
      <c r="C2" s="3520"/>
      <c r="D2" s="3520"/>
      <c r="E2" s="3520"/>
      <c r="F2" s="3520"/>
      <c r="G2" s="3519"/>
      <c r="H2" s="3519"/>
      <c r="I2" s="3521"/>
      <c r="J2" s="2012"/>
      <c r="K2" s="2011"/>
      <c r="L2" s="2011"/>
      <c r="M2" s="2011"/>
      <c r="N2" s="2011"/>
      <c r="O2" s="2011"/>
      <c r="P2" s="2011"/>
      <c r="Q2" s="2011"/>
      <c r="R2" s="2011"/>
      <c r="S2" s="2011"/>
      <c r="T2" s="2011"/>
      <c r="U2" s="2011"/>
      <c r="V2" s="2011"/>
    </row>
    <row r="3" spans="1:22" ht="14.25">
      <c r="A3" s="3529" t="s">
        <v>298</v>
      </c>
      <c r="B3" s="3530"/>
      <c r="C3" s="3530"/>
      <c r="D3" s="3530"/>
      <c r="E3" s="3530"/>
      <c r="F3" s="3530"/>
      <c r="G3" s="3530"/>
      <c r="H3" s="3530"/>
      <c r="I3" s="3530"/>
      <c r="J3" s="2012"/>
      <c r="K3" s="2011"/>
      <c r="L3" s="2011"/>
      <c r="M3" s="2011"/>
      <c r="N3" s="2011"/>
      <c r="O3" s="2011"/>
      <c r="P3" s="2011"/>
      <c r="Q3" s="2011"/>
      <c r="R3" s="2011"/>
      <c r="S3" s="2011"/>
      <c r="T3" s="2011"/>
      <c r="U3" s="2011"/>
      <c r="V3" s="2011"/>
    </row>
    <row r="4" spans="1:22" ht="14.25">
      <c r="A4" s="255" t="s">
        <v>299</v>
      </c>
      <c r="B4" s="256" t="s">
        <v>300</v>
      </c>
      <c r="C4" s="257" t="s">
        <v>2951</v>
      </c>
      <c r="D4" s="257" t="s">
        <v>3068</v>
      </c>
      <c r="E4" s="3493" t="s">
        <v>301</v>
      </c>
      <c r="F4" s="3535"/>
      <c r="G4" s="3535"/>
      <c r="H4" s="3535"/>
      <c r="I4" s="3494"/>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522" t="s">
        <v>302</v>
      </c>
      <c r="B5" s="3523">
        <v>25</v>
      </c>
      <c r="C5" s="3531">
        <v>0.3</v>
      </c>
      <c r="D5" s="3534">
        <f>1-C5</f>
        <v>0.7</v>
      </c>
      <c r="E5" s="258" t="s">
        <v>303</v>
      </c>
      <c r="F5" s="259"/>
      <c r="G5" s="259"/>
      <c r="H5" s="259"/>
      <c r="I5" s="260"/>
      <c r="J5" s="2012"/>
      <c r="K5" s="2011"/>
      <c r="L5" s="2011"/>
      <c r="M5" s="2011"/>
      <c r="N5" s="2011"/>
      <c r="O5" s="2011"/>
      <c r="P5" s="2011"/>
      <c r="Q5" s="2011"/>
      <c r="R5" s="2011"/>
      <c r="S5" s="2011"/>
      <c r="T5" s="2011"/>
      <c r="U5" s="2011"/>
      <c r="V5" s="2011"/>
    </row>
    <row r="6" spans="1:22" ht="14.25">
      <c r="A6" s="3522"/>
      <c r="B6" s="3523"/>
      <c r="C6" s="3532"/>
      <c r="D6" s="3534"/>
      <c r="E6" s="258" t="s">
        <v>304</v>
      </c>
      <c r="F6" s="259"/>
      <c r="G6" s="259"/>
      <c r="H6" s="259"/>
      <c r="I6" s="260"/>
      <c r="J6" s="2012"/>
      <c r="K6" s="2011"/>
      <c r="L6" s="2011"/>
      <c r="M6" s="2011"/>
      <c r="N6" s="2011"/>
      <c r="O6" s="2011"/>
      <c r="P6" s="2011"/>
      <c r="Q6" s="2011"/>
      <c r="R6" s="2011"/>
      <c r="S6" s="2011"/>
      <c r="T6" s="2011"/>
      <c r="U6" s="2011"/>
      <c r="V6" s="2011"/>
    </row>
    <row r="7" spans="1:22" ht="14.25">
      <c r="A7" s="3522"/>
      <c r="B7" s="3523"/>
      <c r="C7" s="3533"/>
      <c r="D7" s="3534"/>
      <c r="E7" s="258" t="s">
        <v>305</v>
      </c>
      <c r="F7" s="259"/>
      <c r="G7" s="259"/>
      <c r="H7" s="259"/>
      <c r="I7" s="260"/>
      <c r="J7" s="2012"/>
      <c r="K7" s="2011"/>
      <c r="L7" s="2011"/>
      <c r="M7" s="2011"/>
      <c r="N7" s="2011"/>
      <c r="O7" s="2011"/>
      <c r="P7" s="2011"/>
      <c r="Q7" s="2011"/>
      <c r="R7" s="2011"/>
      <c r="S7" s="2011"/>
      <c r="T7" s="2011"/>
      <c r="U7" s="2011"/>
      <c r="V7" s="2011"/>
    </row>
    <row r="8" spans="1:22" ht="14.25">
      <c r="A8" s="3522" t="s">
        <v>306</v>
      </c>
      <c r="B8" s="3523">
        <v>15</v>
      </c>
      <c r="C8" s="3531"/>
      <c r="D8" s="3534"/>
      <c r="E8" s="258" t="s">
        <v>307</v>
      </c>
      <c r="F8" s="259"/>
      <c r="G8" s="259"/>
      <c r="H8" s="259"/>
      <c r="I8" s="260"/>
      <c r="J8" s="2012"/>
      <c r="K8" s="2011"/>
      <c r="L8" s="2011"/>
      <c r="M8" s="2011"/>
      <c r="N8" s="2011"/>
      <c r="O8" s="2011"/>
      <c r="P8" s="2011"/>
      <c r="Q8" s="2011"/>
      <c r="R8" s="2011"/>
      <c r="S8" s="2011"/>
      <c r="T8" s="2011"/>
      <c r="U8" s="2011"/>
      <c r="V8" s="2011"/>
    </row>
    <row r="9" spans="1:22" ht="14.25">
      <c r="A9" s="3522"/>
      <c r="B9" s="3523"/>
      <c r="C9" s="3533"/>
      <c r="D9" s="3534"/>
      <c r="E9" s="258" t="s">
        <v>308</v>
      </c>
      <c r="F9" s="259"/>
      <c r="G9" s="259"/>
      <c r="H9" s="259"/>
      <c r="I9" s="260"/>
      <c r="J9" s="2012"/>
      <c r="K9" s="2011"/>
      <c r="L9" s="2011"/>
      <c r="M9" s="2011"/>
      <c r="N9" s="2011"/>
      <c r="O9" s="2011"/>
      <c r="P9" s="2011"/>
      <c r="Q9" s="2011"/>
      <c r="R9" s="2011"/>
      <c r="S9" s="2011"/>
      <c r="T9" s="2011"/>
      <c r="U9" s="2011"/>
      <c r="V9" s="2011"/>
    </row>
    <row r="10" spans="1:22" ht="14.25">
      <c r="A10" s="3522" t="s">
        <v>309</v>
      </c>
      <c r="B10" s="3523">
        <v>15</v>
      </c>
      <c r="C10" s="3531"/>
      <c r="D10" s="3534"/>
      <c r="E10" s="258" t="s">
        <v>310</v>
      </c>
      <c r="F10" s="259"/>
      <c r="G10" s="259"/>
      <c r="H10" s="259"/>
      <c r="I10" s="260"/>
      <c r="J10" s="2012"/>
      <c r="K10" s="2011"/>
      <c r="L10" s="2011"/>
      <c r="M10" s="2011"/>
      <c r="N10" s="2011"/>
      <c r="O10" s="2011"/>
      <c r="P10" s="2011"/>
      <c r="Q10" s="2011"/>
      <c r="R10" s="2011"/>
      <c r="S10" s="2011"/>
      <c r="T10" s="2011"/>
      <c r="U10" s="2011"/>
      <c r="V10" s="2011"/>
    </row>
    <row r="11" spans="1:22" ht="14.25">
      <c r="A11" s="3522"/>
      <c r="B11" s="3523"/>
      <c r="C11" s="3533"/>
      <c r="D11" s="3534"/>
      <c r="E11" s="258" t="s">
        <v>311</v>
      </c>
      <c r="F11" s="259"/>
      <c r="G11" s="259"/>
      <c r="H11" s="259"/>
      <c r="I11" s="260"/>
      <c r="J11" s="2012"/>
      <c r="K11" s="2011"/>
      <c r="L11" s="2011"/>
      <c r="M11" s="2011"/>
      <c r="N11" s="2011"/>
      <c r="O11" s="2011"/>
      <c r="P11" s="2011"/>
      <c r="Q11" s="2011"/>
      <c r="R11" s="2011"/>
      <c r="S11" s="2011"/>
      <c r="T11" s="2011"/>
      <c r="U11" s="2011"/>
      <c r="V11" s="2011"/>
    </row>
    <row r="12" spans="1:22" ht="14.25">
      <c r="A12" s="3522" t="s">
        <v>312</v>
      </c>
      <c r="B12" s="3523">
        <v>15</v>
      </c>
      <c r="C12" s="3531"/>
      <c r="D12" s="3534"/>
      <c r="E12" s="258" t="s">
        <v>313</v>
      </c>
      <c r="F12" s="259"/>
      <c r="G12" s="259"/>
      <c r="H12" s="259"/>
      <c r="I12" s="260"/>
      <c r="J12" s="2012"/>
      <c r="K12" s="2011"/>
      <c r="L12" s="2011"/>
      <c r="M12" s="2011"/>
      <c r="N12" s="2011"/>
      <c r="O12" s="2011"/>
      <c r="P12" s="2011"/>
      <c r="Q12" s="2011"/>
      <c r="R12" s="2011"/>
      <c r="S12" s="2011"/>
      <c r="T12" s="2011"/>
      <c r="U12" s="2011"/>
      <c r="V12" s="2011"/>
    </row>
    <row r="13" spans="1:22" ht="14.25">
      <c r="A13" s="3522"/>
      <c r="B13" s="3523"/>
      <c r="C13" s="3533"/>
      <c r="D13" s="3534"/>
      <c r="E13" s="258" t="s">
        <v>314</v>
      </c>
      <c r="F13" s="259"/>
      <c r="G13" s="259"/>
      <c r="H13" s="259"/>
      <c r="I13" s="260"/>
      <c r="J13" s="2012"/>
      <c r="K13" s="2011"/>
      <c r="L13" s="2011"/>
      <c r="M13" s="2011"/>
      <c r="N13" s="2011"/>
      <c r="O13" s="2011"/>
      <c r="P13" s="2011"/>
      <c r="Q13" s="2011"/>
      <c r="R13" s="2011"/>
      <c r="S13" s="2011"/>
      <c r="T13" s="2011"/>
      <c r="U13" s="2011"/>
      <c r="V13" s="2011"/>
    </row>
    <row r="14" spans="1:22" ht="14.25">
      <c r="A14" s="3522" t="s">
        <v>315</v>
      </c>
      <c r="B14" s="3523">
        <v>30</v>
      </c>
      <c r="C14" s="3531"/>
      <c r="D14" s="3534"/>
      <c r="E14" s="258" t="s">
        <v>316</v>
      </c>
      <c r="F14" s="259"/>
      <c r="G14" s="259"/>
      <c r="H14" s="259"/>
      <c r="I14" s="260"/>
      <c r="J14" s="2012"/>
      <c r="K14" s="2011"/>
      <c r="L14" s="2011"/>
      <c r="M14" s="2011"/>
      <c r="N14" s="2011"/>
      <c r="O14" s="2011"/>
      <c r="P14" s="2011"/>
      <c r="Q14" s="2011"/>
      <c r="R14" s="2011"/>
      <c r="S14" s="2011"/>
      <c r="T14" s="2011"/>
      <c r="U14" s="2011"/>
      <c r="V14" s="2011"/>
    </row>
    <row r="15" spans="1:22" ht="14.25">
      <c r="A15" s="3522"/>
      <c r="B15" s="3523"/>
      <c r="C15" s="3532"/>
      <c r="D15" s="3534"/>
      <c r="E15" s="258" t="s">
        <v>317</v>
      </c>
      <c r="F15" s="259"/>
      <c r="G15" s="259"/>
      <c r="H15" s="259"/>
      <c r="I15" s="260"/>
      <c r="J15" s="2012"/>
      <c r="K15" s="2011"/>
      <c r="L15" s="2011"/>
      <c r="M15" s="2011"/>
      <c r="N15" s="2011"/>
      <c r="O15" s="2011"/>
      <c r="P15" s="2011"/>
      <c r="Q15" s="2011"/>
      <c r="R15" s="2011"/>
      <c r="S15" s="2011"/>
      <c r="T15" s="2011"/>
      <c r="U15" s="2011"/>
      <c r="V15" s="2011"/>
    </row>
    <row r="16" spans="1:22" ht="14.25">
      <c r="A16" s="3522"/>
      <c r="B16" s="3523"/>
      <c r="C16" s="3533"/>
      <c r="D16" s="3534"/>
      <c r="E16" s="258" t="s">
        <v>318</v>
      </c>
      <c r="F16" s="259"/>
      <c r="G16" s="259"/>
      <c r="H16" s="259"/>
      <c r="I16" s="260"/>
      <c r="J16" s="2012"/>
      <c r="K16" s="2011"/>
      <c r="L16" s="2011"/>
      <c r="M16" s="2011"/>
      <c r="N16" s="2011"/>
      <c r="O16" s="2011"/>
      <c r="P16" s="2011"/>
      <c r="Q16" s="2011"/>
      <c r="R16" s="2011"/>
      <c r="S16" s="2011"/>
      <c r="T16" s="2011"/>
      <c r="U16" s="2011"/>
      <c r="V16" s="2011"/>
    </row>
    <row r="17" spans="1:26" ht="15">
      <c r="A17" s="261" t="s">
        <v>319</v>
      </c>
      <c r="B17" s="143"/>
      <c r="C17" s="262">
        <f>SUM(C5:C16)</f>
        <v>0.3</v>
      </c>
      <c r="D17" s="262">
        <f>SUM(D5:D16)</f>
        <v>0.7</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3" t="s">
        <v>320</v>
      </c>
      <c r="B18" s="104"/>
      <c r="C18" s="264">
        <f>ROUND(C17/SUM(C17:D17),2)</f>
        <v>0.3</v>
      </c>
      <c r="D18" s="264">
        <f>1-C18</f>
        <v>0.7</v>
      </c>
      <c r="E18" s="308"/>
      <c r="F18" s="308"/>
      <c r="G18" s="308"/>
      <c r="H18" s="308"/>
      <c r="I18" s="308"/>
      <c r="J18" s="2011"/>
      <c r="K18" s="2011"/>
      <c r="L18" s="2011"/>
      <c r="M18" s="2011"/>
      <c r="N18" s="2011"/>
      <c r="O18" s="2011"/>
      <c r="P18" s="2011"/>
      <c r="Q18" s="2011"/>
      <c r="R18" s="2011"/>
      <c r="S18" s="2011"/>
      <c r="T18" s="2011"/>
      <c r="U18" s="2011"/>
      <c r="V18" s="2011"/>
    </row>
    <row r="19" spans="1:26" ht="15">
      <c r="A19" s="265" t="s">
        <v>321</v>
      </c>
      <c r="B19" s="266" t="s">
        <v>322</v>
      </c>
      <c r="C19" s="267">
        <f ca="1">SUMIF(INDIRECT("'"&amp;C4&amp;"'"&amp;"!A:A"),结果表!B19,INDIRECT("'"&amp;C4&amp;"'"&amp;"!B:B"))</f>
        <v>70937</v>
      </c>
      <c r="D19" s="268">
        <f ca="1">SUMIF(INDIRECT("'"&amp;D4&amp;"'"&amp;"!A:A"),结果表!B19,INDIRECT("'"&amp;D4&amp;"'"&amp;"!B:B"))</f>
        <v>76095</v>
      </c>
      <c r="E19" s="265" t="s">
        <v>323</v>
      </c>
      <c r="F19" s="266" t="s">
        <v>322</v>
      </c>
      <c r="G19" s="269">
        <f ca="1">ROUND(C19*$C$18+D19*$D$18,0)</f>
        <v>74548</v>
      </c>
      <c r="H19" s="270" t="s">
        <v>324</v>
      </c>
      <c r="I19" s="308"/>
      <c r="J19" s="2011"/>
      <c r="K19" s="2011"/>
      <c r="L19" s="2011"/>
      <c r="M19" s="2011"/>
      <c r="N19" s="2011"/>
      <c r="O19" s="2011"/>
      <c r="P19" s="2011"/>
      <c r="Q19" s="2011"/>
      <c r="R19" s="2011"/>
      <c r="S19" s="2011"/>
      <c r="T19" s="2011"/>
      <c r="U19" s="2011"/>
      <c r="V19" s="2011"/>
    </row>
    <row r="20" spans="1:26" ht="15">
      <c r="A20" s="271"/>
      <c r="B20" s="272" t="s">
        <v>325</v>
      </c>
      <c r="C20" s="273">
        <f ca="1">SUMIF(INDIRECT("'"&amp;C4&amp;"'"&amp;"!A:A"),结果表!B20,INDIRECT("'"&amp;C4&amp;"'"&amp;"!B:B"))</f>
        <v>5879</v>
      </c>
      <c r="D20" s="274">
        <f ca="1">SUMIF(INDIRECT("'"&amp;D4&amp;"'"&amp;"!A:A"),结果表!B20,INDIRECT("'"&amp;D4&amp;"'"&amp;"!B:B"))</f>
        <v>6275</v>
      </c>
      <c r="E20" s="271"/>
      <c r="F20" s="272" t="s">
        <v>325</v>
      </c>
      <c r="G20" s="275">
        <f ca="1">ROUND(C20*$C$18+D20*$D$18,0)</f>
        <v>6156</v>
      </c>
      <c r="H20" s="276" t="s">
        <v>326</v>
      </c>
      <c r="I20" s="308"/>
      <c r="J20" s="2011"/>
      <c r="K20" s="2011"/>
      <c r="L20" s="2011"/>
      <c r="M20" s="2011"/>
      <c r="N20" s="2011"/>
      <c r="O20" s="2011"/>
      <c r="P20" s="2011"/>
      <c r="Q20" s="2011"/>
      <c r="R20" s="2011"/>
      <c r="S20" s="2011"/>
      <c r="T20" s="2011"/>
      <c r="U20" s="2011"/>
      <c r="V20" s="2011"/>
    </row>
    <row r="21" spans="1:26" ht="15" customHeight="1">
      <c r="A21" s="271"/>
      <c r="B21" s="277" t="s">
        <v>327</v>
      </c>
      <c r="C21" s="278">
        <f ca="1">SUMIF(INDIRECT("'"&amp;C4&amp;"'"&amp;"!A:A"),结果表!B21,INDIRECT("'"&amp;C4&amp;"'"&amp;"!B:B"))</f>
        <v>10993</v>
      </c>
      <c r="D21" s="150">
        <f ca="1">SUMIF(INDIRECT("'"&amp;D4&amp;"'"&amp;"!A:A"),结果表!B21,INDIRECT("'"&amp;D4&amp;"'"&amp;"!B:B"))</f>
        <v>11792</v>
      </c>
      <c r="E21" s="271"/>
      <c r="F21" s="277" t="s">
        <v>327</v>
      </c>
      <c r="G21" s="279">
        <f ca="1">ROUND(C21*$C$18+D21*$D$18,0)</f>
        <v>11552</v>
      </c>
      <c r="H21" s="1244" t="s">
        <v>326</v>
      </c>
      <c r="I21" s="308"/>
      <c r="J21" s="2011"/>
      <c r="K21" s="2011"/>
      <c r="L21" s="2011"/>
      <c r="M21" s="2011"/>
      <c r="N21" s="2011"/>
      <c r="O21" s="2011"/>
      <c r="P21" s="2011"/>
      <c r="Q21" s="2011"/>
      <c r="R21" s="2011"/>
      <c r="S21" s="2011"/>
      <c r="T21" s="2011"/>
      <c r="U21" s="2011"/>
      <c r="V21" s="2011"/>
    </row>
    <row r="22" spans="1:26" ht="15.75" thickBot="1">
      <c r="A22" s="125" t="s">
        <v>328</v>
      </c>
      <c r="B22" s="1245"/>
      <c r="C22" s="1246"/>
      <c r="D22" s="280">
        <f ca="1">IF(C19&lt;D19,D19/C19-1,C19/D19-1)</f>
        <v>7.2712406783483896E-2</v>
      </c>
      <c r="E22" s="281"/>
      <c r="F22" s="282"/>
      <c r="G22" s="283">
        <f ca="1">ROUND(G19/('数据-汇总表'!D3/666.67),0)</f>
        <v>770</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495" t="s">
        <v>330</v>
      </c>
      <c r="B24" s="266"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537"/>
      <c r="B25" s="1314" t="s">
        <v>331</v>
      </c>
      <c r="C25" s="287">
        <f>IF(B30=0,0,C30)</f>
        <v>0</v>
      </c>
      <c r="D25" s="288"/>
      <c r="E25" s="308"/>
      <c r="F25" s="308"/>
      <c r="G25" s="308"/>
      <c r="H25" s="308"/>
      <c r="I25" s="308"/>
      <c r="J25" s="2011"/>
      <c r="K25" s="1248" t="str">
        <f ca="1">项目基本情况!B16&amp;"国有建设用地使用权价格："&amp;O38&amp;"万元"</f>
        <v>出让国有建设用地使用权价格：74548万元</v>
      </c>
      <c r="L25" s="1249"/>
      <c r="M25" s="1249"/>
      <c r="N25" s="1249"/>
      <c r="O25" s="1250"/>
      <c r="P25" s="2011"/>
      <c r="Q25" s="2011"/>
      <c r="R25" s="2011"/>
      <c r="S25" s="2011"/>
      <c r="T25" s="2011"/>
      <c r="U25" s="2011"/>
      <c r="V25" s="2011"/>
    </row>
    <row r="26" spans="1:26" s="1247" customFormat="1" ht="18">
      <c r="A26" s="290" t="s">
        <v>332</v>
      </c>
      <c r="B26" s="291" t="s">
        <v>333</v>
      </c>
      <c r="C26" s="291" t="s">
        <v>334</v>
      </c>
      <c r="D26" s="292" t="s">
        <v>335</v>
      </c>
      <c r="E26" s="308"/>
      <c r="F26" s="308"/>
      <c r="G26" s="308"/>
      <c r="H26" s="308"/>
      <c r="I26" s="308"/>
      <c r="J26" s="2011"/>
      <c r="K26" s="1251" t="str">
        <f ca="1">"大写金额：人民币"&amp;NUMBERSTRING(INT(O38*10000),2)&amp;"元整"</f>
        <v>大写金额：人民币柒亿肆仟伍佰肆拾捌万元整</v>
      </c>
      <c r="L26" s="1245"/>
      <c r="M26" s="1245"/>
      <c r="N26" s="1245"/>
      <c r="O26" s="1244"/>
      <c r="P26" s="2011"/>
      <c r="Q26" s="2011"/>
      <c r="R26" s="2011"/>
      <c r="S26" s="2011"/>
      <c r="T26" s="2011"/>
      <c r="U26" s="2011"/>
      <c r="V26" s="2011"/>
      <c r="W26" s="289"/>
      <c r="X26" s="289"/>
      <c r="Y26" s="289"/>
      <c r="Z26" s="289"/>
    </row>
    <row r="27" spans="1:26" ht="18">
      <c r="A27" s="290"/>
      <c r="B27" s="291"/>
      <c r="C27" s="291"/>
      <c r="D27" s="292"/>
      <c r="E27" s="308"/>
      <c r="F27" s="308"/>
      <c r="G27" s="308"/>
      <c r="H27" s="308"/>
      <c r="I27" s="308"/>
      <c r="J27" s="2011"/>
      <c r="K27" s="1251" t="str">
        <f ca="1">"单位面积地价："&amp;M38&amp;"元/平方米"</f>
        <v>单位面积地价：11552元/平方米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楼面地价：6178元/平方米</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6"/>
      <c r="C30" s="306"/>
      <c r="D30" s="307"/>
      <c r="E30" s="3080" t="s">
        <v>2968</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5" t="s">
        <v>337</v>
      </c>
      <c r="B32" s="1375" t="s">
        <v>1688</v>
      </c>
      <c r="C32" s="1376">
        <f ca="1">G19-C24</f>
        <v>74548</v>
      </c>
      <c r="D32" s="1377" t="s">
        <v>1689</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340</v>
      </c>
      <c r="B33" s="1378" t="s">
        <v>1690</v>
      </c>
      <c r="C33" s="261">
        <f ca="1">ROUND(C32*10000/'数据-汇总表'!E3,0)</f>
        <v>6178</v>
      </c>
      <c r="D33" s="1379" t="s">
        <v>1691</v>
      </c>
      <c r="E33" s="3495" t="s">
        <v>338</v>
      </c>
      <c r="F33" s="293" t="s">
        <v>339</v>
      </c>
      <c r="G33" s="294"/>
      <c r="H33" s="977"/>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1692</v>
      </c>
      <c r="C34" s="261">
        <f ca="1">ROUND(C32*10000/'数据-汇总表'!D3,0)</f>
        <v>11552</v>
      </c>
      <c r="D34" s="1381" t="s">
        <v>1691</v>
      </c>
      <c r="E34" s="3496"/>
      <c r="F34" s="126" t="s">
        <v>341</v>
      </c>
      <c r="G34" s="296"/>
      <c r="H34" s="104"/>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770</v>
      </c>
      <c r="D35" s="1384" t="s">
        <v>1693</v>
      </c>
      <c r="E35" s="3497"/>
      <c r="F35" s="298" t="s">
        <v>342</v>
      </c>
      <c r="G35" s="979"/>
      <c r="H35" s="978" t="s">
        <v>343</v>
      </c>
      <c r="I35" s="308"/>
      <c r="J35" s="2011"/>
      <c r="K35" s="3501" t="s">
        <v>350</v>
      </c>
      <c r="L35" s="3501" t="s">
        <v>351</v>
      </c>
      <c r="M35" s="1257" t="s">
        <v>352</v>
      </c>
      <c r="N35" s="3501" t="s">
        <v>353</v>
      </c>
      <c r="O35" s="3501" t="s">
        <v>354</v>
      </c>
      <c r="P35" s="2011"/>
      <c r="V35" s="2011"/>
    </row>
    <row r="36" spans="1:26" ht="16.5" customHeight="1">
      <c r="A36" s="300" t="s">
        <v>344</v>
      </c>
      <c r="B36" s="301" t="s">
        <v>333</v>
      </c>
      <c r="C36" s="302" t="s">
        <v>345</v>
      </c>
      <c r="D36" s="302" t="s">
        <v>346</v>
      </c>
      <c r="E36" s="303" t="s">
        <v>347</v>
      </c>
      <c r="F36" s="308"/>
      <c r="G36" s="308"/>
      <c r="H36" s="308"/>
      <c r="I36" s="308"/>
      <c r="J36" s="2013"/>
      <c r="K36" s="3502"/>
      <c r="L36" s="3502"/>
      <c r="M36" s="1259" t="s">
        <v>355</v>
      </c>
      <c r="N36" s="3502"/>
      <c r="O36" s="3502"/>
      <c r="P36" s="2011"/>
      <c r="V36" s="2011"/>
    </row>
    <row r="37" spans="1:26" ht="16.5" customHeight="1" thickBot="1">
      <c r="A37" s="1253" t="s">
        <v>348</v>
      </c>
      <c r="B37" s="304"/>
      <c r="C37" s="291"/>
      <c r="D37" s="291"/>
      <c r="E37" s="292"/>
      <c r="F37" s="308"/>
      <c r="G37" s="308"/>
      <c r="H37" s="308"/>
      <c r="I37" s="308"/>
      <c r="J37" s="2013"/>
      <c r="K37" s="3503"/>
      <c r="L37" s="3503"/>
      <c r="M37" s="1260"/>
      <c r="N37" s="3503"/>
      <c r="O37" s="3503"/>
      <c r="P37" s="2011"/>
      <c r="V37" s="2011"/>
    </row>
    <row r="38" spans="1:26" ht="16.5" customHeight="1" thickBot="1">
      <c r="A38" s="1253" t="s">
        <v>349</v>
      </c>
      <c r="B38" s="304"/>
      <c r="C38" s="291"/>
      <c r="D38" s="291"/>
      <c r="E38" s="292"/>
      <c r="F38" s="308"/>
      <c r="G38" s="308"/>
      <c r="H38" s="308"/>
      <c r="I38" s="308"/>
      <c r="J38" s="2013"/>
      <c r="K38" s="1261">
        <f>'数据-汇总表'!D3</f>
        <v>64531.28</v>
      </c>
      <c r="L38" s="1262">
        <f>'数据-汇总表'!E3</f>
        <v>120662</v>
      </c>
      <c r="M38" s="1262">
        <f ca="1">C34</f>
        <v>11552</v>
      </c>
      <c r="N38" s="1262">
        <f ca="1">C33</f>
        <v>6178</v>
      </c>
      <c r="O38" s="1263">
        <f ca="1">C32</f>
        <v>74548</v>
      </c>
      <c r="P38" s="2011"/>
      <c r="V38" s="2011"/>
    </row>
    <row r="39" spans="1:26" ht="16.5" customHeight="1" thickBot="1">
      <c r="A39" s="1258"/>
      <c r="B39" s="305"/>
      <c r="C39" s="306"/>
      <c r="D39" s="306"/>
      <c r="E39" s="307"/>
      <c r="F39" s="308"/>
      <c r="G39" s="308"/>
      <c r="H39" s="308"/>
      <c r="I39" s="308"/>
      <c r="J39" s="2013"/>
      <c r="K39" s="3478" t="str">
        <f>MID(A44,3,LEN(A44)-2)</f>
        <v/>
      </c>
      <c r="L39" s="3479"/>
      <c r="M39" s="3479"/>
      <c r="N39" s="3480"/>
      <c r="O39" s="1386" t="str">
        <f>C44</f>
        <v>——</v>
      </c>
      <c r="P39" s="2011"/>
      <c r="V39" s="2011"/>
    </row>
    <row r="40" spans="1:26" ht="19.5" thickBot="1">
      <c r="A40" s="103" t="s">
        <v>873</v>
      </c>
      <c r="B40" s="308"/>
      <c r="C40" s="308"/>
      <c r="D40" s="308"/>
      <c r="E40" s="308"/>
      <c r="F40" s="308"/>
      <c r="G40" s="308"/>
      <c r="H40" s="308"/>
      <c r="I40" s="308"/>
      <c r="J40" s="2013"/>
      <c r="K40" s="3478" t="str">
        <f t="shared" ref="K40:K41" si="0">MID(A45,3,LEN(A45)-2)</f>
        <v/>
      </c>
      <c r="L40" s="3479"/>
      <c r="M40" s="3479"/>
      <c r="N40" s="3480"/>
      <c r="O40" s="1386" t="str">
        <f>C45</f>
        <v>——</v>
      </c>
      <c r="P40" s="2011"/>
      <c r="V40" s="2011"/>
    </row>
    <row r="41" spans="1:26" ht="16.5" thickBot="1">
      <c r="A41" s="309" t="s">
        <v>356</v>
      </c>
      <c r="B41" s="310"/>
      <c r="C41" s="311" t="s">
        <v>357</v>
      </c>
      <c r="D41" s="312" t="s">
        <v>358</v>
      </c>
      <c r="E41" s="312" t="s">
        <v>359</v>
      </c>
      <c r="F41" s="313" t="s">
        <v>360</v>
      </c>
      <c r="G41" s="308"/>
      <c r="H41" s="308"/>
      <c r="I41" s="308"/>
      <c r="J41" s="2013"/>
      <c r="K41" s="3478" t="str">
        <f t="shared" si="0"/>
        <v/>
      </c>
      <c r="L41" s="3479"/>
      <c r="M41" s="3479"/>
      <c r="N41" s="3480"/>
      <c r="O41" s="1386" t="str">
        <f>C46</f>
        <v>——</v>
      </c>
      <c r="P41" s="2011"/>
      <c r="V41" s="2011"/>
    </row>
    <row r="42" spans="1:26" ht="29.25">
      <c r="A42" s="3538" t="s">
        <v>2067</v>
      </c>
      <c r="B42" s="3539"/>
      <c r="C42" s="261">
        <f ca="1">C32</f>
        <v>74548</v>
      </c>
      <c r="D42" s="314">
        <f ca="1">C33</f>
        <v>6178</v>
      </c>
      <c r="E42" s="314">
        <f ca="1">C34</f>
        <v>11552</v>
      </c>
      <c r="F42" s="315">
        <f ca="1">C35</f>
        <v>770</v>
      </c>
      <c r="G42" s="308"/>
      <c r="H42" s="308"/>
      <c r="I42" s="316"/>
      <c r="J42" s="2013"/>
      <c r="K42" s="1264" t="s">
        <v>361</v>
      </c>
      <c r="L42" s="2030" t="s">
        <v>362</v>
      </c>
      <c r="M42" s="1265" t="s">
        <v>363</v>
      </c>
      <c r="N42" s="2031" t="s">
        <v>364</v>
      </c>
      <c r="O42" s="2032" t="s">
        <v>365</v>
      </c>
      <c r="P42" s="2011"/>
      <c r="V42" s="2011"/>
    </row>
    <row r="43" spans="1:26" ht="18">
      <c r="A43" s="3548" t="s">
        <v>2730</v>
      </c>
      <c r="B43" s="3549"/>
      <c r="C43" s="261">
        <f>IF(H33="正常操作",G33+G34+G35,G34+G35)</f>
        <v>0</v>
      </c>
      <c r="D43" s="314" t="s">
        <v>43</v>
      </c>
      <c r="E43" s="314" t="s">
        <v>44</v>
      </c>
      <c r="F43" s="315" t="s">
        <v>44</v>
      </c>
      <c r="G43" s="2819" t="s">
        <v>952</v>
      </c>
      <c r="H43" s="308"/>
      <c r="I43" s="316"/>
      <c r="J43" s="2013"/>
      <c r="K43" s="1266" t="str">
        <f>C4</f>
        <v>基准地价</v>
      </c>
      <c r="L43" s="1267">
        <f ca="1">IF(L42="估价结果/万元",C19,C20)</f>
        <v>70937</v>
      </c>
      <c r="M43" s="1268">
        <f>C18</f>
        <v>0.3</v>
      </c>
      <c r="N43" s="1269">
        <f ca="1">IF(N42="测算结果/万元",G19,G20)</f>
        <v>74548</v>
      </c>
      <c r="O43" s="1270">
        <f ca="1">IF(O42="最终结果/万元",C32,C33)</f>
        <v>74548</v>
      </c>
      <c r="P43" s="2011"/>
      <c r="V43" s="2011"/>
    </row>
    <row r="44" spans="1:26" ht="30.75" thickBot="1">
      <c r="A44" s="3538" t="str">
        <f>IF(OR(项目基本情况!E8="抵押价格",项目基本情况!E8="已注销及未注销"),"3.抵押价格","——")</f>
        <v>——</v>
      </c>
      <c r="B44" s="3539"/>
      <c r="C44" s="261" t="str">
        <f>IF(A44="——","——",C42-C43)</f>
        <v>——</v>
      </c>
      <c r="D44" s="314" t="e">
        <f>ROUND(C44*10000/'数据-汇总表'!E3,0)</f>
        <v>#VALUE!</v>
      </c>
      <c r="E44" s="314" t="e">
        <f>ROUND(C44*10000/'数据-汇总表'!D3,0)</f>
        <v>#VALUE!</v>
      </c>
      <c r="F44" s="315" t="e">
        <f>ROUND(C44/('数据-汇总表'!D3/666.67),0)</f>
        <v>#VALUE!</v>
      </c>
      <c r="G44" s="308"/>
      <c r="H44" s="308"/>
      <c r="I44" s="316"/>
      <c r="J44" s="2013"/>
      <c r="K44" s="1271" t="str">
        <f>D4</f>
        <v>剩余法-待开发</v>
      </c>
      <c r="L44" s="1272">
        <f ca="1">IF(L42="估价结果/万元",D19,D20)</f>
        <v>76095</v>
      </c>
      <c r="M44" s="1273">
        <f>D18</f>
        <v>0.7</v>
      </c>
      <c r="N44" s="1274"/>
      <c r="O44" s="1275"/>
      <c r="P44" s="2011"/>
      <c r="V44" s="2011"/>
    </row>
    <row r="45" spans="1:26" ht="15">
      <c r="A45" s="3543" t="str">
        <f>IF(项目基本情况!E8="已注销及未注销","4.抵押担保权已注销时的抵押价格",IF(项目基本情况!E8="已注销","3.抵押担保权已注销时的抵押价格","——"))</f>
        <v>——</v>
      </c>
      <c r="B45" s="3544"/>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540" t="str">
        <f>IF(项目基本情况!E9="抵押净值",IF(A45="——","4.抵押净值","5.抵押净值"),"——")</f>
        <v>——</v>
      </c>
      <c r="B46" s="3541"/>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366</v>
      </c>
      <c r="B47" s="1276"/>
      <c r="C47" s="319" t="s">
        <v>367</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4"/>
      <c r="J52" s="2014"/>
      <c r="K52" s="2011"/>
      <c r="L52" s="2011"/>
      <c r="M52" s="2011"/>
      <c r="N52" s="2011"/>
      <c r="O52" s="2011"/>
      <c r="P52" s="2011"/>
      <c r="Q52" s="2011"/>
      <c r="R52" s="2011"/>
      <c r="S52" s="2011"/>
      <c r="T52" s="2011"/>
      <c r="U52" s="2011"/>
      <c r="V52" s="2011"/>
    </row>
    <row r="53" spans="1:22" ht="12.75">
      <c r="A53" s="254"/>
      <c r="B53" s="254"/>
      <c r="C53" s="254"/>
      <c r="D53" s="254"/>
      <c r="E53" s="254"/>
      <c r="F53" s="333" t="s">
        <v>368</v>
      </c>
      <c r="G53" s="334"/>
      <c r="H53" s="334"/>
      <c r="I53" s="335" t="s">
        <v>369</v>
      </c>
      <c r="J53" s="2014"/>
      <c r="K53" s="2011"/>
      <c r="L53" s="2011"/>
      <c r="M53" s="2011"/>
      <c r="N53" s="2011"/>
      <c r="O53" s="2011"/>
      <c r="P53" s="2011"/>
      <c r="Q53" s="2011"/>
      <c r="R53" s="2011"/>
      <c r="S53" s="2011"/>
      <c r="T53" s="2011"/>
      <c r="U53" s="2011"/>
      <c r="V53" s="2011"/>
    </row>
    <row r="54" spans="1:22" ht="12.75">
      <c r="A54" s="254"/>
      <c r="B54" s="336" t="s">
        <v>370</v>
      </c>
      <c r="C54" s="254"/>
      <c r="D54" s="254"/>
      <c r="E54" s="254"/>
      <c r="F54" s="254"/>
      <c r="G54" s="254"/>
      <c r="H54" s="254"/>
      <c r="I54" s="254"/>
      <c r="J54" s="2014"/>
      <c r="K54" s="2011"/>
      <c r="L54" s="2011"/>
      <c r="M54" s="2011"/>
      <c r="N54" s="2011"/>
      <c r="O54" s="2011"/>
      <c r="P54" s="2011"/>
      <c r="Q54" s="2011"/>
      <c r="R54" s="2011"/>
      <c r="S54" s="2011"/>
      <c r="T54" s="2011"/>
      <c r="U54" s="2011"/>
      <c r="V54" s="2011"/>
    </row>
    <row r="55" spans="1:22" ht="12.75">
      <c r="A55" s="254"/>
      <c r="B55" s="254"/>
      <c r="C55" s="254"/>
      <c r="D55" s="254"/>
      <c r="E55" s="254"/>
      <c r="F55" s="254"/>
      <c r="G55" s="254"/>
      <c r="H55" s="254"/>
      <c r="I55" s="254"/>
      <c r="J55" s="2014"/>
      <c r="K55" s="2011"/>
      <c r="L55" s="2011"/>
      <c r="M55" s="2011"/>
      <c r="N55" s="2011"/>
      <c r="O55" s="2011"/>
      <c r="P55" s="2011"/>
      <c r="Q55" s="2011"/>
      <c r="R55" s="2011"/>
      <c r="S55" s="2011"/>
      <c r="T55" s="2011"/>
      <c r="U55" s="2011"/>
      <c r="V55" s="2011"/>
    </row>
    <row r="56" spans="1:22" ht="12.75">
      <c r="A56" s="254"/>
      <c r="B56" s="334"/>
      <c r="C56" s="334"/>
      <c r="D56" s="334"/>
      <c r="E56" s="334"/>
      <c r="F56" s="334"/>
      <c r="G56" s="334"/>
      <c r="H56" s="334"/>
      <c r="I56" s="335" t="s">
        <v>371</v>
      </c>
      <c r="J56" s="2014"/>
      <c r="K56" s="2011"/>
      <c r="L56" s="2011"/>
      <c r="M56" s="2011"/>
      <c r="N56" s="2011"/>
      <c r="O56" s="2011"/>
      <c r="P56" s="2011"/>
      <c r="Q56" s="2011"/>
      <c r="R56" s="2011"/>
      <c r="S56" s="2011"/>
      <c r="T56" s="2011"/>
      <c r="U56" s="2011"/>
      <c r="V56" s="2011"/>
    </row>
    <row r="57" spans="1:22" ht="12.75">
      <c r="A57" s="254"/>
      <c r="B57" s="336" t="s">
        <v>372</v>
      </c>
      <c r="C57" s="254"/>
      <c r="D57" s="254"/>
      <c r="E57" s="254"/>
      <c r="F57" s="254"/>
      <c r="G57" s="254"/>
      <c r="H57" s="254"/>
      <c r="I57" s="254"/>
      <c r="J57" s="2014"/>
      <c r="K57" s="2011"/>
      <c r="L57" s="2011"/>
      <c r="M57" s="2011"/>
      <c r="N57" s="2011"/>
      <c r="O57" s="2011"/>
      <c r="P57" s="2011"/>
      <c r="Q57" s="2011"/>
      <c r="R57" s="2011"/>
      <c r="S57" s="2011"/>
      <c r="T57" s="2011"/>
      <c r="U57" s="2011"/>
      <c r="V57" s="2011"/>
    </row>
    <row r="58" spans="1:22" ht="12.75">
      <c r="A58" s="254"/>
      <c r="B58" s="336"/>
      <c r="C58" s="254"/>
      <c r="D58" s="254"/>
      <c r="E58" s="254"/>
      <c r="F58" s="254"/>
      <c r="G58" s="254"/>
      <c r="H58" s="254"/>
      <c r="I58" s="254"/>
      <c r="J58" s="2014"/>
      <c r="K58" s="2011"/>
      <c r="L58" s="2011"/>
      <c r="M58" s="2011"/>
      <c r="N58" s="2011"/>
      <c r="O58" s="2011"/>
      <c r="P58" s="2011"/>
      <c r="Q58" s="2011"/>
      <c r="R58" s="2011"/>
      <c r="S58" s="2011"/>
      <c r="T58" s="2011"/>
      <c r="U58" s="2011"/>
      <c r="V58" s="2011"/>
    </row>
    <row r="59" spans="1:22" ht="12.75">
      <c r="A59" s="254"/>
      <c r="B59" s="334"/>
      <c r="C59" s="334"/>
      <c r="D59" s="334"/>
      <c r="E59" s="334"/>
      <c r="F59" s="334"/>
      <c r="G59" s="334"/>
      <c r="H59" s="334"/>
      <c r="I59" s="335" t="s">
        <v>371</v>
      </c>
      <c r="J59" s="2014"/>
      <c r="K59" s="2011"/>
      <c r="L59" s="2011"/>
      <c r="M59" s="2011"/>
      <c r="N59" s="2011"/>
      <c r="O59" s="2011"/>
      <c r="P59" s="2011"/>
      <c r="Q59" s="2011"/>
      <c r="R59" s="2011"/>
      <c r="S59" s="2011"/>
      <c r="T59" s="2011"/>
      <c r="U59" s="2011"/>
      <c r="V59" s="2011"/>
    </row>
    <row r="60" spans="1:22" ht="12.75">
      <c r="A60" s="254"/>
      <c r="B60" s="254"/>
      <c r="C60" s="254"/>
      <c r="D60" s="254"/>
      <c r="E60" s="254"/>
      <c r="F60" s="254"/>
      <c r="G60" s="254"/>
      <c r="H60" s="254"/>
      <c r="I60" s="254"/>
      <c r="J60" s="2014"/>
      <c r="K60" s="2011"/>
      <c r="L60" s="2011"/>
      <c r="M60" s="2011"/>
      <c r="N60" s="2011"/>
      <c r="O60" s="2011"/>
      <c r="P60" s="2011"/>
      <c r="Q60" s="2011"/>
      <c r="R60" s="2011"/>
      <c r="S60" s="2011"/>
      <c r="T60" s="2011"/>
      <c r="U60" s="2011"/>
      <c r="V60" s="2011"/>
    </row>
    <row r="61" spans="1:22" ht="12.75">
      <c r="A61" s="254"/>
      <c r="B61" s="336"/>
      <c r="C61" s="337"/>
      <c r="D61" s="215"/>
      <c r="E61" s="215"/>
      <c r="F61" s="250"/>
      <c r="G61" s="254"/>
      <c r="H61" s="254"/>
      <c r="I61" s="254"/>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506" t="s">
        <v>374</v>
      </c>
      <c r="B63" s="3507"/>
      <c r="C63" s="3508"/>
      <c r="D63" s="338">
        <f ca="1">ROUND(C42*F63,0)</f>
        <v>44729</v>
      </c>
      <c r="E63" s="299" t="s">
        <v>375</v>
      </c>
      <c r="F63" s="339">
        <v>0.6</v>
      </c>
      <c r="G63" s="340" t="s">
        <v>376</v>
      </c>
      <c r="H63" s="308"/>
      <c r="I63" s="308"/>
      <c r="J63" s="2011"/>
      <c r="K63" s="2011"/>
      <c r="L63" s="2011"/>
      <c r="M63" s="2011"/>
      <c r="N63" s="2011"/>
      <c r="O63" s="2011"/>
      <c r="P63" s="308"/>
      <c r="Q63" s="2011"/>
      <c r="R63" s="2011"/>
      <c r="S63" s="2011"/>
      <c r="T63" s="2011"/>
      <c r="U63" s="2011"/>
      <c r="V63" s="2011"/>
    </row>
    <row r="64" spans="1:22" ht="14.25" customHeight="1">
      <c r="A64" s="3545" t="s">
        <v>378</v>
      </c>
      <c r="B64" s="3546"/>
      <c r="C64" s="3546"/>
      <c r="D64" s="3546"/>
      <c r="E64" s="3546"/>
      <c r="F64" s="3546"/>
      <c r="G64" s="3547"/>
      <c r="H64" s="1281"/>
      <c r="I64" s="945"/>
      <c r="J64" s="1973"/>
      <c r="K64" s="1545" t="s">
        <v>377</v>
      </c>
      <c r="L64" s="11"/>
      <c r="M64" s="11"/>
      <c r="N64" s="11"/>
      <c r="O64" s="11"/>
      <c r="P64" s="308"/>
      <c r="Q64" s="2011"/>
      <c r="R64" s="2011"/>
      <c r="S64" s="2011"/>
      <c r="T64" s="2011"/>
      <c r="U64" s="2011"/>
      <c r="V64" s="2011"/>
    </row>
    <row r="65" spans="1:22" ht="12" customHeight="1">
      <c r="A65" s="341" t="s">
        <v>380</v>
      </c>
      <c r="B65" s="342"/>
      <c r="C65" s="343"/>
      <c r="D65" s="344" t="s">
        <v>381</v>
      </c>
      <c r="E65" s="52" t="s">
        <v>382</v>
      </c>
      <c r="F65" s="345" t="s">
        <v>383</v>
      </c>
      <c r="G65" s="346" t="s">
        <v>384</v>
      </c>
      <c r="H65" s="1281"/>
      <c r="I65" s="945"/>
      <c r="J65" s="1973"/>
      <c r="K65" s="1282"/>
      <c r="L65" s="1283"/>
      <c r="M65" s="1283"/>
      <c r="N65" s="1315" t="s">
        <v>379</v>
      </c>
      <c r="O65" s="1316"/>
      <c r="P65" s="1317"/>
      <c r="Q65" s="2011"/>
      <c r="R65" s="2011"/>
      <c r="S65" s="2011"/>
      <c r="T65" s="2011"/>
      <c r="U65" s="2011"/>
      <c r="V65" s="2011"/>
    </row>
    <row r="66" spans="1:22" ht="25.5">
      <c r="A66" s="3542" t="s">
        <v>386</v>
      </c>
      <c r="B66" s="3513"/>
      <c r="C66" s="3513"/>
      <c r="D66" s="258">
        <f ca="1">IF(H66="情况1",0,IF(H66="情况2",D70,IF(H66="情况3",D71,IF(H66="情况4",D72))))</f>
        <v>2343</v>
      </c>
      <c r="E66" s="990" t="str">
        <f>IF(H66="情况4","(销售额-原购置价)×税（费）率","销售额×税（费）率")</f>
        <v>销售额×税（费）率</v>
      </c>
      <c r="F66" s="347">
        <f>IF(H66="情况1","免征",'数据-取费表'!B41)</f>
        <v>5.5000000000000007E-2</v>
      </c>
      <c r="G66" s="348" t="s">
        <v>387</v>
      </c>
      <c r="H66" s="190" t="s">
        <v>388</v>
      </c>
      <c r="I66" s="1281"/>
      <c r="J66" s="2017"/>
      <c r="K66" s="1284">
        <v>1</v>
      </c>
      <c r="L66" s="3482" t="s">
        <v>385</v>
      </c>
      <c r="M66" s="3483"/>
      <c r="N66" s="2420"/>
      <c r="O66" s="2421"/>
      <c r="P66" s="2422"/>
      <c r="Q66" s="2011"/>
      <c r="R66" s="2011"/>
      <c r="S66" s="2011"/>
      <c r="T66" s="2011"/>
      <c r="U66" s="2011"/>
      <c r="V66" s="2011"/>
    </row>
    <row r="67" spans="1:22" ht="25.5" customHeight="1">
      <c r="A67" s="349" t="s">
        <v>390</v>
      </c>
      <c r="B67" s="3525" t="s">
        <v>391</v>
      </c>
      <c r="C67" s="3525"/>
      <c r="D67" s="350">
        <v>0</v>
      </c>
      <c r="E67" s="40" t="s">
        <v>392</v>
      </c>
      <c r="F67" s="61" t="s">
        <v>21</v>
      </c>
      <c r="G67" s="3509"/>
      <c r="H67" s="308"/>
      <c r="I67" s="1285"/>
      <c r="J67" s="2018"/>
      <c r="K67" s="1959">
        <v>2</v>
      </c>
      <c r="L67" s="3481" t="s">
        <v>389</v>
      </c>
      <c r="M67" s="3481"/>
      <c r="N67" s="1318">
        <f>'数据-取费表'!B2</f>
        <v>43780</v>
      </c>
      <c r="O67" s="1318"/>
      <c r="P67" s="1318"/>
      <c r="Q67" s="2011"/>
      <c r="R67" s="2011"/>
      <c r="S67" s="2011"/>
      <c r="T67" s="2011"/>
      <c r="U67" s="2011"/>
      <c r="V67" s="2011"/>
    </row>
    <row r="68" spans="1:22" ht="25.5" customHeight="1">
      <c r="A68" s="351"/>
      <c r="B68" s="3525" t="s">
        <v>394</v>
      </c>
      <c r="C68" s="3525"/>
      <c r="D68" s="352"/>
      <c r="E68" s="76"/>
      <c r="F68" s="353"/>
      <c r="G68" s="3510"/>
      <c r="H68" s="308"/>
      <c r="I68" s="1285"/>
      <c r="J68" s="2018"/>
      <c r="K68" s="1959">
        <v>3</v>
      </c>
      <c r="L68" s="3481" t="s">
        <v>393</v>
      </c>
      <c r="M68" s="3481"/>
      <c r="N68" s="1286">
        <f ca="1">C42</f>
        <v>74548</v>
      </c>
      <c r="O68" s="1286"/>
      <c r="P68" s="1286"/>
      <c r="Q68" s="2011"/>
      <c r="R68" s="2011"/>
      <c r="S68" s="2011"/>
      <c r="T68" s="2011"/>
      <c r="U68" s="2011"/>
      <c r="V68" s="2011"/>
    </row>
    <row r="69" spans="1:22" ht="12" customHeight="1">
      <c r="A69" s="354"/>
      <c r="B69" s="3525" t="s">
        <v>395</v>
      </c>
      <c r="C69" s="3525"/>
      <c r="D69" s="355"/>
      <c r="E69" s="72"/>
      <c r="F69" s="353"/>
      <c r="G69" s="3511"/>
      <c r="H69" s="308"/>
      <c r="I69" s="1285"/>
      <c r="J69" s="2018"/>
      <c r="K69" s="1287">
        <v>4</v>
      </c>
      <c r="L69" s="3487" t="s">
        <v>2882</v>
      </c>
      <c r="M69" s="3488"/>
      <c r="N69" s="1288" t="str">
        <f>C44</f>
        <v>——</v>
      </c>
      <c r="O69" s="1288"/>
      <c r="P69" s="1288"/>
      <c r="Q69" s="2011"/>
      <c r="R69" s="2011"/>
      <c r="S69" s="2011"/>
      <c r="T69" s="2011"/>
      <c r="U69" s="2011"/>
      <c r="V69" s="2011"/>
    </row>
    <row r="70" spans="1:22" ht="24" customHeight="1">
      <c r="A70" s="356" t="s">
        <v>396</v>
      </c>
      <c r="B70" s="3525" t="s">
        <v>397</v>
      </c>
      <c r="C70" s="3525"/>
      <c r="D70" s="355">
        <f ca="1">ROUND(D63*'数据-取费表'!B41/(1+'数据-取费表'!C42),0)</f>
        <v>2343</v>
      </c>
      <c r="E70" s="17" t="s">
        <v>398</v>
      </c>
      <c r="F70" s="357">
        <f>'数据-取费表'!B41</f>
        <v>5.5000000000000007E-2</v>
      </c>
      <c r="G70" s="358"/>
      <c r="H70" s="308"/>
      <c r="I70" s="1285"/>
      <c r="J70" s="2018"/>
      <c r="K70" s="3011"/>
      <c r="L70" s="3012"/>
      <c r="M70" s="3012"/>
      <c r="N70" s="3013" t="s">
        <v>2887</v>
      </c>
      <c r="O70" s="3012"/>
      <c r="P70" s="3014"/>
      <c r="Q70" s="2011"/>
      <c r="R70" s="2011"/>
      <c r="S70" s="2011"/>
      <c r="T70" s="2011"/>
      <c r="U70" s="2011"/>
      <c r="V70" s="2011"/>
    </row>
    <row r="71" spans="1:22" ht="12" customHeight="1">
      <c r="A71" s="356" t="s">
        <v>404</v>
      </c>
      <c r="B71" s="3524" t="s">
        <v>405</v>
      </c>
      <c r="C71" s="3536"/>
      <c r="D71" s="355">
        <f ca="1">ROUND(D63*'数据-取费表'!B41/(1+'数据-取费表'!C42),0)</f>
        <v>2343</v>
      </c>
      <c r="E71" s="17" t="s">
        <v>398</v>
      </c>
      <c r="F71" s="357">
        <f>'数据-取费表'!B41</f>
        <v>5.5000000000000007E-2</v>
      </c>
      <c r="G71" s="358"/>
      <c r="H71" s="308"/>
      <c r="I71" s="1285"/>
      <c r="J71" s="2018"/>
      <c r="K71" s="3010" t="s">
        <v>399</v>
      </c>
      <c r="L71" s="3489" t="s">
        <v>400</v>
      </c>
      <c r="M71" s="3489"/>
      <c r="N71" s="3010" t="s">
        <v>401</v>
      </c>
      <c r="O71" s="3010" t="s">
        <v>402</v>
      </c>
      <c r="P71" s="3010" t="s">
        <v>403</v>
      </c>
      <c r="Q71" s="2011"/>
      <c r="R71" s="2011"/>
      <c r="S71" s="2011"/>
      <c r="T71" s="2011"/>
      <c r="U71" s="2011"/>
      <c r="V71" s="2011"/>
    </row>
    <row r="72" spans="1:22" ht="12" customHeight="1">
      <c r="A72" s="356" t="s">
        <v>407</v>
      </c>
      <c r="B72" s="3524" t="s">
        <v>408</v>
      </c>
      <c r="C72" s="3536"/>
      <c r="D72" s="355">
        <f ca="1">C86</f>
        <v>2233</v>
      </c>
      <c r="E72" s="72" t="s">
        <v>409</v>
      </c>
      <c r="F72" s="357">
        <f>'数据-取费表'!B41</f>
        <v>5.5000000000000007E-2</v>
      </c>
      <c r="G72" s="358"/>
      <c r="H72" s="1291"/>
      <c r="I72" s="1285"/>
      <c r="J72" s="2018"/>
      <c r="K72" s="1959">
        <v>1</v>
      </c>
      <c r="L72" s="3486" t="s">
        <v>406</v>
      </c>
      <c r="M72" s="3486"/>
      <c r="N72" s="1289">
        <f ca="1">D66</f>
        <v>2343</v>
      </c>
      <c r="O72" s="1842" t="str">
        <f>E66</f>
        <v>销售额×税（费）率</v>
      </c>
      <c r="P72" s="1290">
        <f>F66</f>
        <v>5.5000000000000007E-2</v>
      </c>
      <c r="Q72" s="2011"/>
      <c r="R72" s="2011"/>
      <c r="S72" s="2011"/>
      <c r="T72" s="2011"/>
      <c r="U72" s="2011"/>
      <c r="V72" s="2011"/>
    </row>
    <row r="73" spans="1:22" ht="24" customHeight="1">
      <c r="A73" s="3512" t="s">
        <v>411</v>
      </c>
      <c r="B73" s="3513"/>
      <c r="C73" s="3513"/>
      <c r="D73" s="359">
        <f>IF(H73="个人住宅",0,ROUND(D63*I73,0))</f>
        <v>0</v>
      </c>
      <c r="E73" s="17" t="s">
        <v>412</v>
      </c>
      <c r="F73" s="357" t="str">
        <f>IF(H73="正常",I73,"免征")</f>
        <v>免征</v>
      </c>
      <c r="G73" s="358"/>
      <c r="H73" s="190" t="s">
        <v>2455</v>
      </c>
      <c r="I73" s="357">
        <f>'数据-取费表'!B49</f>
        <v>5.0000000000000001E-4</v>
      </c>
      <c r="J73" s="2018"/>
      <c r="K73" s="1959">
        <v>2</v>
      </c>
      <c r="L73" s="3486" t="s">
        <v>410</v>
      </c>
      <c r="M73" s="3486"/>
      <c r="N73" s="1289">
        <f t="shared" ref="N73:P74" si="1">D73</f>
        <v>0</v>
      </c>
      <c r="O73" s="1842" t="str">
        <f t="shared" si="1"/>
        <v>销售额×税（费）率</v>
      </c>
      <c r="P73" s="1290" t="str">
        <f t="shared" si="1"/>
        <v>免征</v>
      </c>
      <c r="Q73" s="2011"/>
      <c r="R73" s="2011"/>
      <c r="S73" s="2011"/>
      <c r="T73" s="2011"/>
      <c r="U73" s="2011"/>
      <c r="V73" s="2011"/>
    </row>
    <row r="74" spans="1:22" ht="24.75">
      <c r="A74" s="3512" t="s">
        <v>415</v>
      </c>
      <c r="B74" s="3513"/>
      <c r="C74" s="3513"/>
      <c r="D74" s="359">
        <f ca="1">IF(H74="个人住宅",D75,D76)</f>
        <v>24702</v>
      </c>
      <c r="E74" s="17" t="s">
        <v>416</v>
      </c>
      <c r="F74" s="357" t="str">
        <f>IF(H74="正常",F76,"免征")</f>
        <v>——</v>
      </c>
      <c r="G74" s="980" t="s">
        <v>417</v>
      </c>
      <c r="H74" s="360" t="s">
        <v>413</v>
      </c>
      <c r="I74" s="41"/>
      <c r="J74" s="2018"/>
      <c r="K74" s="1959">
        <v>3</v>
      </c>
      <c r="L74" s="3486" t="s">
        <v>414</v>
      </c>
      <c r="M74" s="3486"/>
      <c r="N74" s="1289">
        <f t="shared" ca="1" si="1"/>
        <v>24702</v>
      </c>
      <c r="O74" s="1842" t="str">
        <f t="shared" si="1"/>
        <v>增值额×税（费）率</v>
      </c>
      <c r="P74" s="1292" t="str">
        <f t="shared" si="1"/>
        <v>——</v>
      </c>
      <c r="Q74" s="2011"/>
      <c r="R74" s="2011"/>
      <c r="S74" s="2011"/>
      <c r="T74" s="2011"/>
      <c r="U74" s="2011"/>
      <c r="V74" s="2011"/>
    </row>
    <row r="75" spans="1:22" ht="24">
      <c r="A75" s="356" t="s">
        <v>418</v>
      </c>
      <c r="B75" s="3493" t="s">
        <v>419</v>
      </c>
      <c r="C75" s="3494"/>
      <c r="D75" s="361">
        <v>0</v>
      </c>
      <c r="E75" s="40" t="s">
        <v>420</v>
      </c>
      <c r="F75" s="362"/>
      <c r="G75" s="358"/>
      <c r="H75" s="41"/>
      <c r="I75" s="41"/>
      <c r="J75" s="2018"/>
      <c r="K75" s="3003">
        <f>IF(H77="非个人房产","",4)</f>
        <v>4</v>
      </c>
      <c r="L75" s="3486" t="str">
        <f>IF(H77="非个人房产","——","个人所得税")</f>
        <v>个人所得税</v>
      </c>
      <c r="M75" s="3486"/>
      <c r="N75" s="1293">
        <f ca="1">D77</f>
        <v>447</v>
      </c>
      <c r="O75" s="1855" t="str">
        <f>E77</f>
        <v>销售额×税（费）率</v>
      </c>
      <c r="P75" s="1294">
        <f>F77</f>
        <v>0.01</v>
      </c>
      <c r="Q75" s="2011"/>
      <c r="R75" s="2011"/>
      <c r="S75" s="2011"/>
      <c r="T75" s="2011"/>
      <c r="U75" s="2011"/>
      <c r="V75" s="2011"/>
    </row>
    <row r="76" spans="1:22" ht="24.75">
      <c r="A76" s="356" t="s">
        <v>396</v>
      </c>
      <c r="B76" s="3493" t="s">
        <v>422</v>
      </c>
      <c r="C76" s="3535"/>
      <c r="D76" s="359">
        <f ca="1">IF(H76="转让取得",C99,C115)</f>
        <v>24702</v>
      </c>
      <c r="E76" s="17" t="s">
        <v>423</v>
      </c>
      <c r="F76" s="52" t="s">
        <v>21</v>
      </c>
      <c r="G76" s="358"/>
      <c r="H76" s="360" t="s">
        <v>424</v>
      </c>
      <c r="I76" s="41"/>
      <c r="J76" s="2018"/>
      <c r="K76" s="3003" t="str">
        <f>IF(项目基本情况!K6="上海银行",IF(K75="",4,K75+1),"")</f>
        <v/>
      </c>
      <c r="L76" s="3474" t="str">
        <f>IF(项目基本情况!K6="上海银行","其他处置费用","")</f>
        <v/>
      </c>
      <c r="M76" s="3475"/>
      <c r="N76" s="1289" t="str">
        <f>IF(项目基本情况!K6="上海银行",N89,"")</f>
        <v/>
      </c>
      <c r="O76" s="3476" t="str">
        <f>IF(项目基本情况!K6="上海银行","包含处置中涉及的律师、诉讼、拍卖、评估等费用","")</f>
        <v/>
      </c>
      <c r="P76" s="3477"/>
      <c r="Q76" s="2011"/>
      <c r="R76" s="2011"/>
      <c r="S76" s="2011"/>
      <c r="T76" s="2011"/>
      <c r="U76" s="2011"/>
      <c r="V76" s="2011"/>
    </row>
    <row r="77" spans="1:22" ht="26.25" thickBot="1">
      <c r="A77" s="3504" t="s">
        <v>426</v>
      </c>
      <c r="B77" s="3505"/>
      <c r="C77" s="3505"/>
      <c r="D77" s="363">
        <f ca="1">IF(H77="非个人房产","——",IF(H77="个人住宅",0,ROUND(D63*I77,0)))</f>
        <v>447</v>
      </c>
      <c r="E77" s="364" t="str">
        <f>IF(H77="非个人房产","——","销售额×税（费）率")</f>
        <v>销售额×税（费）率</v>
      </c>
      <c r="F77" s="365">
        <f>IF(H77="非个人房产","——",IF(H77="个人住宅","免征",I77))</f>
        <v>0.01</v>
      </c>
      <c r="G77" s="981" t="s">
        <v>417</v>
      </c>
      <c r="H77" s="360" t="s">
        <v>2883</v>
      </c>
      <c r="I77" s="366">
        <v>0.01</v>
      </c>
      <c r="J77" s="2018"/>
      <c r="K77" s="3500">
        <f>IF(AND(K75="",K76=""),4,IF(项目基本情况!K6="上海银行",K76+1,K75+1))</f>
        <v>5</v>
      </c>
      <c r="L77" s="3486" t="s">
        <v>2884</v>
      </c>
      <c r="M77" s="3009" t="s">
        <v>421</v>
      </c>
      <c r="N77" s="1295"/>
      <c r="O77" s="1296">
        <f ca="1">SUMIF(N72:N76,"&lt;9e307")</f>
        <v>27492</v>
      </c>
      <c r="P77" s="1297"/>
      <c r="Q77" s="3007" t="e">
        <f ca="1">O77/N69</f>
        <v>#VALUE!</v>
      </c>
      <c r="R77" s="2011"/>
      <c r="S77" s="2011"/>
      <c r="T77" s="2011"/>
      <c r="U77" s="2011"/>
      <c r="V77" s="2011"/>
    </row>
    <row r="78" spans="1:22" ht="12" customHeight="1">
      <c r="A78" s="1298"/>
      <c r="B78" s="308"/>
      <c r="C78" s="308"/>
      <c r="D78" s="308"/>
      <c r="E78" s="41"/>
      <c r="F78" s="41"/>
      <c r="G78" s="41"/>
      <c r="H78" s="1000"/>
      <c r="I78" s="308"/>
      <c r="J78" s="2018"/>
      <c r="K78" s="3500"/>
      <c r="L78" s="3486"/>
      <c r="M78" s="3009" t="s">
        <v>425</v>
      </c>
      <c r="N78" s="1295"/>
      <c r="O78" s="1296" t="str">
        <f ca="1">NUMBERSTRING(INT(O77*10000),2)&amp;"元整"</f>
        <v>贰亿柒仟肆佰玖拾贰万元整</v>
      </c>
      <c r="P78" s="1297"/>
      <c r="Q78" s="2011"/>
      <c r="R78" s="2011"/>
      <c r="S78" s="2011"/>
      <c r="T78" s="2011"/>
      <c r="U78" s="2011"/>
      <c r="V78" s="2011"/>
    </row>
    <row r="79" spans="1:22" ht="13.5" thickBot="1">
      <c r="A79" s="3490" t="s">
        <v>427</v>
      </c>
      <c r="B79" s="3490"/>
      <c r="C79" s="3490"/>
      <c r="D79" s="3490"/>
      <c r="E79" s="3490"/>
      <c r="F79" s="41"/>
      <c r="G79" s="41"/>
      <c r="H79" s="1000"/>
      <c r="I79" s="308"/>
      <c r="J79" s="2018"/>
      <c r="K79" s="3484">
        <f>K77+1</f>
        <v>6</v>
      </c>
      <c r="L79" s="3486" t="s">
        <v>2885</v>
      </c>
      <c r="M79" s="3009" t="s">
        <v>421</v>
      </c>
      <c r="N79" s="1295"/>
      <c r="O79" s="1296" t="e">
        <f ca="1">N69-O77</f>
        <v>#VALUE!</v>
      </c>
      <c r="P79" s="1297"/>
      <c r="Q79" s="2011"/>
      <c r="R79" s="2011"/>
      <c r="S79" s="2011"/>
      <c r="T79" s="2011"/>
      <c r="U79" s="2011"/>
      <c r="V79" s="2011"/>
    </row>
    <row r="80" spans="1:22" ht="12.75">
      <c r="A80" s="3491" t="s">
        <v>428</v>
      </c>
      <c r="B80" s="3492"/>
      <c r="C80" s="991"/>
      <c r="D80" s="991" t="s">
        <v>429</v>
      </c>
      <c r="E80" s="367" t="s">
        <v>430</v>
      </c>
      <c r="F80" s="41"/>
      <c r="G80" s="41"/>
      <c r="H80" s="1000"/>
      <c r="I80" s="308"/>
      <c r="J80" s="2011"/>
      <c r="K80" s="3485"/>
      <c r="L80" s="3486"/>
      <c r="M80" s="3009" t="s">
        <v>425</v>
      </c>
      <c r="N80" s="1295"/>
      <c r="O80" s="1296" t="e">
        <f ca="1">NUMBERSTRING(INT(O79*10000),2)&amp;"元整"</f>
        <v>#VALUE!</v>
      </c>
      <c r="P80" s="1297"/>
      <c r="Q80" s="2011"/>
      <c r="R80" s="2011"/>
      <c r="S80" s="2011"/>
      <c r="T80" s="2011"/>
      <c r="U80" s="2011"/>
      <c r="V80" s="2011"/>
    </row>
    <row r="81" spans="1:26" ht="13.5" thickBot="1">
      <c r="A81" s="378" t="s">
        <v>1823</v>
      </c>
      <c r="B81" s="368" t="s">
        <v>431</v>
      </c>
      <c r="C81" s="369">
        <f ca="1">ROUND((C82+C83)/(1+'数据-取费表'!C42),0)</f>
        <v>42599</v>
      </c>
      <c r="D81" s="370"/>
      <c r="E81" s="371"/>
      <c r="F81" s="41"/>
      <c r="G81" s="41"/>
      <c r="H81" s="1000"/>
      <c r="I81" s="308"/>
      <c r="J81" s="2011"/>
      <c r="K81" s="3003">
        <f>K79+1</f>
        <v>7</v>
      </c>
      <c r="L81" s="3498" t="s">
        <v>2886</v>
      </c>
      <c r="M81" s="3499"/>
      <c r="N81" s="1299"/>
      <c r="O81" s="1300" t="e">
        <f ca="1">ROUND(O79*10000/'数据-汇总表'!E3,0)</f>
        <v>#VALUE!</v>
      </c>
      <c r="P81" s="1301"/>
      <c r="Q81" s="2011"/>
      <c r="R81" s="2011"/>
      <c r="S81" s="2011"/>
      <c r="T81" s="2011"/>
      <c r="U81" s="2011"/>
      <c r="V81" s="2011"/>
    </row>
    <row r="82" spans="1:26" ht="13.5" thickTop="1">
      <c r="A82" s="372" t="s">
        <v>1824</v>
      </c>
      <c r="B82" s="373" t="s">
        <v>432</v>
      </c>
      <c r="C82" s="374">
        <f ca="1">D63</f>
        <v>44729</v>
      </c>
      <c r="D82" s="375" t="s">
        <v>19</v>
      </c>
      <c r="E82" s="376"/>
      <c r="F82" s="41"/>
      <c r="G82" s="41"/>
      <c r="H82" s="1000"/>
      <c r="I82" s="308"/>
      <c r="J82" s="2011"/>
      <c r="K82" s="2011"/>
      <c r="L82" s="2011"/>
      <c r="M82" s="2011"/>
      <c r="N82" s="2011"/>
      <c r="O82" s="2011"/>
      <c r="P82" s="2011"/>
      <c r="Q82" s="2011"/>
      <c r="R82" s="2011"/>
      <c r="S82" s="2011"/>
      <c r="T82" s="2011"/>
      <c r="U82" s="2011"/>
      <c r="V82" s="2011"/>
    </row>
    <row r="83" spans="1:26" ht="12.75">
      <c r="A83" s="372" t="s">
        <v>1825</v>
      </c>
      <c r="B83" s="373" t="s">
        <v>433</v>
      </c>
      <c r="C83" s="377">
        <v>0</v>
      </c>
      <c r="D83" s="375"/>
      <c r="E83" s="376"/>
      <c r="F83" s="41"/>
      <c r="G83" s="41"/>
      <c r="H83" s="1000"/>
      <c r="I83" s="308"/>
      <c r="J83" s="2011"/>
      <c r="K83" s="3473" t="s">
        <v>2873</v>
      </c>
      <c r="L83" s="3015" t="s">
        <v>2874</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78" t="s">
        <v>1826</v>
      </c>
      <c r="B84" s="379" t="s">
        <v>434</v>
      </c>
      <c r="C84" s="380">
        <v>2000</v>
      </c>
      <c r="D84" s="381" t="s">
        <v>19</v>
      </c>
      <c r="E84" s="3050" t="s">
        <v>2941</v>
      </c>
      <c r="F84" s="41"/>
      <c r="G84" s="41"/>
      <c r="H84" s="1000"/>
      <c r="I84" s="308"/>
      <c r="J84" s="2011"/>
      <c r="K84" s="3473"/>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2876</v>
      </c>
      <c r="P84" s="2011"/>
      <c r="Q84" s="2011"/>
      <c r="R84" s="2011"/>
      <c r="S84" s="2011"/>
      <c r="T84" s="2011"/>
      <c r="U84" s="2011"/>
      <c r="V84" s="2011"/>
    </row>
    <row r="85" spans="1:26" ht="12.75">
      <c r="A85" s="378" t="s">
        <v>1827</v>
      </c>
      <c r="B85" s="379" t="s">
        <v>435</v>
      </c>
      <c r="C85" s="382">
        <f ca="1">C81-C84</f>
        <v>40599</v>
      </c>
      <c r="D85" s="375" t="s">
        <v>19</v>
      </c>
      <c r="E85" s="376"/>
      <c r="F85" s="41"/>
      <c r="G85" s="41"/>
      <c r="H85" s="1000"/>
      <c r="I85" s="308"/>
      <c r="J85" s="2011"/>
      <c r="K85" s="3473"/>
      <c r="L85" s="3015" t="s">
        <v>2877</v>
      </c>
      <c r="M85" s="3005" t="e">
        <f>IF(N69&gt;1000,N69*0.1%,IF(AND(N69&gt;500,N69&lt;=1000),N69*0.5%,IF(AND(N69&gt;50,N69&lt;=500),N69*1%,IF(AND(N69&gt;1,N69&lt;=50),N69*1.5%))))</f>
        <v>#VALUE!</v>
      </c>
      <c r="N85" s="52" t="e">
        <f t="shared" si="2"/>
        <v>#VALUE!</v>
      </c>
      <c r="O85" s="2011" t="s">
        <v>2876</v>
      </c>
      <c r="P85" s="2011"/>
      <c r="Q85" s="2011"/>
      <c r="R85" s="2011"/>
      <c r="S85" s="2011"/>
      <c r="T85" s="2011"/>
      <c r="U85" s="2011"/>
      <c r="V85" s="2011"/>
    </row>
    <row r="86" spans="1:26" ht="13.5" thickBot="1">
      <c r="A86" s="383" t="s">
        <v>1828</v>
      </c>
      <c r="B86" s="384" t="s">
        <v>436</v>
      </c>
      <c r="C86" s="385">
        <f ca="1">IF(C85&lt;=0,0,ROUND(C85*D86,0))</f>
        <v>2233</v>
      </c>
      <c r="D86" s="386">
        <f>'数据-取费表'!B41</f>
        <v>5.5000000000000007E-2</v>
      </c>
      <c r="E86" s="387"/>
      <c r="F86" s="41"/>
      <c r="G86" s="41"/>
      <c r="H86" s="1000"/>
      <c r="I86" s="308"/>
      <c r="J86" s="2011"/>
      <c r="K86" s="3473"/>
      <c r="L86" s="3015" t="s">
        <v>2878</v>
      </c>
      <c r="M86" s="3005" t="e">
        <f>N69*0.5%</f>
        <v>#VALUE!</v>
      </c>
      <c r="N86" s="52" t="e">
        <f>IF(M86&gt;0.5,0.5,ROUND(M86,0))</f>
        <v>#VALUE!</v>
      </c>
      <c r="O86" s="2011" t="s">
        <v>2879</v>
      </c>
      <c r="P86" s="2011"/>
      <c r="Q86" s="2011"/>
      <c r="R86" s="2011"/>
      <c r="S86" s="2011"/>
      <c r="T86" s="2011"/>
      <c r="U86" s="2011"/>
      <c r="V86" s="2011"/>
    </row>
    <row r="87" spans="1:26" s="1247" customFormat="1" ht="14.25" customHeight="1">
      <c r="A87" s="1302"/>
      <c r="B87" s="1303"/>
      <c r="C87" s="1304"/>
      <c r="D87" s="1305"/>
      <c r="E87" s="1306"/>
      <c r="F87" s="41"/>
      <c r="G87" s="41"/>
      <c r="H87" s="1000"/>
      <c r="I87" s="308"/>
      <c r="J87" s="2011"/>
      <c r="K87" s="3473"/>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08"/>
      <c r="Q87" s="2011"/>
      <c r="R87" s="2011"/>
      <c r="S87" s="2011"/>
      <c r="T87" s="2011"/>
      <c r="U87" s="2011"/>
      <c r="V87" s="2011"/>
      <c r="W87" s="289"/>
      <c r="X87" s="289"/>
      <c r="Y87" s="289"/>
      <c r="Z87" s="289"/>
    </row>
    <row r="88" spans="1:26" s="1307" customFormat="1" ht="15" thickBot="1">
      <c r="A88" s="3527" t="s">
        <v>437</v>
      </c>
      <c r="B88" s="3528"/>
      <c r="C88" s="3528"/>
      <c r="D88" s="3528"/>
      <c r="E88" s="3528"/>
      <c r="F88" s="3528"/>
      <c r="G88" s="3528"/>
      <c r="H88" s="3528"/>
      <c r="I88" s="1308"/>
      <c r="J88" s="2019"/>
      <c r="K88" s="3473"/>
      <c r="L88" s="3015" t="s">
        <v>2881</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491" t="s">
        <v>428</v>
      </c>
      <c r="B89" s="3492"/>
      <c r="C89" s="991"/>
      <c r="D89" s="991" t="s">
        <v>429</v>
      </c>
      <c r="E89" s="388" t="s">
        <v>438</v>
      </c>
      <c r="F89" s="389"/>
      <c r="G89" s="389"/>
      <c r="H89" s="390"/>
      <c r="I89" s="1309"/>
      <c r="J89" s="2021"/>
      <c r="K89" s="3473"/>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78" t="s">
        <v>1823</v>
      </c>
      <c r="B90" s="379" t="s">
        <v>439</v>
      </c>
      <c r="C90" s="382">
        <f ca="1">ROUND(D63/(1+'数据-取费表'!C42),0)</f>
        <v>42599</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1829</v>
      </c>
      <c r="B91" s="345" t="s">
        <v>440</v>
      </c>
      <c r="C91" s="382">
        <f ca="1">C92+C96</f>
        <v>2774</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1830</v>
      </c>
      <c r="B92" s="373" t="s">
        <v>441</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1831</v>
      </c>
      <c r="B93" s="373" t="s">
        <v>442</v>
      </c>
      <c r="C93" s="393">
        <v>2000</v>
      </c>
      <c r="D93" s="375" t="s">
        <v>19</v>
      </c>
      <c r="E93" s="394" t="s">
        <v>443</v>
      </c>
      <c r="F93" s="395" t="s">
        <v>444</v>
      </c>
      <c r="G93" s="394" t="s">
        <v>445</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1832</v>
      </c>
      <c r="B94" s="397" t="s">
        <v>446</v>
      </c>
      <c r="C94" s="375">
        <f>IF(F93="购房发票",ROUND(C93*H93*5%,0),0)</f>
        <v>500</v>
      </c>
      <c r="D94" s="398">
        <v>0.05</v>
      </c>
      <c r="E94" s="3524" t="s">
        <v>447</v>
      </c>
      <c r="F94" s="3525"/>
      <c r="G94" s="3525"/>
      <c r="H94" s="3526"/>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1834</v>
      </c>
      <c r="B96" s="373" t="s">
        <v>450</v>
      </c>
      <c r="C96" s="402">
        <f ca="1">ROUND(D63*D96/(1+'数据-取费表'!C42),0)</f>
        <v>213</v>
      </c>
      <c r="D96" s="403">
        <f>'数据-取费表'!B43</f>
        <v>5.000000000000001E-3</v>
      </c>
      <c r="E96" s="3514" t="s">
        <v>2428</v>
      </c>
      <c r="F96" s="3515"/>
      <c r="G96" s="3515"/>
      <c r="H96" s="3516"/>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79" t="s">
        <v>451</v>
      </c>
      <c r="C97" s="382">
        <f ca="1">C90-C91</f>
        <v>39825</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79" t="s">
        <v>452</v>
      </c>
      <c r="C98" s="404">
        <f ca="1">IF(C97&lt;=0,0,C97/C91)</f>
        <v>14.356524873828407</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4" t="s">
        <v>453</v>
      </c>
      <c r="C99" s="405">
        <f ca="1">ROUND(IF(C97&lt;=0,0,IF(C98&gt;=200%,C97*60%-C91*35%,IF(C98&gt;=100%,C97*50%-C91*15%,IF(C98&gt;=50%,C97*40%-C91*5%,IF(C98&lt;50%,C97*30%,0))))),0)</f>
        <v>22924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527" t="s">
        <v>454</v>
      </c>
      <c r="B101" s="3528"/>
      <c r="C101" s="3528"/>
      <c r="D101" s="3528"/>
      <c r="E101" s="3528"/>
      <c r="F101" s="3528"/>
      <c r="G101" s="3528"/>
      <c r="H101" s="3528"/>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491" t="s">
        <v>428</v>
      </c>
      <c r="B102" s="3492"/>
      <c r="C102" s="991"/>
      <c r="D102" s="991" t="s">
        <v>429</v>
      </c>
      <c r="E102" s="388" t="s">
        <v>438</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1823</v>
      </c>
      <c r="B103" s="379" t="s">
        <v>439</v>
      </c>
      <c r="C103" s="382">
        <f ca="1">ROUND(D63/(1+'数据-取费表'!C42),0)</f>
        <v>42599</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1829</v>
      </c>
      <c r="B104" s="345" t="s">
        <v>440</v>
      </c>
      <c r="C104" s="382">
        <f ca="1">IF(H106="仅含出让金",C105+C108+C109+C110+C111+C112,C105+C109+C110+C111+C112)</f>
        <v>903</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1830</v>
      </c>
      <c r="B105" s="373" t="s">
        <v>455</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1831</v>
      </c>
      <c r="B106" s="373" t="s">
        <v>456</v>
      </c>
      <c r="C106" s="413">
        <v>555</v>
      </c>
      <c r="D106" s="403"/>
      <c r="E106" s="414" t="s">
        <v>457</v>
      </c>
      <c r="F106" s="983"/>
      <c r="G106" s="415" t="s">
        <v>458</v>
      </c>
      <c r="H106" s="416"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1832</v>
      </c>
      <c r="B107" s="373" t="s">
        <v>448</v>
      </c>
      <c r="C107" s="402">
        <f>ROUND(C106*D107,0)</f>
        <v>17</v>
      </c>
      <c r="D107" s="403">
        <f>'数据-取费表'!B48+'数据-取费表'!B49</f>
        <v>3.0499999999999999E-2</v>
      </c>
      <c r="E107" s="414"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1834</v>
      </c>
      <c r="B108" s="373" t="s">
        <v>460</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3" t="s">
        <v>461</v>
      </c>
      <c r="C109" s="402">
        <f>IF(H109="——",IF(F1="现房",'剩余法-现房'!C18,'剩余法-待开发'!C18),I109)</f>
        <v>55</v>
      </c>
      <c r="D109" s="403"/>
      <c r="E109" s="3517" t="s">
        <v>462</v>
      </c>
      <c r="F109" s="3515"/>
      <c r="G109" s="3515"/>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3" t="s">
        <v>463</v>
      </c>
      <c r="C110" s="402">
        <f>ROUND((C105+C108+C109)*D110,0)</f>
        <v>63</v>
      </c>
      <c r="D110" s="403">
        <v>0.1</v>
      </c>
      <c r="E110" s="3517" t="s">
        <v>464</v>
      </c>
      <c r="F110" s="3515"/>
      <c r="G110" s="3515"/>
      <c r="H110" s="3516"/>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3" t="s">
        <v>450</v>
      </c>
      <c r="C111" s="402">
        <f ca="1">ROUND(D63*D111/(1+'数据-取费表'!C42),0)</f>
        <v>213</v>
      </c>
      <c r="D111" s="403">
        <f>'数据-取费表'!B43</f>
        <v>5.000000000000001E-3</v>
      </c>
      <c r="E111" s="3514" t="s">
        <v>2428</v>
      </c>
      <c r="F111" s="3515"/>
      <c r="G111" s="3515"/>
      <c r="H111" s="3516"/>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3" t="s">
        <v>465</v>
      </c>
      <c r="C112" s="402">
        <f>ROUND(C108*D112,0)</f>
        <v>0</v>
      </c>
      <c r="D112" s="403">
        <v>0.2</v>
      </c>
      <c r="E112" s="3517" t="s">
        <v>2453</v>
      </c>
      <c r="F112" s="3515"/>
      <c r="G112" s="3515"/>
      <c r="H112" s="3516"/>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79" t="s">
        <v>451</v>
      </c>
      <c r="C113" s="382">
        <f ca="1">ROUND(C103-C104,0)</f>
        <v>41696</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79" t="s">
        <v>452</v>
      </c>
      <c r="C114" s="404">
        <f ca="1">IF(C113&lt;=0,0,C113/C104)</f>
        <v>46.174972314507201</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4" t="s">
        <v>453</v>
      </c>
      <c r="C115" s="405">
        <f ca="1">ROUND(IF(C113&lt;=0,0,IF(C114&gt;=200%,C113*60%-C104*35%,IF(C114&gt;=100%,C113*50%-C104*15%,IF(C114&gt;=50%,C113*40%-C104*5%,IF(C114&lt;50%,C113*30%,0))))),0)</f>
        <v>24702</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4" customFormat="1" ht="21.75" customHeight="1">
      <c r="K185" s="2024"/>
      <c r="L185" s="2024"/>
      <c r="M185" s="2024"/>
      <c r="N185" s="2024"/>
      <c r="O185" s="20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6" zoomScale="90" zoomScaleNormal="90" workbookViewId="0">
      <selection activeCell="G8" sqref="G8"/>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120662</v>
      </c>
      <c r="E1" s="1400" t="s">
        <v>2427</v>
      </c>
      <c r="F1" s="2414">
        <f>'数据-基础表'!A3</f>
        <v>64531.281999999999</v>
      </c>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2761</v>
      </c>
      <c r="S1" s="2889" t="s">
        <v>2762</v>
      </c>
      <c r="T1" s="2889" t="s">
        <v>2783</v>
      </c>
      <c r="U1" s="2889" t="s">
        <v>2784</v>
      </c>
      <c r="V1" s="2889" t="s">
        <v>2785</v>
      </c>
      <c r="W1" s="2172"/>
      <c r="X1" s="2172"/>
      <c r="Y1" s="2172"/>
      <c r="Z1" s="2172"/>
      <c r="AA1" s="2172"/>
      <c r="AB1" s="2172"/>
      <c r="AC1" s="2173"/>
    </row>
    <row r="2" spans="1:39" ht="15.75">
      <c r="A2" s="1400" t="s">
        <v>920</v>
      </c>
      <c r="B2" s="1035">
        <f ca="1">C26</f>
        <v>70937</v>
      </c>
      <c r="C2" s="1401" t="s">
        <v>921</v>
      </c>
      <c r="D2" s="1402" t="s">
        <v>922</v>
      </c>
      <c r="E2" s="1403" t="s">
        <v>923</v>
      </c>
      <c r="F2" s="1402" t="s">
        <v>924</v>
      </c>
      <c r="G2" s="1635" t="str">
        <f>IF(E2="商业",项目基本情况!B43,IF(E2="办公",项目基本情况!C43,IF(E2="住宅",项目基本情况!D43,项目基本情况!E43)))</f>
        <v>九级</v>
      </c>
      <c r="H2" s="1402" t="s">
        <v>926</v>
      </c>
      <c r="I2" s="1636" t="str">
        <f>IF(E2="商业",项目基本情况!B44,IF(E2="办公",项目基本情况!C44,IF(E2="住宅",项目基本情况!D44,项目基本情况!E44)))</f>
        <v>Ⅸ-密1</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12378</v>
      </c>
      <c r="U2" s="2879"/>
      <c r="V2" s="2890">
        <f ca="1">ROUND(T2*U2/10000,0)</f>
        <v>0</v>
      </c>
      <c r="W2" s="2172"/>
      <c r="X2" s="2172"/>
      <c r="Y2" s="2172"/>
      <c r="Z2" s="2172"/>
      <c r="AA2" s="2172"/>
      <c r="AB2" s="2172"/>
      <c r="AC2" s="2173"/>
    </row>
    <row r="3" spans="1:39" ht="24">
      <c r="A3" s="1405" t="s">
        <v>1687</v>
      </c>
      <c r="B3" s="1035">
        <f ca="1">ROUND(B2*10000/D1,0)</f>
        <v>5879</v>
      </c>
      <c r="C3" s="1401" t="s">
        <v>927</v>
      </c>
      <c r="D3" s="1402" t="s">
        <v>928</v>
      </c>
      <c r="E3" s="1406" t="s">
        <v>3081</v>
      </c>
      <c r="F3" s="1407" t="s">
        <v>3082</v>
      </c>
      <c r="G3" s="1036">
        <f>IF(F3="宗地容积率",'数据-汇总表'!I4,IF(F3="估价对象容积率",'数据-汇总表'!I6,'数据-汇总表'!I7))</f>
        <v>2</v>
      </c>
      <c r="H3" s="1408" t="s">
        <v>929</v>
      </c>
      <c r="I3" s="1037">
        <v>1</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8158</v>
      </c>
      <c r="U3" s="2879"/>
      <c r="V3" s="2890">
        <f t="shared" ref="V3:V16" ca="1" si="1">ROUND(T3*U3/10000,0)</f>
        <v>0</v>
      </c>
      <c r="W3" s="2172"/>
      <c r="X3" s="2172"/>
      <c r="Y3" s="2172"/>
      <c r="Z3" s="2172"/>
      <c r="AA3" s="2172"/>
      <c r="AB3" s="2172"/>
      <c r="AC3" s="2173"/>
    </row>
    <row r="4" spans="1:39" ht="28.5">
      <c r="A4" s="1874" t="s">
        <v>2280</v>
      </c>
      <c r="B4" s="2415">
        <f ca="1">ROUND(B2*10000/F1,0)</f>
        <v>10993</v>
      </c>
      <c r="C4" s="1877" t="s">
        <v>2254</v>
      </c>
      <c r="D4" s="1877">
        <f ca="1">ROUND(B2/(F1/666.67),0)</f>
        <v>733</v>
      </c>
      <c r="E4" s="1877" t="s">
        <v>2255</v>
      </c>
      <c r="F4" s="1875"/>
      <c r="G4" s="1875"/>
      <c r="H4" s="1875"/>
      <c r="I4" s="1875"/>
      <c r="J4" s="1876"/>
      <c r="K4" s="3146"/>
      <c r="L4" s="1868" t="s">
        <v>2241</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1.0072000000000001</v>
      </c>
      <c r="T4" s="2890">
        <f t="shared" ca="1" si="0"/>
        <v>6420</v>
      </c>
      <c r="U4" s="2879"/>
      <c r="V4" s="2890">
        <f t="shared" ca="1" si="1"/>
        <v>0</v>
      </c>
      <c r="W4" s="2172"/>
      <c r="X4" s="2172"/>
      <c r="Y4" s="2172"/>
      <c r="Z4" s="2172"/>
      <c r="AA4" s="2172"/>
      <c r="AB4" s="2172"/>
      <c r="AC4" s="2173"/>
    </row>
    <row r="5" spans="1:39" s="1415" customFormat="1" ht="15.75" thickBot="1">
      <c r="A5" s="1621" t="s">
        <v>1823</v>
      </c>
      <c r="B5" s="1409" t="s">
        <v>931</v>
      </c>
      <c r="C5" s="1038">
        <f>ROUND(IF(E2="商业",C6*C7+C16,(IF(E2="住宅",C6*C12+C16,C6+C16))),0)</f>
        <v>3725</v>
      </c>
      <c r="D5" s="3070">
        <f>ROUND(C6+C16,0)</f>
        <v>3390</v>
      </c>
      <c r="E5" s="3070"/>
      <c r="F5" s="1410"/>
      <c r="G5" s="1411"/>
      <c r="H5" s="1411"/>
      <c r="I5" s="1411"/>
      <c r="J5" s="1412"/>
      <c r="K5" s="3147"/>
      <c r="L5" s="1868" t="s">
        <v>2242</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0.75249999999999995</v>
      </c>
      <c r="T5" s="2890">
        <f t="shared" ca="1" si="0"/>
        <v>4796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3350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3607</v>
      </c>
      <c r="U6" s="2879"/>
      <c r="V6" s="2890">
        <f t="shared" ca="1" si="1"/>
        <v>0</v>
      </c>
      <c r="W6" s="2172"/>
      <c r="X6" s="2172"/>
      <c r="Y6" s="2172"/>
      <c r="Z6" s="2172"/>
      <c r="AA6" s="2172"/>
      <c r="AB6" s="2172"/>
      <c r="AC6" s="2174"/>
      <c r="AD6" s="1413"/>
      <c r="AE6" s="1413"/>
      <c r="AF6" s="1413"/>
      <c r="AG6" s="1413"/>
      <c r="AH6" s="1413"/>
      <c r="AI6" s="1413"/>
      <c r="AJ6" s="1414"/>
    </row>
    <row r="7" spans="1:39" ht="24">
      <c r="A7" s="3551" t="str">
        <f>IF(E2="商业",IF(C8="不临58条商业街","",2),"")</f>
        <v/>
      </c>
      <c r="B7" s="1421" t="s">
        <v>932</v>
      </c>
      <c r="C7" s="1040">
        <f>IF(C8="不临58条商业街",1,ROUND(1+(1.6*E8+1.2*E9+0.8*E10+0.4*E11)*C9,4))</f>
        <v>1</v>
      </c>
      <c r="D7" s="1422" t="s">
        <v>933</v>
      </c>
      <c r="E7" s="1041">
        <v>6</v>
      </c>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2884</v>
      </c>
      <c r="U7" s="2879"/>
      <c r="V7" s="2890">
        <f t="shared" ca="1" si="1"/>
        <v>0</v>
      </c>
      <c r="W7" s="2888" t="s">
        <v>2764</v>
      </c>
      <c r="X7" s="2880" t="str">
        <f>G2</f>
        <v>九级</v>
      </c>
      <c r="Y7" s="2880" t="s">
        <v>2765</v>
      </c>
      <c r="Z7" s="2881">
        <f>G3</f>
        <v>2</v>
      </c>
      <c r="AA7" s="2175"/>
      <c r="AB7" s="2175"/>
      <c r="AC7" s="2176"/>
      <c r="AD7" s="2882"/>
      <c r="AE7" s="2882"/>
      <c r="AF7" s="2882"/>
      <c r="AG7" s="2882"/>
      <c r="AH7" s="2882"/>
      <c r="AI7" s="2882"/>
      <c r="AJ7" s="2883"/>
    </row>
    <row r="8" spans="1:39" ht="15">
      <c r="A8" s="3552"/>
      <c r="B8" s="1408" t="s">
        <v>934</v>
      </c>
      <c r="C8" s="1514"/>
      <c r="D8" s="1042" t="s">
        <v>935</v>
      </c>
      <c r="E8" s="1043">
        <f>ROUND(C11/E7,4)</f>
        <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562" t="s">
        <v>2782</v>
      </c>
      <c r="X8" s="3563"/>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552"/>
      <c r="B9" s="1408" t="s">
        <v>937</v>
      </c>
      <c r="C9" s="1044">
        <f>SUMIF(修正!C59:C119,C8,修正!E59:E119)</f>
        <v>0</v>
      </c>
      <c r="D9" s="1045" t="s">
        <v>938</v>
      </c>
      <c r="E9" s="1045">
        <f>ROUND(C11/E7,4)</f>
        <v>0</v>
      </c>
      <c r="F9" s="1426" t="s">
        <v>939</v>
      </c>
      <c r="G9" s="1427"/>
      <c r="H9" s="1427"/>
      <c r="I9" s="1427"/>
      <c r="J9" s="1428"/>
      <c r="K9" s="1450"/>
      <c r="L9" s="1868" t="s">
        <v>2246</v>
      </c>
      <c r="M9" s="1869">
        <f>SUMPRODUCT((区片价!B245:B289=I2)*(区片价!C3:F3=E2)*(区片价!C245:F289))</f>
        <v>3350</v>
      </c>
      <c r="N9" s="1870">
        <f>SUMPRODUCT((因素修正幅度!B245:B289=I2)*(因素修正幅度!C3:F3=E2)*(因素修正幅度!C245:F289))</f>
        <v>0.15</v>
      </c>
      <c r="O9" s="1450"/>
      <c r="P9" s="1395"/>
      <c r="Q9" s="2172"/>
      <c r="R9" s="2890">
        <v>8</v>
      </c>
      <c r="S9" s="2879"/>
      <c r="T9" s="2890">
        <f t="shared" ca="1" si="0"/>
        <v>0</v>
      </c>
      <c r="U9" s="2879"/>
      <c r="V9" s="2890">
        <f t="shared" ca="1" si="1"/>
        <v>0</v>
      </c>
      <c r="W9" s="3561"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52"/>
      <c r="B10" s="1408" t="s">
        <v>940</v>
      </c>
      <c r="C10" s="1045">
        <f>SUMIF(修正!C59:C119,C8,修正!F59:F119)</f>
        <v>0</v>
      </c>
      <c r="D10" s="1045" t="s">
        <v>941</v>
      </c>
      <c r="E10" s="1045">
        <f>ROUND(C11/E7,4)</f>
        <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56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52"/>
      <c r="B11" s="1429" t="s">
        <v>943</v>
      </c>
      <c r="C11" s="1046">
        <f>C10/4</f>
        <v>0</v>
      </c>
      <c r="D11" s="1046" t="s">
        <v>944</v>
      </c>
      <c r="E11" s="1046">
        <f>ROUND(C11/E7,4)</f>
        <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561" t="s">
        <v>2780</v>
      </c>
      <c r="X11" s="1045" t="s">
        <v>2765</v>
      </c>
      <c r="Y11" s="1636">
        <f>$G$3</f>
        <v>2</v>
      </c>
      <c r="Z11" s="1636">
        <f t="shared" ref="Z11:AJ11" si="3">$G$3</f>
        <v>2</v>
      </c>
      <c r="AA11" s="1636">
        <f t="shared" si="3"/>
        <v>2</v>
      </c>
      <c r="AB11" s="1636">
        <f t="shared" si="3"/>
        <v>2</v>
      </c>
      <c r="AC11" s="1636">
        <f t="shared" si="3"/>
        <v>2</v>
      </c>
      <c r="AD11" s="1636">
        <f t="shared" si="3"/>
        <v>2</v>
      </c>
      <c r="AE11" s="1636">
        <f t="shared" si="3"/>
        <v>2</v>
      </c>
      <c r="AF11" s="1636">
        <f t="shared" si="3"/>
        <v>2</v>
      </c>
      <c r="AG11" s="1636">
        <f t="shared" si="3"/>
        <v>2</v>
      </c>
      <c r="AH11" s="1636">
        <f t="shared" si="3"/>
        <v>2</v>
      </c>
      <c r="AI11" s="1636">
        <f t="shared" si="3"/>
        <v>2</v>
      </c>
      <c r="AJ11" s="1636">
        <f t="shared" si="3"/>
        <v>2</v>
      </c>
    </row>
    <row r="12" spans="1:39" ht="25.5" thickBot="1">
      <c r="A12" s="3551" t="s">
        <v>1871</v>
      </c>
      <c r="B12" s="1433" t="s">
        <v>946</v>
      </c>
      <c r="C12" s="1040">
        <f>ROUND(C15*D15*E15*F15*G15*H15*I15*J15,4)</f>
        <v>1.1000000000000001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561"/>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53"/>
      <c r="B13" s="1438" t="s">
        <v>1696</v>
      </c>
      <c r="C13" s="1439" t="s">
        <v>1697</v>
      </c>
      <c r="D13" s="1082" t="s">
        <v>1698</v>
      </c>
      <c r="E13" s="1082" t="s">
        <v>1699</v>
      </c>
      <c r="F13" s="1440" t="s">
        <v>948</v>
      </c>
      <c r="G13" s="1441" t="s">
        <v>1642</v>
      </c>
      <c r="H13" s="1442" t="s">
        <v>1642</v>
      </c>
      <c r="I13" s="1443" t="s">
        <v>1642</v>
      </c>
      <c r="J13" s="1444" t="s">
        <v>1642</v>
      </c>
      <c r="K13" s="3162"/>
      <c r="L13" s="3162"/>
      <c r="M13" s="3162"/>
      <c r="N13" s="3162"/>
      <c r="O13" s="3162"/>
      <c r="P13" s="1395"/>
      <c r="Q13" s="2172"/>
      <c r="R13" s="2890">
        <v>12</v>
      </c>
      <c r="S13" s="2879"/>
      <c r="T13" s="2890">
        <f t="shared" ca="1" si="0"/>
        <v>0</v>
      </c>
      <c r="U13" s="2879"/>
      <c r="V13" s="2890">
        <f t="shared" ca="1" si="1"/>
        <v>0</v>
      </c>
      <c r="W13" s="3561"/>
      <c r="X13" s="2887"/>
      <c r="Y13" s="2886">
        <f>(-0.163*(Y12^2)-0.59*Y12+7617)*(10^(-4))/Y11</f>
        <v>0.38085000000000002</v>
      </c>
      <c r="Z13" s="2886">
        <f t="shared" ref="Z13:AJ13" si="5">(-0.163*(Z12^2)-0.59*Z12+7617)*(10^(-4))/Z11</f>
        <v>0.38085000000000002</v>
      </c>
      <c r="AA13" s="2886">
        <f t="shared" si="5"/>
        <v>0.38085000000000002</v>
      </c>
      <c r="AB13" s="2886">
        <f t="shared" si="5"/>
        <v>0.38085000000000002</v>
      </c>
      <c r="AC13" s="2886">
        <f t="shared" si="5"/>
        <v>0.38085000000000002</v>
      </c>
      <c r="AD13" s="2886">
        <f t="shared" si="5"/>
        <v>0.38085000000000002</v>
      </c>
      <c r="AE13" s="2886">
        <f t="shared" si="5"/>
        <v>0.38085000000000002</v>
      </c>
      <c r="AF13" s="2886">
        <f t="shared" si="5"/>
        <v>0.38085000000000002</v>
      </c>
      <c r="AG13" s="2886">
        <f t="shared" si="5"/>
        <v>0.38085000000000002</v>
      </c>
      <c r="AH13" s="2886">
        <f t="shared" si="5"/>
        <v>0.38085000000000002</v>
      </c>
      <c r="AI13" s="2886">
        <f t="shared" si="5"/>
        <v>0.38085000000000002</v>
      </c>
      <c r="AJ13" s="2886">
        <f t="shared" si="5"/>
        <v>0.38085000000000002</v>
      </c>
    </row>
    <row r="14" spans="1:39" ht="12.75" customHeight="1">
      <c r="A14" s="3553"/>
      <c r="B14" s="1445"/>
      <c r="C14" s="1446" t="s">
        <v>3069</v>
      </c>
      <c r="D14" s="1447" t="s">
        <v>3070</v>
      </c>
      <c r="E14" s="1447" t="s">
        <v>3070</v>
      </c>
      <c r="F14" s="1448" t="s">
        <v>3071</v>
      </c>
      <c r="G14" s="1449" t="s">
        <v>949</v>
      </c>
      <c r="H14" s="1450"/>
      <c r="I14" s="1451"/>
      <c r="J14" s="1452"/>
      <c r="K14" s="3148"/>
      <c r="L14" s="3148"/>
      <c r="M14" s="3148"/>
      <c r="N14" s="3148"/>
      <c r="O14" s="3148"/>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554"/>
      <c r="B15" s="3167" t="s">
        <v>1700</v>
      </c>
      <c r="C15" s="1046">
        <f>IF(C14="有",1.1,1)</f>
        <v>1.1000000000000001</v>
      </c>
      <c r="D15" s="1046">
        <f>IF(D14="有",1.1,1)</f>
        <v>1</v>
      </c>
      <c r="E15" s="1046">
        <f>IF(E14="有",1.1,1)</f>
        <v>1</v>
      </c>
      <c r="F15" s="1046">
        <f>IF(F14="500米范围内",1.2,IF(F14="500-1000米",1.1,1))</f>
        <v>1</v>
      </c>
      <c r="G15" s="3159">
        <v>1</v>
      </c>
      <c r="H15" s="3159">
        <v>1</v>
      </c>
      <c r="I15" s="3159">
        <v>1</v>
      </c>
      <c r="J15" s="3160">
        <v>1</v>
      </c>
      <c r="K15" s="3163"/>
      <c r="L15" s="3163"/>
      <c r="M15" s="3163"/>
      <c r="N15" s="3163"/>
      <c r="O15" s="3163"/>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551" t="s">
        <v>1838</v>
      </c>
      <c r="B16" s="1421" t="s">
        <v>950</v>
      </c>
      <c r="C16" s="1049">
        <f>ROUND(IF(F17="与级别开发程度一致",0,(G17-E17)/C17),0)</f>
        <v>40</v>
      </c>
      <c r="D16" s="3569" t="s">
        <v>954</v>
      </c>
      <c r="E16" s="3570"/>
      <c r="F16" s="3569" t="s">
        <v>951</v>
      </c>
      <c r="G16" s="3570"/>
      <c r="H16" s="1453" t="s">
        <v>3073</v>
      </c>
      <c r="I16" s="1453" t="s">
        <v>3074</v>
      </c>
      <c r="J16" s="1453" t="s">
        <v>3075</v>
      </c>
      <c r="K16" s="1453" t="s">
        <v>3076</v>
      </c>
      <c r="L16" s="1453" t="s">
        <v>3077</v>
      </c>
      <c r="M16" s="1453" t="s">
        <v>3078</v>
      </c>
      <c r="N16" s="1453" t="s">
        <v>3079</v>
      </c>
      <c r="O16" s="3172" t="s">
        <v>952</v>
      </c>
      <c r="P16" s="1395"/>
      <c r="Q16" s="2175"/>
      <c r="R16" s="2890">
        <v>15</v>
      </c>
      <c r="S16" s="2879"/>
      <c r="T16" s="2890">
        <f t="shared" ca="1" si="0"/>
        <v>0</v>
      </c>
      <c r="U16" s="2879"/>
      <c r="V16" s="2890">
        <f t="shared" ca="1" si="1"/>
        <v>0</v>
      </c>
      <c r="W16" s="2175"/>
      <c r="X16" s="2175"/>
      <c r="Y16" s="2175"/>
      <c r="Z16" s="2175"/>
      <c r="AA16" s="2175"/>
      <c r="AB16" s="2175"/>
      <c r="AC16" s="2176"/>
    </row>
    <row r="17" spans="1:40" ht="24.75" thickBot="1">
      <c r="A17" s="3555"/>
      <c r="B17" s="3173" t="s">
        <v>953</v>
      </c>
      <c r="C17" s="3174">
        <f>SUMPRODUCT((修正!A2:A5=E2)*(修正!B1:M1=G2)*(修正!B2:M5))</f>
        <v>1.5</v>
      </c>
      <c r="D17" s="3175" t="str">
        <f>IF(OR(G2="八级",G2="九级",G2="十级",G2="十一级",G2="十二级"),"五通一平","七通一平")</f>
        <v>五通一平</v>
      </c>
      <c r="E17" s="3165">
        <f>SUMPRODUCT((修正!B1:M1=G2)*(修正!B15:M15))</f>
        <v>155</v>
      </c>
      <c r="F17" s="3166" t="s">
        <v>3072</v>
      </c>
      <c r="G17" s="3165">
        <f>SUM(H17:O17)</f>
        <v>215</v>
      </c>
      <c r="H17" s="1048">
        <f>SUMPRODUCT((七通一平=H16)*(修正!B1:M1=G2)*(修正!B6:M14))</f>
        <v>50</v>
      </c>
      <c r="I17" s="1048">
        <f>SUMPRODUCT((七通一平=I16)*(修正!B1:M1=G2)*(修正!B6:M14))</f>
        <v>40</v>
      </c>
      <c r="J17" s="1048">
        <f>SUMPRODUCT((七通一平=J16)*(修正!B1:M1=G2)*(修正!B6:M14))</f>
        <v>20</v>
      </c>
      <c r="K17" s="1048">
        <f>SUMPRODUCT((七通一平=K16)*(修正!B1:M1=G2)*(修正!B6:M14))</f>
        <v>25</v>
      </c>
      <c r="L17" s="1048">
        <f>SUMPRODUCT((七通一平=L16)*(修正!B1:M1=G2)*(修正!B6:M14))</f>
        <v>40</v>
      </c>
      <c r="M17" s="1048">
        <f>SUMPRODUCT((七通一平=M16)*(修正!B1:M1=G2)*(修正!B6:M14))</f>
        <v>30</v>
      </c>
      <c r="N17" s="1048">
        <f>SUMPRODUCT((七通一平=N16)*(修正!B1:M1=G2)*(修正!B6:M14))</f>
        <v>10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8" t="s">
        <v>955</v>
      </c>
      <c r="C18" s="3169">
        <f>SUMIF(修正!C18:C39,E3,修正!E18:E39)</f>
        <v>1</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地价!AA6</f>
        <v>1.6662999999999999</v>
      </c>
      <c r="D19" s="1460" t="s">
        <v>957</v>
      </c>
      <c r="E19" s="1051">
        <v>41640</v>
      </c>
      <c r="F19" s="1460" t="s">
        <v>958</v>
      </c>
      <c r="G19" s="1052">
        <f>'数据-取费表'!B2</f>
        <v>43780</v>
      </c>
      <c r="H19" s="1461" t="s">
        <v>2995</v>
      </c>
      <c r="I19" s="2738" t="str">
        <f>IF(H19="季度增幅（自定义）",SUMIF(N21:N24,E2,O21:O24),"")</f>
        <v/>
      </c>
      <c r="J19" s="1457"/>
      <c r="K19" s="3147"/>
      <c r="L19" s="2990" t="s">
        <v>2840</v>
      </c>
      <c r="M19" s="2991">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0.05</v>
      </c>
      <c r="H20" s="2735" t="s">
        <v>974</v>
      </c>
      <c r="I20" s="2731">
        <f>SUMIF('数据-取费表'!C6:C15,E2,'数据-取费表'!F6:F15)/COUNTIF('数据-取费表'!C6:C15,E2)</f>
        <v>70</v>
      </c>
      <c r="J20" s="2737">
        <f>IF(E2="住宅",70,IF(E2="商业",40,50))</f>
        <v>70</v>
      </c>
      <c r="K20" s="3149"/>
      <c r="L20" s="2992" t="s">
        <v>2841</v>
      </c>
      <c r="M20" s="3156">
        <f>ROUND(SUMPRODUCT((地价!A4:A28=YEAR(G19)&amp;"-"&amp;ROUNDUP(MONTH(G19)/3,0))*(地价!B2:F2=E2)*(地价!B4:F28)),0)</f>
        <v>682</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3080</v>
      </c>
      <c r="C21" s="1151">
        <f>IF(B21="容积率修正",IF(G3&lt;=10,D22,J22),C23)</f>
        <v>0.9224</v>
      </c>
      <c r="D21" s="1467"/>
      <c r="E21" s="1467"/>
      <c r="F21" s="1467"/>
      <c r="G21" s="1467"/>
      <c r="H21" s="1467"/>
      <c r="I21" s="1467"/>
      <c r="J21" s="1468"/>
      <c r="K21" s="3147"/>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f>IF(E22=G22,F22,IF(G3&lt;=10,ROUND(F22+(H22-F22)*(G3-E22)/(G22-E22),4),"——"))</f>
        <v>0.9224</v>
      </c>
      <c r="E22" s="1036">
        <f>ROUNDDOWN(G3,1)</f>
        <v>2</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1053" t="s">
        <v>977</v>
      </c>
      <c r="J22" s="1053" t="str">
        <f>IF(G3&gt;10,D113,"——")</f>
        <v>——</v>
      </c>
      <c r="K22" s="3150"/>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1.9419999999999999</v>
      </c>
      <c r="D23" s="1515"/>
      <c r="E23" s="1515"/>
      <c r="F23" s="1516"/>
      <c r="G23" s="1517"/>
      <c r="H23" s="1518"/>
      <c r="I23" s="1519"/>
      <c r="J23" s="1519"/>
      <c r="K23" s="3151"/>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1.0268999999999999</v>
      </c>
      <c r="D24" s="1520"/>
      <c r="E24" s="1521"/>
      <c r="F24" s="1521"/>
      <c r="G24" s="1521"/>
      <c r="H24" s="1521"/>
      <c r="I24" s="1521"/>
      <c r="J24" s="1521"/>
      <c r="K24" s="3151"/>
      <c r="L24" s="1467"/>
      <c r="M24" s="1467"/>
      <c r="N24" s="1464" t="s">
        <v>981</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7" t="s">
        <v>2648</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f ca="1">E29+SUM(E33:E39)</f>
        <v>70937</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f ca="1">E30+SUM(I33:I39)</f>
        <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f ca="1">ROUND(C5*C18*C19*C20*C21*C24,0)</f>
        <v>5879</v>
      </c>
      <c r="D29" s="1489">
        <f>'数据-汇总表'!E3</f>
        <v>120662</v>
      </c>
      <c r="E29" s="1832">
        <f ca="1">ROUND(C29*D29/10000,0)</f>
        <v>70937</v>
      </c>
      <c r="F29" s="1490" t="s">
        <v>1701</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f ca="1">ROUND(IF(E2="工业",C29*M39,C29*M38),0)</f>
        <v>1470</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58" t="s">
        <v>2961</v>
      </c>
      <c r="B33" s="1509" t="s">
        <v>999</v>
      </c>
      <c r="C33" s="1056">
        <f ca="1">ROUND(D5*C19*C20*C24*F33,0)</f>
        <v>3480</v>
      </c>
      <c r="D33" s="1522"/>
      <c r="E33" s="1045">
        <f ca="1">ROUND(C33*D33/10000,0)</f>
        <v>0</v>
      </c>
      <c r="F33" s="1045">
        <f>SUMIF(修正!A45:A56,G2,修正!B45:B56)</f>
        <v>0.6</v>
      </c>
      <c r="G33" s="1045">
        <f t="shared" ref="G33" ca="1" si="6">ROUND(IF(E2="工业",C33*$M$39,C33*$M$38),0)</f>
        <v>870</v>
      </c>
      <c r="H33" s="1045">
        <f>D33</f>
        <v>0</v>
      </c>
      <c r="I33" s="1045">
        <f ca="1">ROUND(G33*H33/10000,0)</f>
        <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59"/>
      <c r="B34" s="1439" t="s">
        <v>1000</v>
      </c>
      <c r="C34" s="1056">
        <f ca="1">ROUND(D5*C19*C20*C24*F34,0)</f>
        <v>1740</v>
      </c>
      <c r="D34" s="1522"/>
      <c r="E34" s="1045">
        <f t="shared" ref="E34:E39" ca="1" si="7">ROUND(C34*D34/10000,0)</f>
        <v>0</v>
      </c>
      <c r="F34" s="1045">
        <f>SUMIF(修正!A45:A56,G2,修正!C45:C56)</f>
        <v>0.3</v>
      </c>
      <c r="G34" s="1045">
        <f ca="1">ROUND(IF(E2="工业",C34*$M$39,C34*$M$38),0)</f>
        <v>435</v>
      </c>
      <c r="H34" s="1045">
        <f t="shared" ref="H34:H39" si="8">D34</f>
        <v>0</v>
      </c>
      <c r="I34" s="1045">
        <f t="shared" ref="I34:I39" ca="1" si="9">ROUND(G34*H34/10000,0)</f>
        <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59"/>
      <c r="B35" s="1439" t="s">
        <v>1001</v>
      </c>
      <c r="C35" s="1056">
        <f ca="1">ROUND(D5*C19*C20*C24*F35,0)</f>
        <v>1160</v>
      </c>
      <c r="D35" s="1522"/>
      <c r="E35" s="1045">
        <f t="shared" ca="1" si="7"/>
        <v>0</v>
      </c>
      <c r="F35" s="1045">
        <f>SUMIF(修正!A45:A56,G2,修正!D45:D56)</f>
        <v>0.2</v>
      </c>
      <c r="G35" s="1045">
        <f ca="1">ROUND(IF(E2="工业",C35*$M$39,C35*$M$38),0)</f>
        <v>290</v>
      </c>
      <c r="H35" s="1045">
        <f t="shared" si="8"/>
        <v>0</v>
      </c>
      <c r="I35" s="1045">
        <f t="shared" ca="1" si="9"/>
        <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60"/>
      <c r="B36" s="1439" t="s">
        <v>1002</v>
      </c>
      <c r="C36" s="1056">
        <f ca="1">ROUND(D5*C19*C20*C24*F36,0)</f>
        <v>1160</v>
      </c>
      <c r="D36" s="1522"/>
      <c r="E36" s="1045">
        <f t="shared" ca="1" si="7"/>
        <v>0</v>
      </c>
      <c r="F36" s="1045">
        <f>SUMIF(修正!A45:A56,G2,修正!E45:E56)</f>
        <v>0.2</v>
      </c>
      <c r="G36" s="1045">
        <f ca="1">ROUND(IF(E2="工业",C36*$M$39,C36*$M$38),0)</f>
        <v>290</v>
      </c>
      <c r="H36" s="1045">
        <f t="shared" si="8"/>
        <v>0</v>
      </c>
      <c r="I36" s="1045">
        <f t="shared" ca="1" si="9"/>
        <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f ca="1">ROUND(D5*C19*C20*C24*F37,0)</f>
        <v>1160</v>
      </c>
      <c r="D37" s="1522"/>
      <c r="E37" s="1045">
        <f t="shared" ca="1" si="7"/>
        <v>0</v>
      </c>
      <c r="F37" s="1056">
        <f>SUMIF(修正!A45:A56,G2,修正!F45:F56)</f>
        <v>0.2</v>
      </c>
      <c r="G37" s="1045">
        <f ca="1">ROUND(IF(E2="工业",C37*$M$39,C37*$M$38),0)</f>
        <v>290</v>
      </c>
      <c r="H37" s="1045">
        <f t="shared" si="8"/>
        <v>0</v>
      </c>
      <c r="I37" s="1045">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f ca="1">ROUND(D5*C19*C41*C24*F38,0)</f>
        <v>0</v>
      </c>
      <c r="D38" s="1522"/>
      <c r="E38" s="1045">
        <f t="shared" ca="1" si="7"/>
        <v>0</v>
      </c>
      <c r="F38" s="1056">
        <f>SUMIF(修正!A45:A56,G2,修正!G45:G56)</f>
        <v>0.2</v>
      </c>
      <c r="G38" s="1045">
        <f ca="1">ROUND(IF(E2="工业",C38*$M$39,C38*$M$38),0)</f>
        <v>0</v>
      </c>
      <c r="H38" s="1045">
        <f t="shared" si="8"/>
        <v>0</v>
      </c>
      <c r="I38" s="1045">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f ca="1">ROUND(D5*C19*C41*C24*F39,0)</f>
        <v>0</v>
      </c>
      <c r="D39" s="1523"/>
      <c r="E39" s="1048">
        <f t="shared" ca="1" si="7"/>
        <v>0</v>
      </c>
      <c r="F39" s="1058">
        <f>SUMIF(修正!A45:A56,G2,修正!H45:H56)</f>
        <v>0.15</v>
      </c>
      <c r="G39" s="1048">
        <f ca="1">ROUND(IF(E2="工业",C39*$M$39,C39*$M$38),0)</f>
        <v>0</v>
      </c>
      <c r="H39" s="1048">
        <f t="shared" si="8"/>
        <v>0</v>
      </c>
      <c r="I39" s="1048">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2988</v>
      </c>
      <c r="C41" s="836">
        <f ca="1">ROUND(POWER(1+E41,H41-G41)*(POWER(1+E41,G41)-1)/(POWER(1+E41,H41)-1),4)</f>
        <v>0</v>
      </c>
      <c r="D41" s="375" t="s">
        <v>2986</v>
      </c>
      <c r="E41" s="3144">
        <f ca="1">G20</f>
        <v>0.05</v>
      </c>
      <c r="F41" s="375" t="s">
        <v>2987</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hidden="1">
      <c r="A45" s="2386" t="s">
        <v>1007</v>
      </c>
      <c r="B45" s="2387" t="e">
        <f>1+E47</f>
        <v>#VALUE!</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hidden="1">
      <c r="A46" s="1060"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hidden="1">
      <c r="A47" s="1060" t="s">
        <v>1020</v>
      </c>
      <c r="B47" s="2373" t="str">
        <f>估价对象房地状况!C16</f>
        <v>估价对象位于XX商圈，周边商业氛围成熟，人流量大，商业繁华度好</v>
      </c>
      <c r="C47" s="1047" t="s">
        <v>3085</v>
      </c>
      <c r="D47" s="2379" t="e">
        <f t="shared" ref="D47:D55" si="10">SUMIF($J$46:$N$46,C47,J47:N47)</f>
        <v>#VALUE!</v>
      </c>
      <c r="E47" s="2398" t="e">
        <f>ROUND(SUM(D47:D55),4)</f>
        <v>#VALUE!</v>
      </c>
      <c r="F47" s="2399" t="str">
        <f>IF(E2="商业",SUMIF(L1:L12,G2,N1:N12),"——")</f>
        <v>——</v>
      </c>
      <c r="G47" s="2377" t="str">
        <f>H47</f>
        <v>——</v>
      </c>
      <c r="H47" s="2423" t="str">
        <f t="shared" ref="H47:H55" si="11">IFERROR(ROUNDDOWN(($F$47*I47/2),4),"——")</f>
        <v>——</v>
      </c>
      <c r="I47" s="2397">
        <v>0.33</v>
      </c>
      <c r="J47" s="2400" t="e">
        <f t="shared" ref="J47:J55" si="12">K47+$G47</f>
        <v>#VALUE!</v>
      </c>
      <c r="K47" s="2400" t="e">
        <f t="shared" ref="K47:K55" si="13">$L47+$G47</f>
        <v>#VALUE!</v>
      </c>
      <c r="L47" s="2400">
        <v>0</v>
      </c>
      <c r="M47" s="2400" t="e">
        <f t="shared" ref="M47:N55" si="14">L47-$G47</f>
        <v>#VALUE!</v>
      </c>
      <c r="N47" s="2400" t="e">
        <f t="shared" si="14"/>
        <v>#VALUE!</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hidden="1">
      <c r="A48" s="1060" t="s">
        <v>1021</v>
      </c>
      <c r="B48" s="2370" t="str">
        <f>估价对象房地状况!C18</f>
        <v>估价对象周边道路状况、公共交通通达情况、停车便捷程度，综合评价交通便捷度较好</v>
      </c>
      <c r="C48" s="1047" t="s">
        <v>3083</v>
      </c>
      <c r="D48" s="2379">
        <f t="shared" si="10"/>
        <v>0</v>
      </c>
      <c r="E48" s="2401"/>
      <c r="F48" s="2399"/>
      <c r="G48" s="2377" t="str">
        <f t="shared" ref="G48:G55" si="15">H48</f>
        <v>——</v>
      </c>
      <c r="H48" s="2423" t="str">
        <f t="shared" si="11"/>
        <v>——</v>
      </c>
      <c r="I48" s="2397">
        <v>0.25</v>
      </c>
      <c r="J48" s="2400" t="e">
        <f t="shared" si="12"/>
        <v>#VALUE!</v>
      </c>
      <c r="K48" s="2400" t="e">
        <f t="shared" si="13"/>
        <v>#VALUE!</v>
      </c>
      <c r="L48" s="2400">
        <v>0</v>
      </c>
      <c r="M48" s="2400" t="e">
        <f t="shared" si="14"/>
        <v>#VALUE!</v>
      </c>
      <c r="N48" s="2400" t="e">
        <f t="shared" si="14"/>
        <v>#VALUE!</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hidden="1">
      <c r="A49" s="1060" t="s">
        <v>1022</v>
      </c>
      <c r="B49" s="2370">
        <f>估价对象房地状况!C19</f>
        <v>0</v>
      </c>
      <c r="C49" s="1047" t="s">
        <v>3084</v>
      </c>
      <c r="D49" s="2379" t="e">
        <f t="shared" si="10"/>
        <v>#VALUE!</v>
      </c>
      <c r="E49" s="2401"/>
      <c r="F49" s="2399"/>
      <c r="G49" s="2377" t="str">
        <f t="shared" si="15"/>
        <v>——</v>
      </c>
      <c r="H49" s="2423" t="str">
        <f t="shared" si="11"/>
        <v>——</v>
      </c>
      <c r="I49" s="2397">
        <v>0.05</v>
      </c>
      <c r="J49" s="2400" t="e">
        <f t="shared" si="12"/>
        <v>#VALUE!</v>
      </c>
      <c r="K49" s="2400" t="e">
        <f t="shared" si="13"/>
        <v>#VALUE!</v>
      </c>
      <c r="L49" s="2400">
        <v>0</v>
      </c>
      <c r="M49" s="2400" t="e">
        <f t="shared" si="14"/>
        <v>#VALUE!</v>
      </c>
      <c r="N49" s="2400" t="e">
        <f t="shared" si="14"/>
        <v>#VALUE!</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hidden="1">
      <c r="A50" s="1060" t="s">
        <v>1023</v>
      </c>
      <c r="B50" s="3047" t="s">
        <v>2938</v>
      </c>
      <c r="C50" s="1047" t="s">
        <v>3084</v>
      </c>
      <c r="D50" s="2379" t="e">
        <f t="shared" si="10"/>
        <v>#VALUE!</v>
      </c>
      <c r="E50" s="2401"/>
      <c r="F50" s="2399"/>
      <c r="G50" s="2377" t="str">
        <f t="shared" si="15"/>
        <v>——</v>
      </c>
      <c r="H50" s="2423" t="str">
        <f t="shared" si="11"/>
        <v>——</v>
      </c>
      <c r="I50" s="2397">
        <v>0.05</v>
      </c>
      <c r="J50" s="2400" t="e">
        <f t="shared" si="12"/>
        <v>#VALUE!</v>
      </c>
      <c r="K50" s="2400" t="e">
        <f t="shared" si="13"/>
        <v>#VALUE!</v>
      </c>
      <c r="L50" s="2400">
        <v>0</v>
      </c>
      <c r="M50" s="2400" t="e">
        <f t="shared" si="14"/>
        <v>#VALUE!</v>
      </c>
      <c r="N50" s="2400" t="e">
        <f t="shared" si="14"/>
        <v>#VALUE!</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hidden="1">
      <c r="A51" s="1060" t="s">
        <v>1024</v>
      </c>
      <c r="B51" s="2370">
        <f>估价对象房地状况!C24</f>
        <v>0</v>
      </c>
      <c r="C51" s="1047" t="s">
        <v>3083</v>
      </c>
      <c r="D51" s="2379">
        <f t="shared" si="10"/>
        <v>0</v>
      </c>
      <c r="E51" s="2401"/>
      <c r="F51" s="2399"/>
      <c r="G51" s="2377" t="str">
        <f t="shared" si="15"/>
        <v>——</v>
      </c>
      <c r="H51" s="2423" t="str">
        <f t="shared" si="11"/>
        <v>——</v>
      </c>
      <c r="I51" s="2397">
        <v>0.08</v>
      </c>
      <c r="J51" s="2400" t="e">
        <f t="shared" si="12"/>
        <v>#VALUE!</v>
      </c>
      <c r="K51" s="2400" t="e">
        <f t="shared" si="13"/>
        <v>#VALUE!</v>
      </c>
      <c r="L51" s="2400">
        <v>0</v>
      </c>
      <c r="M51" s="2400" t="e">
        <f t="shared" si="14"/>
        <v>#VALUE!</v>
      </c>
      <c r="N51" s="2400" t="e">
        <f t="shared" si="14"/>
        <v>#VALUE!</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hidden="1">
      <c r="A52" s="1060" t="s">
        <v>1025</v>
      </c>
      <c r="B52" s="3046" t="s">
        <v>2937</v>
      </c>
      <c r="C52" s="1047" t="s">
        <v>3084</v>
      </c>
      <c r="D52" s="2379" t="e">
        <f t="shared" si="10"/>
        <v>#VALUE!</v>
      </c>
      <c r="E52" s="2401"/>
      <c r="F52" s="2399"/>
      <c r="G52" s="2377" t="str">
        <f t="shared" si="15"/>
        <v>——</v>
      </c>
      <c r="H52" s="2423" t="str">
        <f t="shared" si="11"/>
        <v>——</v>
      </c>
      <c r="I52" s="2397">
        <v>0.03</v>
      </c>
      <c r="J52" s="2400" t="e">
        <f t="shared" si="12"/>
        <v>#VALUE!</v>
      </c>
      <c r="K52" s="2400" t="e">
        <f t="shared" si="13"/>
        <v>#VALUE!</v>
      </c>
      <c r="L52" s="2400">
        <v>0</v>
      </c>
      <c r="M52" s="2400" t="e">
        <f t="shared" si="14"/>
        <v>#VALUE!</v>
      </c>
      <c r="N52" s="2400" t="e">
        <f t="shared" si="14"/>
        <v>#VALUE!</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hidden="1">
      <c r="A53" s="2402" t="s">
        <v>1026</v>
      </c>
      <c r="B53" s="2371" t="str">
        <f>估价对象房地状况!C21</f>
        <v>估价对象所在区域公共配套设施齐备情况</v>
      </c>
      <c r="C53" s="1047" t="s">
        <v>3083</v>
      </c>
      <c r="D53" s="2379">
        <f t="shared" si="10"/>
        <v>0</v>
      </c>
      <c r="E53" s="2401"/>
      <c r="F53" s="2399"/>
      <c r="G53" s="2377" t="str">
        <f t="shared" si="15"/>
        <v>——</v>
      </c>
      <c r="H53" s="2423" t="str">
        <f t="shared" si="11"/>
        <v>——</v>
      </c>
      <c r="I53" s="2397">
        <v>0.05</v>
      </c>
      <c r="J53" s="2400" t="e">
        <f t="shared" si="12"/>
        <v>#VALUE!</v>
      </c>
      <c r="K53" s="2400" t="e">
        <f t="shared" si="13"/>
        <v>#VALUE!</v>
      </c>
      <c r="L53" s="2400">
        <v>0</v>
      </c>
      <c r="M53" s="2400" t="e">
        <f t="shared" si="14"/>
        <v>#VALUE!</v>
      </c>
      <c r="N53" s="2400" t="e">
        <f t="shared" si="14"/>
        <v>#VALUE!</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hidden="1">
      <c r="A54" s="2402" t="s">
        <v>1027</v>
      </c>
      <c r="B54" s="2370" t="str">
        <f>估价对象房地状况!C22</f>
        <v>估价对象所在区域基础设施水平</v>
      </c>
      <c r="C54" s="1047" t="s">
        <v>3084</v>
      </c>
      <c r="D54" s="2379" t="e">
        <f t="shared" si="10"/>
        <v>#VALUE!</v>
      </c>
      <c r="E54" s="2401"/>
      <c r="F54" s="2399"/>
      <c r="G54" s="2377" t="str">
        <f t="shared" si="15"/>
        <v>——</v>
      </c>
      <c r="H54" s="2423" t="str">
        <f t="shared" si="11"/>
        <v>——</v>
      </c>
      <c r="I54" s="2397">
        <v>0.1</v>
      </c>
      <c r="J54" s="2400" t="e">
        <f t="shared" si="12"/>
        <v>#VALUE!</v>
      </c>
      <c r="K54" s="2400" t="e">
        <f t="shared" si="13"/>
        <v>#VALUE!</v>
      </c>
      <c r="L54" s="2400">
        <v>0</v>
      </c>
      <c r="M54" s="2400" t="e">
        <f t="shared" si="14"/>
        <v>#VALUE!</v>
      </c>
      <c r="N54" s="2400" t="e">
        <f t="shared" si="14"/>
        <v>#VALUE!</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hidden="1" thickBot="1">
      <c r="A55" s="2403" t="s">
        <v>1028</v>
      </c>
      <c r="B55" s="2374" t="str">
        <f>估价对象房地状况!C20</f>
        <v>区域自然环境：；人文环境；综合评价环境状况一般</v>
      </c>
      <c r="C55" s="1047" t="s">
        <v>3084</v>
      </c>
      <c r="D55" s="2379" t="e">
        <f t="shared" si="10"/>
        <v>#VALUE!</v>
      </c>
      <c r="E55" s="2405"/>
      <c r="F55" s="2399"/>
      <c r="G55" s="2377" t="str">
        <f t="shared" si="15"/>
        <v>——</v>
      </c>
      <c r="H55" s="2423" t="str">
        <f t="shared" si="11"/>
        <v>——</v>
      </c>
      <c r="I55" s="2404">
        <v>0.06</v>
      </c>
      <c r="J55" s="2400" t="e">
        <f t="shared" si="12"/>
        <v>#VALUE!</v>
      </c>
      <c r="K55" s="2400" t="e">
        <f t="shared" si="13"/>
        <v>#VALUE!</v>
      </c>
      <c r="L55" s="2400">
        <v>0</v>
      </c>
      <c r="M55" s="2400" t="e">
        <f t="shared" si="14"/>
        <v>#VALUE!</v>
      </c>
      <c r="N55" s="2400" t="e">
        <f t="shared" si="14"/>
        <v>#VALUE!</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hidden="1">
      <c r="A56" s="2386" t="s">
        <v>1029</v>
      </c>
      <c r="B56" s="2387" t="e">
        <f>1+E58</f>
        <v>#VALUE!</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hidden="1">
      <c r="A57" s="1060"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hidden="1">
      <c r="A58" s="1060" t="s">
        <v>1030</v>
      </c>
      <c r="B58" s="2373" t="str">
        <f>估价对象房地状况!C17</f>
        <v>估价对象位于XX商圈，周边办公楼项目较多，入驻率高，办公集聚程度较好</v>
      </c>
      <c r="C58" s="1047" t="s">
        <v>3201</v>
      </c>
      <c r="D58" s="2379" t="e">
        <f t="shared" ref="D58:D66" si="16">SUMIF($J$57:$N$57,C58,J58:N58)</f>
        <v>#VALUE!</v>
      </c>
      <c r="E58" s="2398" t="e">
        <f>ROUND(SUM(D58:D66),4)</f>
        <v>#VALUE!</v>
      </c>
      <c r="F58" s="2399" t="str">
        <f>IF(E2="办公",SUMIF(L1:L12,G2,N1:N12),"——")</f>
        <v>——</v>
      </c>
      <c r="G58" s="2377" t="str">
        <f>H58</f>
        <v>——</v>
      </c>
      <c r="H58" s="2423" t="str">
        <f>IFERROR(ROUNDDOWN($F$58*I58/2,4),"——")</f>
        <v>——</v>
      </c>
      <c r="I58" s="2397">
        <v>0.24</v>
      </c>
      <c r="J58" s="2400" t="e">
        <f t="shared" ref="J58:J66" si="17">K58+$G58</f>
        <v>#VALUE!</v>
      </c>
      <c r="K58" s="2400" t="e">
        <f t="shared" ref="K58:K66" si="18">$L58+$G58</f>
        <v>#VALUE!</v>
      </c>
      <c r="L58" s="2400">
        <v>0</v>
      </c>
      <c r="M58" s="2400" t="e">
        <f t="shared" ref="M58:N66" si="19">L58-$G58</f>
        <v>#VALUE!</v>
      </c>
      <c r="N58" s="2400" t="e">
        <f t="shared" si="19"/>
        <v>#VALUE!</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hidden="1">
      <c r="A59" s="1060" t="s">
        <v>1021</v>
      </c>
      <c r="B59" s="2370" t="str">
        <f>估价对象房地状况!C18</f>
        <v>估价对象周边道路状况、公共交通通达情况、停车便捷程度，综合评价交通便捷度较好</v>
      </c>
      <c r="C59" s="1047" t="s">
        <v>3083</v>
      </c>
      <c r="D59" s="2379">
        <f t="shared" si="16"/>
        <v>0</v>
      </c>
      <c r="E59" s="2401"/>
      <c r="F59" s="2399"/>
      <c r="G59" s="2377" t="str">
        <f t="shared" ref="G59:G66" si="20">H59</f>
        <v>——</v>
      </c>
      <c r="H59" s="2378" t="str">
        <f t="shared" ref="H59:H66" si="21">IFERROR($F$58*I59/2,"——")</f>
        <v>——</v>
      </c>
      <c r="I59" s="2397">
        <v>0.3</v>
      </c>
      <c r="J59" s="2400" t="e">
        <f t="shared" si="17"/>
        <v>#VALUE!</v>
      </c>
      <c r="K59" s="2400" t="e">
        <f t="shared" si="18"/>
        <v>#VALUE!</v>
      </c>
      <c r="L59" s="2400">
        <v>0</v>
      </c>
      <c r="M59" s="2400" t="e">
        <f t="shared" si="19"/>
        <v>#VALUE!</v>
      </c>
      <c r="N59" s="2400" t="e">
        <f t="shared" si="19"/>
        <v>#VALUE!</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hidden="1">
      <c r="A60" s="1060" t="s">
        <v>1022</v>
      </c>
      <c r="B60" s="2370">
        <f>估价对象房地状况!C19</f>
        <v>0</v>
      </c>
      <c r="C60" s="1047" t="s">
        <v>3085</v>
      </c>
      <c r="D60" s="2379" t="e">
        <f t="shared" si="16"/>
        <v>#VALUE!</v>
      </c>
      <c r="E60" s="2401"/>
      <c r="F60" s="2399"/>
      <c r="G60" s="2377" t="str">
        <f t="shared" si="20"/>
        <v>——</v>
      </c>
      <c r="H60" s="2378" t="str">
        <f t="shared" si="21"/>
        <v>——</v>
      </c>
      <c r="I60" s="2397">
        <v>0.08</v>
      </c>
      <c r="J60" s="2400" t="e">
        <f t="shared" si="17"/>
        <v>#VALUE!</v>
      </c>
      <c r="K60" s="2400" t="e">
        <f t="shared" si="18"/>
        <v>#VALUE!</v>
      </c>
      <c r="L60" s="2400">
        <v>0</v>
      </c>
      <c r="M60" s="2400" t="e">
        <f t="shared" si="19"/>
        <v>#VALUE!</v>
      </c>
      <c r="N60" s="2400" t="e">
        <f t="shared" si="19"/>
        <v>#VALUE!</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hidden="1">
      <c r="A61" s="1060" t="s">
        <v>1023</v>
      </c>
      <c r="B61" s="3047" t="s">
        <v>2939</v>
      </c>
      <c r="C61" s="1047" t="s">
        <v>3084</v>
      </c>
      <c r="D61" s="2379" t="e">
        <f t="shared" si="16"/>
        <v>#VALUE!</v>
      </c>
      <c r="E61" s="2401"/>
      <c r="F61" s="2399"/>
      <c r="G61" s="2377" t="str">
        <f t="shared" si="20"/>
        <v>——</v>
      </c>
      <c r="H61" s="2378" t="str">
        <f t="shared" si="21"/>
        <v>——</v>
      </c>
      <c r="I61" s="2397">
        <v>0.04</v>
      </c>
      <c r="J61" s="2400" t="e">
        <f t="shared" si="17"/>
        <v>#VALUE!</v>
      </c>
      <c r="K61" s="2400" t="e">
        <f t="shared" si="18"/>
        <v>#VALUE!</v>
      </c>
      <c r="L61" s="2400">
        <v>0</v>
      </c>
      <c r="M61" s="2400" t="e">
        <f t="shared" si="19"/>
        <v>#VALUE!</v>
      </c>
      <c r="N61" s="2400" t="e">
        <f t="shared" si="19"/>
        <v>#VALUE!</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hidden="1">
      <c r="A62" s="1060" t="s">
        <v>1024</v>
      </c>
      <c r="B62" s="2370">
        <f>估价对象房地状况!C24</f>
        <v>0</v>
      </c>
      <c r="C62" s="1047" t="s">
        <v>3083</v>
      </c>
      <c r="D62" s="2379">
        <f t="shared" si="16"/>
        <v>0</v>
      </c>
      <c r="E62" s="2401"/>
      <c r="F62" s="2399"/>
      <c r="G62" s="2377" t="str">
        <f t="shared" si="20"/>
        <v>——</v>
      </c>
      <c r="H62" s="2378" t="str">
        <f t="shared" si="21"/>
        <v>——</v>
      </c>
      <c r="I62" s="2397">
        <v>0.05</v>
      </c>
      <c r="J62" s="2400" t="e">
        <f t="shared" si="17"/>
        <v>#VALUE!</v>
      </c>
      <c r="K62" s="2400" t="e">
        <f t="shared" si="18"/>
        <v>#VALUE!</v>
      </c>
      <c r="L62" s="2400">
        <v>0</v>
      </c>
      <c r="M62" s="2400" t="e">
        <f t="shared" si="19"/>
        <v>#VALUE!</v>
      </c>
      <c r="N62" s="2400" t="e">
        <f t="shared" si="19"/>
        <v>#VALUE!</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hidden="1">
      <c r="A63" s="1060" t="s">
        <v>1025</v>
      </c>
      <c r="B63" s="3046" t="s">
        <v>2937</v>
      </c>
      <c r="C63" s="1047" t="s">
        <v>3084</v>
      </c>
      <c r="D63" s="2379" t="e">
        <f t="shared" si="16"/>
        <v>#VALUE!</v>
      </c>
      <c r="E63" s="2401"/>
      <c r="F63" s="2399"/>
      <c r="G63" s="2377" t="str">
        <f t="shared" si="20"/>
        <v>——</v>
      </c>
      <c r="H63" s="2378" t="str">
        <f t="shared" si="21"/>
        <v>——</v>
      </c>
      <c r="I63" s="2397">
        <v>0.05</v>
      </c>
      <c r="J63" s="2400" t="e">
        <f t="shared" si="17"/>
        <v>#VALUE!</v>
      </c>
      <c r="K63" s="2400" t="e">
        <f t="shared" si="18"/>
        <v>#VALUE!</v>
      </c>
      <c r="L63" s="2400">
        <v>0</v>
      </c>
      <c r="M63" s="2400" t="e">
        <f t="shared" si="19"/>
        <v>#VALUE!</v>
      </c>
      <c r="N63" s="2400" t="e">
        <f t="shared" si="19"/>
        <v>#VALUE!</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hidden="1">
      <c r="A64" s="1060" t="s">
        <v>1026</v>
      </c>
      <c r="B64" s="2371" t="str">
        <f>估价对象房地状况!C21</f>
        <v>估价对象所在区域公共配套设施齐备情况</v>
      </c>
      <c r="C64" s="1047" t="s">
        <v>3083</v>
      </c>
      <c r="D64" s="2379">
        <f t="shared" si="16"/>
        <v>0</v>
      </c>
      <c r="E64" s="2401"/>
      <c r="F64" s="2399"/>
      <c r="G64" s="2377" t="str">
        <f t="shared" si="20"/>
        <v>——</v>
      </c>
      <c r="H64" s="2378" t="str">
        <f t="shared" si="21"/>
        <v>——</v>
      </c>
      <c r="I64" s="2397">
        <v>0.06</v>
      </c>
      <c r="J64" s="2400" t="e">
        <f t="shared" si="17"/>
        <v>#VALUE!</v>
      </c>
      <c r="K64" s="2400" t="e">
        <f t="shared" si="18"/>
        <v>#VALUE!</v>
      </c>
      <c r="L64" s="2400">
        <v>0</v>
      </c>
      <c r="M64" s="2400" t="e">
        <f t="shared" si="19"/>
        <v>#VALUE!</v>
      </c>
      <c r="N64" s="2400" t="e">
        <f t="shared" si="19"/>
        <v>#VALUE!</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hidden="1">
      <c r="A65" s="1060" t="s">
        <v>1027</v>
      </c>
      <c r="B65" s="2371" t="str">
        <f>估价对象房地状况!C22</f>
        <v>估价对象所在区域基础设施水平</v>
      </c>
      <c r="C65" s="1047" t="s">
        <v>3084</v>
      </c>
      <c r="D65" s="2379" t="e">
        <f t="shared" si="16"/>
        <v>#VALUE!</v>
      </c>
      <c r="E65" s="2401"/>
      <c r="F65" s="2399"/>
      <c r="G65" s="2377" t="str">
        <f t="shared" si="20"/>
        <v>——</v>
      </c>
      <c r="H65" s="2378" t="str">
        <f t="shared" si="21"/>
        <v>——</v>
      </c>
      <c r="I65" s="2397">
        <v>0.12</v>
      </c>
      <c r="J65" s="2400" t="e">
        <f t="shared" si="17"/>
        <v>#VALUE!</v>
      </c>
      <c r="K65" s="2400" t="e">
        <f t="shared" si="18"/>
        <v>#VALUE!</v>
      </c>
      <c r="L65" s="2400">
        <v>0</v>
      </c>
      <c r="M65" s="2400" t="e">
        <f t="shared" si="19"/>
        <v>#VALUE!</v>
      </c>
      <c r="N65" s="2400" t="e">
        <f t="shared" si="19"/>
        <v>#VALUE!</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hidden="1" thickBot="1">
      <c r="A66" s="2403" t="s">
        <v>1028</v>
      </c>
      <c r="B66" s="2375" t="str">
        <f>估价对象房地状况!C20</f>
        <v>区域自然环境：；人文环境；综合评价环境状况一般</v>
      </c>
      <c r="C66" s="1047" t="s">
        <v>3084</v>
      </c>
      <c r="D66" s="2379" t="e">
        <f t="shared" si="16"/>
        <v>#VALUE!</v>
      </c>
      <c r="E66" s="2405"/>
      <c r="F66" s="2399"/>
      <c r="G66" s="2377" t="str">
        <f t="shared" si="20"/>
        <v>——</v>
      </c>
      <c r="H66" s="2378" t="str">
        <f t="shared" si="21"/>
        <v>——</v>
      </c>
      <c r="I66" s="2404">
        <v>0.06</v>
      </c>
      <c r="J66" s="2400" t="e">
        <f t="shared" si="17"/>
        <v>#VALUE!</v>
      </c>
      <c r="K66" s="2400" t="e">
        <f t="shared" si="18"/>
        <v>#VALUE!</v>
      </c>
      <c r="L66" s="2400">
        <v>0</v>
      </c>
      <c r="M66" s="2400" t="e">
        <f t="shared" si="19"/>
        <v>#VALUE!</v>
      </c>
      <c r="N66" s="2400" t="e">
        <f t="shared" si="19"/>
        <v>#VALUE!</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1.0268999999999999</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t="s">
        <v>3083</v>
      </c>
      <c r="D69" s="2379">
        <f t="shared" ref="D69:D77" si="22">SUMIF($J$68:$N$68,C69,J69:N69)</f>
        <v>0</v>
      </c>
      <c r="E69" s="2398">
        <f>ROUND(SUM(D69:D77),4)</f>
        <v>2.69E-2</v>
      </c>
      <c r="F69" s="2399">
        <f>IF(E2="住宅",SUMIF(L1:L12,G2,N1:N12),"——")</f>
        <v>0.15</v>
      </c>
      <c r="G69" s="2380">
        <f>H69</f>
        <v>1.0500000000000001E-2</v>
      </c>
      <c r="H69" s="2424">
        <f t="shared" ref="H69:H77" si="23">IFERROR(ROUNDDOWN($F$69*I69/2,4),"——")</f>
        <v>1.0500000000000001E-2</v>
      </c>
      <c r="I69" s="2397">
        <v>0.14000000000000001</v>
      </c>
      <c r="J69" s="2400">
        <f t="shared" ref="J69:J77" si="24">K69+$G69</f>
        <v>2.1000000000000001E-2</v>
      </c>
      <c r="K69" s="2400">
        <f t="shared" ref="K69:K77" si="25">$L69+$G69</f>
        <v>1.0500000000000001E-2</v>
      </c>
      <c r="L69" s="2400">
        <v>0</v>
      </c>
      <c r="M69" s="2400">
        <f t="shared" ref="M69:N77" si="26">L69-$G69</f>
        <v>-1.0500000000000001E-2</v>
      </c>
      <c r="N69" s="2400">
        <f t="shared" si="26"/>
        <v>-2.1000000000000001E-2</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t="s">
        <v>3083</v>
      </c>
      <c r="D70" s="2379">
        <f t="shared" si="22"/>
        <v>0</v>
      </c>
      <c r="E70" s="2407"/>
      <c r="F70" s="2408"/>
      <c r="G70" s="2380">
        <f t="shared" ref="G70:G77" si="27">H70</f>
        <v>2.2499999999999999E-2</v>
      </c>
      <c r="H70" s="2424">
        <f t="shared" si="23"/>
        <v>2.2499999999999999E-2</v>
      </c>
      <c r="I70" s="2397">
        <v>0.3</v>
      </c>
      <c r="J70" s="2400">
        <f t="shared" si="24"/>
        <v>4.4999999999999998E-2</v>
      </c>
      <c r="K70" s="2400">
        <f t="shared" si="25"/>
        <v>2.2499999999999999E-2</v>
      </c>
      <c r="L70" s="2400">
        <v>0</v>
      </c>
      <c r="M70" s="2400">
        <f t="shared" si="26"/>
        <v>-2.2499999999999999E-2</v>
      </c>
      <c r="N70" s="2400">
        <f t="shared" si="26"/>
        <v>-4.4999999999999998E-2</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t="s">
        <v>3084</v>
      </c>
      <c r="D71" s="2379">
        <f t="shared" si="22"/>
        <v>6.0000000000000001E-3</v>
      </c>
      <c r="E71" s="2407"/>
      <c r="F71" s="2408"/>
      <c r="G71" s="2380">
        <f t="shared" si="27"/>
        <v>6.0000000000000001E-3</v>
      </c>
      <c r="H71" s="2424">
        <f t="shared" si="23"/>
        <v>6.0000000000000001E-3</v>
      </c>
      <c r="I71" s="2397">
        <v>0.08</v>
      </c>
      <c r="J71" s="2400">
        <f t="shared" si="24"/>
        <v>1.2E-2</v>
      </c>
      <c r="K71" s="2400">
        <f t="shared" si="25"/>
        <v>6.0000000000000001E-3</v>
      </c>
      <c r="L71" s="2400">
        <v>0</v>
      </c>
      <c r="M71" s="2400">
        <f t="shared" si="26"/>
        <v>-6.0000000000000001E-3</v>
      </c>
      <c r="N71" s="2400">
        <f t="shared" si="26"/>
        <v>-1.2E-2</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t="s">
        <v>3083</v>
      </c>
      <c r="D72" s="2379">
        <f t="shared" si="22"/>
        <v>0</v>
      </c>
      <c r="E72" s="2407"/>
      <c r="F72" s="2408"/>
      <c r="G72" s="2380">
        <f t="shared" si="27"/>
        <v>3.0000000000000001E-3</v>
      </c>
      <c r="H72" s="2424">
        <f t="shared" si="23"/>
        <v>3.0000000000000001E-3</v>
      </c>
      <c r="I72" s="2397">
        <v>0.04</v>
      </c>
      <c r="J72" s="2400">
        <f t="shared" si="24"/>
        <v>6.0000000000000001E-3</v>
      </c>
      <c r="K72" s="2400">
        <f t="shared" si="25"/>
        <v>3.0000000000000001E-3</v>
      </c>
      <c r="L72" s="2400">
        <v>0</v>
      </c>
      <c r="M72" s="2400">
        <f t="shared" si="26"/>
        <v>-3.0000000000000001E-3</v>
      </c>
      <c r="N72" s="2400">
        <f t="shared" si="26"/>
        <v>-6.0000000000000001E-3</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t="s">
        <v>3083</v>
      </c>
      <c r="D73" s="2379">
        <f t="shared" si="22"/>
        <v>0</v>
      </c>
      <c r="E73" s="2407"/>
      <c r="F73" s="2408"/>
      <c r="G73" s="2380">
        <f t="shared" si="27"/>
        <v>6.0000000000000001E-3</v>
      </c>
      <c r="H73" s="2424">
        <f t="shared" si="23"/>
        <v>6.0000000000000001E-3</v>
      </c>
      <c r="I73" s="2397">
        <v>0.08</v>
      </c>
      <c r="J73" s="2400">
        <f t="shared" si="24"/>
        <v>1.2E-2</v>
      </c>
      <c r="K73" s="2400">
        <f t="shared" si="25"/>
        <v>6.0000000000000001E-3</v>
      </c>
      <c r="L73" s="2400">
        <v>0</v>
      </c>
      <c r="M73" s="2400">
        <f t="shared" si="26"/>
        <v>-6.0000000000000001E-3</v>
      </c>
      <c r="N73" s="2400">
        <f t="shared" si="26"/>
        <v>-1.2E-2</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t="s">
        <v>3084</v>
      </c>
      <c r="D74" s="2379">
        <f t="shared" si="22"/>
        <v>8.9999999999999993E-3</v>
      </c>
      <c r="E74" s="2407"/>
      <c r="F74" s="2408"/>
      <c r="G74" s="2380">
        <f t="shared" si="27"/>
        <v>8.9999999999999993E-3</v>
      </c>
      <c r="H74" s="2424">
        <f t="shared" si="23"/>
        <v>8.9999999999999993E-3</v>
      </c>
      <c r="I74" s="2397">
        <v>0.12</v>
      </c>
      <c r="J74" s="2400">
        <f t="shared" si="24"/>
        <v>1.7999999999999999E-2</v>
      </c>
      <c r="K74" s="2400">
        <f t="shared" si="25"/>
        <v>8.9999999999999993E-3</v>
      </c>
      <c r="L74" s="2400">
        <v>0</v>
      </c>
      <c r="M74" s="2400">
        <f t="shared" si="26"/>
        <v>-8.9999999999999993E-3</v>
      </c>
      <c r="N74" s="2400">
        <f t="shared" si="26"/>
        <v>-1.7999999999999999E-2</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6" t="s">
        <v>2937</v>
      </c>
      <c r="C75" s="1152" t="s">
        <v>3084</v>
      </c>
      <c r="D75" s="2379">
        <f t="shared" si="22"/>
        <v>3.7000000000000002E-3</v>
      </c>
      <c r="E75" s="2407"/>
      <c r="F75" s="2408"/>
      <c r="G75" s="2380">
        <f t="shared" si="27"/>
        <v>3.7000000000000002E-3</v>
      </c>
      <c r="H75" s="2424">
        <f t="shared" si="23"/>
        <v>3.7000000000000002E-3</v>
      </c>
      <c r="I75" s="2397">
        <v>0.05</v>
      </c>
      <c r="J75" s="2400">
        <f t="shared" si="24"/>
        <v>7.4000000000000003E-3</v>
      </c>
      <c r="K75" s="2400">
        <f t="shared" si="25"/>
        <v>3.7000000000000002E-3</v>
      </c>
      <c r="L75" s="2400">
        <v>0</v>
      </c>
      <c r="M75" s="2400">
        <f t="shared" si="26"/>
        <v>-3.7000000000000002E-3</v>
      </c>
      <c r="N75" s="2400">
        <f t="shared" si="26"/>
        <v>-7.4000000000000003E-3</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t="s">
        <v>3084</v>
      </c>
      <c r="D76" s="2379">
        <f t="shared" si="22"/>
        <v>1.12E-2</v>
      </c>
      <c r="E76" s="2407"/>
      <c r="F76" s="2408"/>
      <c r="G76" s="2380">
        <f t="shared" si="27"/>
        <v>1.12E-2</v>
      </c>
      <c r="H76" s="2424">
        <f t="shared" si="23"/>
        <v>1.12E-2</v>
      </c>
      <c r="I76" s="2397">
        <v>0.15</v>
      </c>
      <c r="J76" s="2400">
        <f t="shared" si="24"/>
        <v>2.24E-2</v>
      </c>
      <c r="K76" s="2400">
        <f t="shared" si="25"/>
        <v>1.12E-2</v>
      </c>
      <c r="L76" s="2400">
        <v>0</v>
      </c>
      <c r="M76" s="2400">
        <f t="shared" si="26"/>
        <v>-1.12E-2</v>
      </c>
      <c r="N76" s="2400">
        <f t="shared" si="26"/>
        <v>-2.24E-2</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t="s">
        <v>3085</v>
      </c>
      <c r="D77" s="2379">
        <f t="shared" si="22"/>
        <v>-3.0000000000000001E-3</v>
      </c>
      <c r="E77" s="2409"/>
      <c r="F77" s="2408"/>
      <c r="G77" s="2380">
        <f t="shared" si="27"/>
        <v>3.0000000000000001E-3</v>
      </c>
      <c r="H77" s="2424">
        <f t="shared" si="23"/>
        <v>3.0000000000000001E-3</v>
      </c>
      <c r="I77" s="2404">
        <v>0.04</v>
      </c>
      <c r="J77" s="2400">
        <f t="shared" si="24"/>
        <v>6.0000000000000001E-3</v>
      </c>
      <c r="K77" s="2400">
        <f t="shared" si="25"/>
        <v>3.0000000000000001E-3</v>
      </c>
      <c r="L77" s="2400">
        <v>0</v>
      </c>
      <c r="M77" s="2400">
        <f t="shared" si="26"/>
        <v>-3.0000000000000001E-3</v>
      </c>
      <c r="N77" s="2400">
        <f t="shared" si="26"/>
        <v>-6.0000000000000001E-3</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8">SUMIF($J$79:$N$79,C80,J80:N80)</f>
        <v>0</v>
      </c>
      <c r="E80" s="2398">
        <f>ROUND(SUM(D80:D87),4)</f>
        <v>0</v>
      </c>
      <c r="F80" s="2399" t="str">
        <f>IF(E2="工业",SUMIF(L1:L12,G2,N1:N12),"——")</f>
        <v>——</v>
      </c>
      <c r="G80" s="2377"/>
      <c r="H80" s="2423" t="str">
        <f t="shared" ref="H80:H87" si="29">IFERROR(ROUNDDOWN($F$80*I80/2,4),"——")</f>
        <v>——</v>
      </c>
      <c r="I80" s="2397">
        <v>0.26</v>
      </c>
      <c r="J80" s="2400">
        <f t="shared" ref="J80:J87" si="30">K80+$G80</f>
        <v>0</v>
      </c>
      <c r="K80" s="2400">
        <f t="shared" ref="K80:K87" si="31">$L80+$G80</f>
        <v>0</v>
      </c>
      <c r="L80" s="2400">
        <v>0</v>
      </c>
      <c r="M80" s="2400">
        <f t="shared" ref="M80:N87" si="32">L80-$G80</f>
        <v>0</v>
      </c>
      <c r="N80" s="2400">
        <f t="shared" si="32"/>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8"/>
        <v>0</v>
      </c>
      <c r="E81" s="2407"/>
      <c r="F81" s="2408"/>
      <c r="G81" s="2377"/>
      <c r="H81" s="2423" t="str">
        <f t="shared" si="29"/>
        <v>——</v>
      </c>
      <c r="I81" s="2397">
        <v>0.33</v>
      </c>
      <c r="J81" s="2400">
        <f t="shared" si="30"/>
        <v>0</v>
      </c>
      <c r="K81" s="2400">
        <f t="shared" si="31"/>
        <v>0</v>
      </c>
      <c r="L81" s="2400">
        <v>0</v>
      </c>
      <c r="M81" s="2400">
        <f t="shared" si="32"/>
        <v>0</v>
      </c>
      <c r="N81" s="2400">
        <f t="shared" si="32"/>
        <v>0</v>
      </c>
      <c r="AC81" s="1399"/>
      <c r="AD81" s="1398"/>
      <c r="AJ81" s="1397"/>
      <c r="AN81" s="1398"/>
    </row>
    <row r="82" spans="1:40" ht="24">
      <c r="A82" s="1060" t="s">
        <v>1022</v>
      </c>
      <c r="B82" s="2370">
        <f>估价对象房地状况!G17</f>
        <v>0</v>
      </c>
      <c r="C82" s="1047"/>
      <c r="D82" s="2379">
        <f t="shared" si="28"/>
        <v>0</v>
      </c>
      <c r="E82" s="2407"/>
      <c r="F82" s="2408"/>
      <c r="G82" s="2377"/>
      <c r="H82" s="2423" t="str">
        <f t="shared" si="29"/>
        <v>——</v>
      </c>
      <c r="I82" s="2397">
        <v>0.05</v>
      </c>
      <c r="J82" s="2400">
        <f t="shared" si="30"/>
        <v>0</v>
      </c>
      <c r="K82" s="2400">
        <f t="shared" si="31"/>
        <v>0</v>
      </c>
      <c r="L82" s="2400">
        <v>0</v>
      </c>
      <c r="M82" s="2400">
        <f t="shared" si="32"/>
        <v>0</v>
      </c>
      <c r="N82" s="2400">
        <f t="shared" si="32"/>
        <v>0</v>
      </c>
      <c r="AC82" s="1399"/>
      <c r="AD82" s="1398"/>
      <c r="AJ82" s="1397"/>
      <c r="AN82" s="1398"/>
    </row>
    <row r="83" spans="1:40" ht="14.25">
      <c r="A83" s="1060" t="s">
        <v>1034</v>
      </c>
      <c r="B83" s="2370">
        <f>估价对象房地状况!G22</f>
        <v>0</v>
      </c>
      <c r="C83" s="1047"/>
      <c r="D83" s="2379">
        <f t="shared" si="28"/>
        <v>0</v>
      </c>
      <c r="E83" s="2407"/>
      <c r="F83" s="2408"/>
      <c r="G83" s="2377"/>
      <c r="H83" s="2423" t="str">
        <f t="shared" si="29"/>
        <v>——</v>
      </c>
      <c r="I83" s="2397">
        <v>0.04</v>
      </c>
      <c r="J83" s="2400">
        <f t="shared" si="30"/>
        <v>0</v>
      </c>
      <c r="K83" s="2400">
        <f t="shared" si="31"/>
        <v>0</v>
      </c>
      <c r="L83" s="2400">
        <v>0</v>
      </c>
      <c r="M83" s="2400">
        <f t="shared" si="32"/>
        <v>0</v>
      </c>
      <c r="N83" s="2400">
        <f t="shared" si="32"/>
        <v>0</v>
      </c>
      <c r="AC83" s="1399"/>
      <c r="AD83" s="1398"/>
      <c r="AJ83" s="1397"/>
      <c r="AN83" s="1398"/>
    </row>
    <row r="84" spans="1:40" ht="24">
      <c r="A84" s="1060" t="s">
        <v>1026</v>
      </c>
      <c r="B84" s="2371" t="str">
        <f>估价对象房地状况!G19</f>
        <v>估价对象所在区域公共配套设施齐备情况</v>
      </c>
      <c r="C84" s="1047"/>
      <c r="D84" s="2379">
        <f t="shared" si="28"/>
        <v>0</v>
      </c>
      <c r="E84" s="2407"/>
      <c r="F84" s="2408"/>
      <c r="G84" s="2377"/>
      <c r="H84" s="2423" t="str">
        <f t="shared" si="29"/>
        <v>——</v>
      </c>
      <c r="I84" s="2397">
        <v>0.06</v>
      </c>
      <c r="J84" s="2400">
        <f t="shared" si="30"/>
        <v>0</v>
      </c>
      <c r="K84" s="2400">
        <f t="shared" si="31"/>
        <v>0</v>
      </c>
      <c r="L84" s="2400">
        <v>0</v>
      </c>
      <c r="M84" s="2400">
        <f t="shared" si="32"/>
        <v>0</v>
      </c>
      <c r="N84" s="2400">
        <f t="shared" si="32"/>
        <v>0</v>
      </c>
      <c r="AC84" s="1399"/>
      <c r="AD84" s="1398"/>
      <c r="AJ84" s="1397"/>
      <c r="AN84" s="1398"/>
    </row>
    <row r="85" spans="1:40" ht="24">
      <c r="A85" s="1060" t="s">
        <v>1027</v>
      </c>
      <c r="B85" s="2371" t="str">
        <f>估价对象房地状况!G20</f>
        <v>估价对象所在区域基础设施水平</v>
      </c>
      <c r="C85" s="1047"/>
      <c r="D85" s="2379">
        <f t="shared" si="28"/>
        <v>0</v>
      </c>
      <c r="E85" s="2407"/>
      <c r="F85" s="2408"/>
      <c r="G85" s="2377"/>
      <c r="H85" s="2423" t="str">
        <f t="shared" si="29"/>
        <v>——</v>
      </c>
      <c r="I85" s="2397">
        <v>0.15</v>
      </c>
      <c r="J85" s="2400">
        <f t="shared" si="30"/>
        <v>0</v>
      </c>
      <c r="K85" s="2400">
        <f t="shared" si="31"/>
        <v>0</v>
      </c>
      <c r="L85" s="2400">
        <v>0</v>
      </c>
      <c r="M85" s="2400">
        <f t="shared" si="32"/>
        <v>0</v>
      </c>
      <c r="N85" s="2400">
        <f t="shared" si="32"/>
        <v>0</v>
      </c>
      <c r="AC85" s="1399"/>
      <c r="AD85" s="1398"/>
      <c r="AJ85" s="1397"/>
      <c r="AN85" s="1398"/>
    </row>
    <row r="86" spans="1:40" ht="24">
      <c r="A86" s="1060" t="s">
        <v>1025</v>
      </c>
      <c r="B86" s="3046" t="s">
        <v>2937</v>
      </c>
      <c r="C86" s="1047"/>
      <c r="D86" s="2379">
        <f t="shared" si="28"/>
        <v>0</v>
      </c>
      <c r="E86" s="2407"/>
      <c r="F86" s="2408"/>
      <c r="G86" s="2377"/>
      <c r="H86" s="2423" t="str">
        <f t="shared" si="29"/>
        <v>——</v>
      </c>
      <c r="I86" s="2397">
        <v>0.05</v>
      </c>
      <c r="J86" s="2400">
        <f t="shared" si="30"/>
        <v>0</v>
      </c>
      <c r="K86" s="2400">
        <f t="shared" si="31"/>
        <v>0</v>
      </c>
      <c r="L86" s="2400">
        <v>0</v>
      </c>
      <c r="M86" s="2400">
        <f t="shared" si="32"/>
        <v>0</v>
      </c>
      <c r="N86" s="2400">
        <f t="shared" si="32"/>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8"/>
        <v>0</v>
      </c>
      <c r="E87" s="2409"/>
      <c r="F87" s="2408"/>
      <c r="G87" s="2377"/>
      <c r="H87" s="2423" t="str">
        <f t="shared" si="29"/>
        <v>——</v>
      </c>
      <c r="I87" s="2404">
        <v>0.06</v>
      </c>
      <c r="J87" s="2400">
        <f t="shared" si="30"/>
        <v>0</v>
      </c>
      <c r="K87" s="2400">
        <f t="shared" si="31"/>
        <v>0</v>
      </c>
      <c r="L87" s="2400">
        <v>0</v>
      </c>
      <c r="M87" s="2400">
        <f t="shared" si="32"/>
        <v>0</v>
      </c>
      <c r="N87" s="2400">
        <f t="shared" si="32"/>
        <v>0</v>
      </c>
      <c r="AC87" s="1399"/>
      <c r="AD87" s="1398"/>
      <c r="AJ87" s="1397"/>
      <c r="AN87" s="1398"/>
    </row>
    <row r="90" spans="1:40">
      <c r="A90" s="3556" t="s">
        <v>1633</v>
      </c>
      <c r="B90" s="3556"/>
      <c r="C90" s="3556"/>
      <c r="D90" s="3556"/>
      <c r="E90" s="3556"/>
      <c r="F90" s="3556"/>
      <c r="G90" s="3556"/>
      <c r="H90" s="3556"/>
      <c r="I90" s="3556"/>
      <c r="J90" s="3556"/>
      <c r="K90" s="2412"/>
      <c r="L90" s="2412"/>
      <c r="M90" s="2412"/>
      <c r="N90" s="2412"/>
    </row>
    <row r="91" spans="1:40">
      <c r="A91" s="3557" t="s">
        <v>1443</v>
      </c>
      <c r="B91" s="3557" t="s">
        <v>1634</v>
      </c>
      <c r="C91" s="1133" t="s">
        <v>1635</v>
      </c>
      <c r="D91" s="1134"/>
      <c r="E91" s="1134"/>
      <c r="F91" s="1134"/>
      <c r="G91" s="1134"/>
      <c r="H91" s="1134"/>
      <c r="I91" s="1134"/>
      <c r="J91" s="1135"/>
      <c r="K91" s="1127"/>
      <c r="L91" s="1127"/>
      <c r="M91" s="1127"/>
      <c r="N91" s="1127"/>
    </row>
    <row r="92" spans="1:40">
      <c r="A92" s="3557"/>
      <c r="B92" s="355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6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6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6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6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6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6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65"/>
      <c r="B99" s="1136" t="s">
        <v>1636</v>
      </c>
      <c r="C99" s="1138">
        <f>$I$3</f>
        <v>1</v>
      </c>
      <c r="D99" s="1138">
        <f t="shared" ref="D99:N99" si="33">$I$3</f>
        <v>1</v>
      </c>
      <c r="E99" s="1138">
        <f t="shared" si="33"/>
        <v>1</v>
      </c>
      <c r="F99" s="1138">
        <f t="shared" si="33"/>
        <v>1</v>
      </c>
      <c r="G99" s="1138">
        <f t="shared" si="33"/>
        <v>1</v>
      </c>
      <c r="H99" s="1138">
        <f t="shared" si="33"/>
        <v>1</v>
      </c>
      <c r="I99" s="1138">
        <f t="shared" si="33"/>
        <v>1</v>
      </c>
      <c r="J99" s="1138">
        <f t="shared" si="33"/>
        <v>1</v>
      </c>
      <c r="K99" s="1138">
        <f t="shared" si="33"/>
        <v>1</v>
      </c>
      <c r="L99" s="1138">
        <f t="shared" si="33"/>
        <v>1</v>
      </c>
      <c r="M99" s="1138">
        <f t="shared" si="33"/>
        <v>1</v>
      </c>
      <c r="N99" s="1138">
        <f t="shared" si="33"/>
        <v>1</v>
      </c>
    </row>
    <row r="100" spans="1:14">
      <c r="A100" s="3566"/>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64" t="s">
        <v>1637</v>
      </c>
      <c r="B101" s="1140" t="s">
        <v>906</v>
      </c>
      <c r="C101" s="1141">
        <f>$G$3</f>
        <v>2</v>
      </c>
      <c r="D101" s="1141">
        <f t="shared" ref="D101:N101" si="34">$G$3</f>
        <v>2</v>
      </c>
      <c r="E101" s="1141">
        <f t="shared" si="34"/>
        <v>2</v>
      </c>
      <c r="F101" s="1141">
        <f t="shared" si="34"/>
        <v>2</v>
      </c>
      <c r="G101" s="1141">
        <f t="shared" si="34"/>
        <v>2</v>
      </c>
      <c r="H101" s="1141">
        <f t="shared" si="34"/>
        <v>2</v>
      </c>
      <c r="I101" s="1141">
        <f t="shared" si="34"/>
        <v>2</v>
      </c>
      <c r="J101" s="1141">
        <f t="shared" si="34"/>
        <v>2</v>
      </c>
      <c r="K101" s="1141">
        <f t="shared" si="34"/>
        <v>2</v>
      </c>
      <c r="L101" s="1141">
        <f t="shared" si="34"/>
        <v>2</v>
      </c>
      <c r="M101" s="1141">
        <f t="shared" si="34"/>
        <v>2</v>
      </c>
      <c r="N101" s="1141">
        <f t="shared" si="34"/>
        <v>2</v>
      </c>
    </row>
    <row r="102" spans="1:14">
      <c r="A102" s="3565"/>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565"/>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565"/>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565"/>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565"/>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565"/>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565"/>
      <c r="B108" s="3567" t="s">
        <v>1638</v>
      </c>
      <c r="C108" s="1138">
        <f>C99</f>
        <v>1</v>
      </c>
      <c r="D108" s="1138">
        <f t="shared" ref="D108:N108" si="35">D99</f>
        <v>1</v>
      </c>
      <c r="E108" s="1138">
        <f t="shared" si="35"/>
        <v>1</v>
      </c>
      <c r="F108" s="1138">
        <f t="shared" si="35"/>
        <v>1</v>
      </c>
      <c r="G108" s="1138">
        <f t="shared" si="35"/>
        <v>1</v>
      </c>
      <c r="H108" s="1138">
        <f t="shared" si="35"/>
        <v>1</v>
      </c>
      <c r="I108" s="1138">
        <f t="shared" si="35"/>
        <v>1</v>
      </c>
      <c r="J108" s="1138">
        <f t="shared" si="35"/>
        <v>1</v>
      </c>
      <c r="K108" s="1138">
        <f t="shared" si="35"/>
        <v>1</v>
      </c>
      <c r="L108" s="1138">
        <f t="shared" si="35"/>
        <v>1</v>
      </c>
      <c r="M108" s="1138">
        <f t="shared" si="35"/>
        <v>1</v>
      </c>
      <c r="N108" s="1138">
        <f t="shared" si="35"/>
        <v>1</v>
      </c>
    </row>
    <row r="109" spans="1:14">
      <c r="A109" s="3566"/>
      <c r="B109" s="3568"/>
      <c r="C109" s="1139">
        <f>(-0.163*(C108^2)-0.59*C108+7617)*(10^(-4))/C101</f>
        <v>0.38081235000000002</v>
      </c>
      <c r="D109" s="1139">
        <f>(-0.163*(D108^2)-0.59*D108+7617)*(10^(-4))/D101</f>
        <v>0.38081235000000002</v>
      </c>
      <c r="E109" s="1139">
        <f>(-0.161*(E108^2)-7.509*E108+6533)*(10^(-4))/E101</f>
        <v>0.32626650000000001</v>
      </c>
      <c r="F109" s="1139">
        <f>(-0.161*(F108^2)-7.509*F108+6533)*(10^(-4))/F101</f>
        <v>0.32626650000000001</v>
      </c>
      <c r="G109" s="1139">
        <f>(-0.161*(G108^2)-7.509*G108+6533)*(10^(-4))/G101</f>
        <v>0.32626650000000001</v>
      </c>
      <c r="H109" s="1139">
        <f>(-0.161*(H108^2)-7.509*H108+6533)*(10^(-4))/H101</f>
        <v>0.32626650000000001</v>
      </c>
      <c r="I109" s="1139">
        <f>(-0.161*(I108^2)-7.509*I108+6533)*(10^(-4))/I101</f>
        <v>0.32626650000000001</v>
      </c>
      <c r="J109" s="1139">
        <f>(-0.214*(J108^2)-21.991*J108+4665)*(10^(-4))/J101</f>
        <v>0.23213975000000001</v>
      </c>
      <c r="K109" s="1139">
        <f>(-0.214*(K108^2)-21.991*K108+4665)*(10^(-4))/K101</f>
        <v>0.23213975000000001</v>
      </c>
      <c r="L109" s="1139">
        <f>(-0.214*(L108^2)-21.991*L108+4665)*(10^(-4))/L101</f>
        <v>0.23213975000000001</v>
      </c>
      <c r="M109" s="1139">
        <f>(-0.214*(M108^2)-21.991*M108+4665)*(10^(-4))/M101</f>
        <v>0.23213975000000001</v>
      </c>
      <c r="N109" s="1139">
        <f>(-0.214*(N108^2)-21.991*N108+4665)*(10^(-4))/N101</f>
        <v>0.23213975000000001</v>
      </c>
    </row>
    <row r="110" spans="1:14">
      <c r="A110" s="3550" t="s">
        <v>1639</v>
      </c>
      <c r="B110" s="3550"/>
      <c r="C110" s="3550"/>
      <c r="D110" s="3550"/>
      <c r="E110" s="3550"/>
      <c r="F110" s="3550"/>
      <c r="G110" s="3550"/>
      <c r="H110" s="3550"/>
      <c r="I110" s="3550"/>
      <c r="J110" s="3550"/>
      <c r="K110" s="2410"/>
      <c r="L110" s="2410"/>
      <c r="M110" s="2410"/>
      <c r="N110" s="2410"/>
    </row>
    <row r="112" spans="1:14" ht="12.75" thickBot="1"/>
    <row r="113" spans="1:13" ht="25.5" thickBot="1">
      <c r="A113" s="1013" t="s">
        <v>896</v>
      </c>
      <c r="B113" s="2413">
        <f>G3</f>
        <v>2</v>
      </c>
      <c r="C113" s="1014" t="s">
        <v>897</v>
      </c>
      <c r="D113" s="1015">
        <f>SUMPRODUCT((A115:A118=F113)*(B114:M114=H113)*B115:M118)</f>
        <v>0.72219999999999995</v>
      </c>
      <c r="E113" s="1016" t="s">
        <v>898</v>
      </c>
      <c r="F113" s="1017" t="str">
        <f>E2</f>
        <v>住宅</v>
      </c>
      <c r="G113" s="1016" t="s">
        <v>899</v>
      </c>
      <c r="H113" s="1017" t="str">
        <f>G2</f>
        <v>九级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6">I115</f>
        <v>0.65800000000000003</v>
      </c>
      <c r="K115" s="1027">
        <f t="shared" si="36"/>
        <v>0.65800000000000003</v>
      </c>
      <c r="L115" s="1027">
        <f t="shared" si="36"/>
        <v>0.65800000000000003</v>
      </c>
      <c r="M115" s="1028">
        <f t="shared" si="36"/>
        <v>0.65800000000000003</v>
      </c>
    </row>
    <row r="116" spans="1:13" ht="12.75">
      <c r="A116" s="1026" t="s">
        <v>901</v>
      </c>
      <c r="B116" s="1027">
        <f>ROUND(0.949-0.012*B113,4)</f>
        <v>0.92500000000000004</v>
      </c>
      <c r="C116" s="1027">
        <f>B116</f>
        <v>0.92500000000000004</v>
      </c>
      <c r="D116" s="1027">
        <f>ROUND(0.8567-0.013*B113,4)</f>
        <v>0.83069999999999999</v>
      </c>
      <c r="E116" s="1027">
        <f t="shared" ref="E116:H117" si="37">D116</f>
        <v>0.83069999999999999</v>
      </c>
      <c r="F116" s="1027">
        <f t="shared" si="37"/>
        <v>0.83069999999999999</v>
      </c>
      <c r="G116" s="1027">
        <f t="shared" si="37"/>
        <v>0.83069999999999999</v>
      </c>
      <c r="H116" s="1027">
        <f t="shared" si="37"/>
        <v>0.83069999999999999</v>
      </c>
      <c r="I116" s="1027">
        <f>ROUND(0.7694-0.014*B113,4)</f>
        <v>0.74139999999999995</v>
      </c>
      <c r="J116" s="1027">
        <f t="shared" si="36"/>
        <v>0.74139999999999995</v>
      </c>
      <c r="K116" s="1027">
        <f t="shared" si="36"/>
        <v>0.74139999999999995</v>
      </c>
      <c r="L116" s="1027">
        <f t="shared" si="36"/>
        <v>0.74139999999999995</v>
      </c>
      <c r="M116" s="1028">
        <f t="shared" si="36"/>
        <v>0.74139999999999995</v>
      </c>
    </row>
    <row r="117" spans="1:13" ht="12.75">
      <c r="A117" s="1029" t="s">
        <v>902</v>
      </c>
      <c r="B117" s="1027">
        <f>ROUND(0.8808-0.006*B113,4)</f>
        <v>0.86880000000000002</v>
      </c>
      <c r="C117" s="1027">
        <f>B117</f>
        <v>0.86880000000000002</v>
      </c>
      <c r="D117" s="1027">
        <f>ROUND(0.8748-0.008*B113,4)</f>
        <v>0.85880000000000001</v>
      </c>
      <c r="E117" s="1027">
        <f t="shared" si="37"/>
        <v>0.85880000000000001</v>
      </c>
      <c r="F117" s="1027">
        <f t="shared" si="37"/>
        <v>0.85880000000000001</v>
      </c>
      <c r="G117" s="1027">
        <f t="shared" si="37"/>
        <v>0.85880000000000001</v>
      </c>
      <c r="H117" s="1027">
        <f t="shared" si="37"/>
        <v>0.85880000000000001</v>
      </c>
      <c r="I117" s="1027">
        <f>ROUND(0.7412-0.0095*B113,4)</f>
        <v>0.72219999999999995</v>
      </c>
      <c r="J117" s="1027">
        <f t="shared" si="36"/>
        <v>0.72219999999999995</v>
      </c>
      <c r="K117" s="1027">
        <f t="shared" si="36"/>
        <v>0.72219999999999995</v>
      </c>
      <c r="L117" s="1027">
        <f t="shared" si="36"/>
        <v>0.72219999999999995</v>
      </c>
      <c r="M117" s="1028">
        <f t="shared" si="36"/>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6"/>
        <v>0.53949999999999998</v>
      </c>
      <c r="K118" s="1031">
        <f t="shared" si="36"/>
        <v>0.53949999999999998</v>
      </c>
      <c r="L118" s="1031">
        <f t="shared" si="36"/>
        <v>0.53949999999999998</v>
      </c>
      <c r="M118" s="1032">
        <f t="shared" si="36"/>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6"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7" sqref="C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t="s">
        <v>923</v>
      </c>
      <c r="C1" s="2087"/>
      <c r="D1" s="2087"/>
      <c r="E1" s="2087"/>
      <c r="F1" s="2087"/>
      <c r="G1" s="2087"/>
      <c r="H1" s="2087"/>
      <c r="I1" s="2087"/>
      <c r="J1" s="2087"/>
      <c r="K1" s="419">
        <f>MATCH(B1,'数据-取费表'!A6:A16,0)+5</f>
        <v>6</v>
      </c>
    </row>
    <row r="2" spans="1:31" s="2024" customFormat="1" ht="18" customHeight="1">
      <c r="A2" s="2084" t="s">
        <v>467</v>
      </c>
      <c r="B2" s="2088">
        <f ca="1">C36</f>
        <v>76095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6275</v>
      </c>
      <c r="C3" s="2087"/>
      <c r="D3" s="2087"/>
      <c r="E3" s="2087"/>
      <c r="F3" s="2087"/>
      <c r="G3" s="2087"/>
      <c r="H3" s="2087"/>
      <c r="I3" s="2087"/>
      <c r="J3" s="2087"/>
      <c r="K3" s="2087"/>
    </row>
    <row r="4" spans="1:31" s="2024" customFormat="1" ht="18" customHeight="1">
      <c r="A4" s="423" t="s">
        <v>468</v>
      </c>
      <c r="B4" s="424">
        <f ca="1">ROUND(B2*10000/IF(B1="",'数据-汇总表'!D3,INDIRECT("'数据-取费表'!R"&amp;$K$1)),0)</f>
        <v>11792</v>
      </c>
      <c r="C4" s="425"/>
      <c r="D4" s="419"/>
      <c r="E4" s="419"/>
      <c r="F4" s="419"/>
      <c r="G4" s="419"/>
      <c r="H4" s="419"/>
      <c r="I4" s="419"/>
      <c r="J4" s="419"/>
      <c r="K4" s="419"/>
    </row>
    <row r="5" spans="1:31" s="2024" customFormat="1" ht="18" customHeight="1" thickBot="1">
      <c r="A5" s="426"/>
      <c r="B5" s="427">
        <f ca="1">ROUND(B2/(IF(B1="",'数据-汇总表'!D3,INDIRECT("'数据-取费表'!R"&amp;$K$1))/666.67),0)</f>
        <v>786</v>
      </c>
      <c r="C5" s="428" t="s">
        <v>469</v>
      </c>
      <c r="D5" s="419"/>
      <c r="E5" s="419"/>
      <c r="F5" s="419"/>
      <c r="G5" s="419"/>
      <c r="H5" s="419"/>
      <c r="I5" s="419"/>
      <c r="J5" s="419"/>
      <c r="K5" s="419"/>
    </row>
    <row r="6" spans="1:31" s="2094" customFormat="1" ht="16.5" customHeight="1">
      <c r="A6" s="2781" t="s">
        <v>1842</v>
      </c>
      <c r="B6" s="2782"/>
      <c r="C6" s="2783">
        <f>SUM(C10:K10)</f>
        <v>282421.47720000002</v>
      </c>
      <c r="D6" s="2782"/>
      <c r="E6" s="2782"/>
      <c r="F6" s="2782"/>
      <c r="G6" s="2782"/>
      <c r="H6" s="2782"/>
      <c r="I6" s="2782"/>
      <c r="J6" s="2782"/>
      <c r="K6" s="2784"/>
    </row>
    <row r="7" spans="1:31" s="2096" customFormat="1" ht="15">
      <c r="A7" s="2785" t="s">
        <v>470</v>
      </c>
      <c r="B7" s="2786" t="s">
        <v>471</v>
      </c>
      <c r="C7" s="433" t="s">
        <v>923</v>
      </c>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1845</v>
      </c>
      <c r="B8" s="258" t="s">
        <v>472</v>
      </c>
      <c r="C8" s="2787">
        <f>'不动产比较法-住宅'!C48</f>
        <v>23406</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1846</v>
      </c>
      <c r="B9" s="258" t="s">
        <v>473</v>
      </c>
      <c r="C9" s="438">
        <f>SUMIF('数据-汇总表'!$C19:$C33,'剩余法-待开发'!C7,'数据-汇总表'!$E19:$E33)</f>
        <v>120662</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C8*C9/10000</f>
        <v>282421.47720000002</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7">
        <f ca="1">IF(B1="",'数据-取费表'!P16,INDIRECT("'数据-取费表'!p"&amp;$K$1)+INDIRECT("'数据-取费表'!t"&amp;$K$1))</f>
        <v>53355</v>
      </c>
      <c r="D13" s="2797"/>
      <c r="E13" s="2798"/>
      <c r="F13" s="2799"/>
      <c r="G13" s="2765"/>
      <c r="H13" s="2766"/>
      <c r="I13" s="2766"/>
      <c r="J13" s="2766"/>
      <c r="K13" s="2767"/>
    </row>
    <row r="14" spans="1:31" s="2099" customFormat="1" ht="13.5" customHeight="1">
      <c r="A14" s="2795" t="s">
        <v>1849</v>
      </c>
      <c r="B14" s="2796" t="s">
        <v>480</v>
      </c>
      <c r="C14" s="52">
        <f ca="1">ROUND(C13*F14,0)</f>
        <v>2668</v>
      </c>
      <c r="D14" s="2797"/>
      <c r="E14" s="2798"/>
      <c r="F14" s="2800">
        <f>'数据-取费表'!B33</f>
        <v>0.05</v>
      </c>
      <c r="G14" s="2765" t="s">
        <v>481</v>
      </c>
      <c r="H14" s="2766"/>
      <c r="I14" s="2766"/>
      <c r="J14" s="2766"/>
      <c r="K14" s="2767"/>
    </row>
    <row r="15" spans="1:31" s="2099" customFormat="1" ht="13.5" customHeight="1">
      <c r="A15" s="2795" t="s">
        <v>1850</v>
      </c>
      <c r="B15" s="2796" t="s">
        <v>482</v>
      </c>
      <c r="C15" s="52">
        <f ca="1">ROUND(IF(B1="",SUMIF('数据-取费表'!C:C,"住宅",'数据-取费表'!P:P)*F15,IF(INDIRECT("'数据-取费表'!c"&amp;$K$1)="住宅",INDIRECT("'数据-取费表'!P"&amp;$K$1)*F15,0)),0)</f>
        <v>8003</v>
      </c>
      <c r="D15" s="2797"/>
      <c r="E15" s="2798"/>
      <c r="F15" s="2800">
        <f>'数据-取费表'!B34</f>
        <v>0.15</v>
      </c>
      <c r="G15" s="2765" t="s">
        <v>483</v>
      </c>
      <c r="H15" s="2766"/>
      <c r="I15" s="2766"/>
      <c r="J15" s="2766"/>
      <c r="K15" s="2767"/>
    </row>
    <row r="16" spans="1:31" s="2100" customFormat="1" ht="13.5" customHeight="1">
      <c r="A16" s="2795" t="s">
        <v>1851</v>
      </c>
      <c r="B16" s="2796" t="s">
        <v>484</v>
      </c>
      <c r="C16" s="52">
        <f ca="1">ROUND(D16*E16/10000,0)</f>
        <v>3638</v>
      </c>
      <c r="D16" s="2797">
        <f ca="1">IF(B1="",'数据-汇总表'!E3,INDIRECT("'数据-取费表'!K"&amp;$K$1)+INDIRECT("'数据-取费表'!S"&amp;$K$1))</f>
        <v>121262</v>
      </c>
      <c r="E16" s="52">
        <f>'数据-取费表'!B35</f>
        <v>300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800</v>
      </c>
      <c r="D17" s="472"/>
      <c r="E17" s="2801"/>
      <c r="F17" s="2802">
        <f>'数据-取费表'!B36</f>
        <v>1.4999999999999999E-2</v>
      </c>
      <c r="G17" s="258" t="s">
        <v>486</v>
      </c>
      <c r="H17" s="2768"/>
      <c r="I17" s="2768"/>
      <c r="J17" s="2768"/>
      <c r="K17" s="276"/>
    </row>
    <row r="18" spans="1:14" s="2099" customFormat="1" ht="13.5" customHeight="1">
      <c r="A18" s="2803" t="s">
        <v>1853</v>
      </c>
      <c r="B18" s="2804" t="s">
        <v>487</v>
      </c>
      <c r="C18" s="2805">
        <f ca="1">SUM(C13:C17)</f>
        <v>68464</v>
      </c>
      <c r="D18" s="2806"/>
      <c r="E18" s="465"/>
      <c r="F18" s="465"/>
      <c r="G18" s="2769" t="s">
        <v>2430</v>
      </c>
      <c r="H18" s="2770"/>
      <c r="I18" s="2770"/>
      <c r="J18" s="2770"/>
      <c r="K18" s="2771"/>
    </row>
    <row r="19" spans="1:14" s="2099" customFormat="1" ht="13.5" customHeight="1">
      <c r="A19" s="2803" t="s">
        <v>1854</v>
      </c>
      <c r="B19" s="2804" t="s">
        <v>488</v>
      </c>
      <c r="C19" s="2761">
        <f ca="1">ROUND(D19*E19/10000,0)</f>
        <v>0</v>
      </c>
      <c r="D19" s="2807">
        <f ca="1">D16</f>
        <v>121262</v>
      </c>
      <c r="E19" s="2761">
        <f>'数据-取费表'!B32</f>
        <v>0</v>
      </c>
      <c r="F19" s="465"/>
      <c r="G19" s="2765" t="s">
        <v>489</v>
      </c>
      <c r="H19" s="2766"/>
      <c r="I19" s="2770"/>
      <c r="J19" s="2770"/>
      <c r="K19" s="2771"/>
    </row>
    <row r="20" spans="1:14" s="2099" customFormat="1" ht="13.5" customHeight="1">
      <c r="A20" s="2803" t="s">
        <v>1855</v>
      </c>
      <c r="B20" s="2804" t="s">
        <v>490</v>
      </c>
      <c r="C20" s="2761">
        <f ca="1">C21+C22-IF(B1="",'数据-取费表'!B29,IF(G20="已全部缴纳",C21+C22,H20))</f>
        <v>1819</v>
      </c>
      <c r="D20" s="2807"/>
      <c r="E20" s="2761"/>
      <c r="F20" s="2808"/>
      <c r="G20" s="3038" t="s">
        <v>3247</v>
      </c>
      <c r="H20" s="2763"/>
      <c r="I20" s="2764" t="s">
        <v>2651</v>
      </c>
      <c r="J20" s="2770"/>
      <c r="K20" s="2771"/>
    </row>
    <row r="21" spans="1:14" s="2099" customFormat="1" ht="13.5" customHeight="1">
      <c r="A21" s="2795" t="s">
        <v>1856</v>
      </c>
      <c r="B21" s="2796" t="s">
        <v>491</v>
      </c>
      <c r="C21" s="52">
        <f ca="1">ROUND(D21*E21/10000,0)</f>
        <v>1819</v>
      </c>
      <c r="D21" s="2797">
        <f ca="1">IF(B1="",'数据-汇总表'!E5,IF(INDIRECT("'数据-取费表'!c"&amp;$K$1)="住宅",INDIRECT("'数据-取费表'!k"&amp;$K$1),0))</f>
        <v>121262</v>
      </c>
      <c r="E21" s="3323">
        <f>'数据-取费表'!B27</f>
        <v>150</v>
      </c>
      <c r="F21" s="2800"/>
      <c r="G21" s="25"/>
      <c r="H21" s="50"/>
      <c r="I21" s="50"/>
      <c r="J21" s="50"/>
      <c r="K21" s="2772"/>
    </row>
    <row r="22" spans="1:14" s="2099" customFormat="1" ht="13.5" customHeight="1">
      <c r="A22" s="2795" t="s">
        <v>1857</v>
      </c>
      <c r="B22" s="2796" t="s">
        <v>492</v>
      </c>
      <c r="C22" s="52">
        <f ca="1">ROUND(D22*E22/10000,0)</f>
        <v>0</v>
      </c>
      <c r="D22" s="2797">
        <f ca="1">IF(B1="",'数据-汇总表'!E6,IF(INDIRECT("'数据-取费表'!c"&amp;$K$1)="住宅",INDIRECT("'数据-取费表'!s"&amp;$K$1),INDIRECT("'数据-取费表'!k"&amp;$K$1)+INDIRECT("'数据-取费表'!s"&amp;$K$1)))</f>
        <v>0</v>
      </c>
      <c r="E22" s="3323">
        <f>'数据-取费表'!B28</f>
        <v>190</v>
      </c>
      <c r="F22" s="2800"/>
      <c r="G22" s="25"/>
      <c r="H22" s="50"/>
      <c r="I22" s="50"/>
      <c r="J22" s="50"/>
      <c r="K22" s="2772"/>
    </row>
    <row r="23" spans="1:14" s="2099" customFormat="1" ht="13.5" customHeight="1">
      <c r="A23" s="2803" t="s">
        <v>1858</v>
      </c>
      <c r="B23" s="2985" t="s">
        <v>2833</v>
      </c>
      <c r="C23" s="2805">
        <f ca="1">ROUND((C18+C19+C20)*F23,0)</f>
        <v>2108</v>
      </c>
      <c r="D23" s="465"/>
      <c r="E23" s="465"/>
      <c r="F23" s="2809">
        <f>'数据-取费表'!B37</f>
        <v>0.03</v>
      </c>
      <c r="G23" s="2765" t="s">
        <v>2431</v>
      </c>
      <c r="H23" s="2766"/>
      <c r="I23" s="2766"/>
      <c r="J23" s="2766"/>
      <c r="K23" s="2767"/>
      <c r="L23" s="2101"/>
      <c r="M23" s="2101"/>
      <c r="N23" s="2101"/>
    </row>
    <row r="24" spans="1:14" s="2099" customFormat="1" ht="13.5" customHeight="1">
      <c r="A24" s="2803" t="s">
        <v>1859</v>
      </c>
      <c r="B24" s="2985" t="s">
        <v>2836</v>
      </c>
      <c r="C24" s="2805">
        <f>ROUND(C6*F24,0)</f>
        <v>42363</v>
      </c>
      <c r="D24" s="472"/>
      <c r="E24" s="470"/>
      <c r="F24" s="2809">
        <f>'数据-取费表'!B38</f>
        <v>0.15</v>
      </c>
      <c r="G24" s="2774" t="s">
        <v>499</v>
      </c>
      <c r="H24" s="2768"/>
      <c r="I24" s="2768"/>
      <c r="J24" s="2768"/>
      <c r="K24" s="276"/>
      <c r="L24" s="2101"/>
      <c r="M24" s="2101"/>
      <c r="N24" s="2101"/>
    </row>
    <row r="25" spans="1:14" s="2102" customFormat="1" ht="13.5" customHeight="1">
      <c r="A25" s="2803" t="s">
        <v>1860</v>
      </c>
      <c r="B25" s="2985" t="s">
        <v>2834</v>
      </c>
      <c r="C25" s="3288">
        <f>ROUND(F25,4)</f>
        <v>3.0499999999999999E-2</v>
      </c>
      <c r="D25" s="459" t="s">
        <v>2828</v>
      </c>
      <c r="E25" s="466"/>
      <c r="F25" s="2809">
        <v>3.0499999999999999E-2</v>
      </c>
      <c r="G25" s="2773" t="s">
        <v>2289</v>
      </c>
      <c r="H25" s="2766"/>
      <c r="I25" s="2766"/>
      <c r="J25" s="2766"/>
      <c r="K25" s="2767"/>
    </row>
    <row r="26" spans="1:14" s="2101" customFormat="1" ht="13.5" customHeight="1">
      <c r="A26" s="2803" t="s">
        <v>1861</v>
      </c>
      <c r="B26" s="2986" t="s">
        <v>2835</v>
      </c>
      <c r="C26" s="2810">
        <f ca="1">C28</f>
        <v>6854</v>
      </c>
      <c r="D26" s="464">
        <f ca="1">C27</f>
        <v>0.1268</v>
      </c>
      <c r="E26" s="466" t="s">
        <v>495</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1856</v>
      </c>
      <c r="B27" s="2811" t="s">
        <v>496</v>
      </c>
      <c r="C27" s="2812">
        <f ca="1">ROUND(IF('数据-取费表'!B22&lt;=1,(1+C25)*F26*'数据-取费表'!B24,(1+C25)*(POWER((1+F26),'数据-取费表'!B24)-1)),4)</f>
        <v>0.1268</v>
      </c>
      <c r="D27" s="469"/>
      <c r="E27" s="470"/>
      <c r="F27" s="471"/>
      <c r="G27" s="2534" t="str">
        <f>IF('数据-取费表'!B22&lt;=1,"（1+取得税费率/(1+5%)）×年利率×建设期","（1+取得税费率）/(1+5%)×((1+年利率)^建设期-1)")</f>
        <v>（1+取得税费率）/(1+5%)×((1+年利率)^建设期-1)</v>
      </c>
      <c r="H27" s="2768"/>
      <c r="I27" s="2768"/>
      <c r="J27" s="2768"/>
      <c r="K27" s="276"/>
    </row>
    <row r="28" spans="1:14" s="2103" customFormat="1" ht="13.5" customHeight="1">
      <c r="A28" s="800" t="s">
        <v>1857</v>
      </c>
      <c r="B28" s="2811" t="s">
        <v>2837</v>
      </c>
      <c r="C28" s="2813">
        <f ca="1">ROUND(IF('数据-取费表'!B22&lt;=1,(C18+C19+C20+C23+C24)*F26*'数据-取费表'!B24/2,(C18+C19+C20+C23+C24)*(POWER((1+F26),'数据-取费表'!B24/2)-1)),0)</f>
        <v>6854</v>
      </c>
      <c r="D28" s="469"/>
      <c r="E28" s="470"/>
      <c r="F28" s="471"/>
      <c r="G28" s="2534" t="str">
        <f>IF('数据-取费表'!B22&lt;=1,"（1）-（4）项×年利率×建设期÷2","（1）-（4）项×((1+年利率)^(建设期÷2)-1)")</f>
        <v>（1）-（4）项×((1+年利率)^(建设期÷2)-1)</v>
      </c>
      <c r="H28" s="2768"/>
      <c r="I28" s="2768"/>
      <c r="J28" s="2768"/>
      <c r="K28" s="276"/>
    </row>
    <row r="29" spans="1:14" s="2103" customFormat="1" ht="13.5" customHeight="1">
      <c r="A29" s="2814" t="s">
        <v>1862</v>
      </c>
      <c r="B29" s="2804" t="s">
        <v>497</v>
      </c>
      <c r="C29" s="2805">
        <f>ROUND(C6*F29/(1+'数据-取费表'!C42),0)</f>
        <v>14794</v>
      </c>
      <c r="D29" s="465"/>
      <c r="E29" s="465"/>
      <c r="F29" s="2987">
        <f>'数据-取费表'!B41</f>
        <v>5.5000000000000007E-2</v>
      </c>
      <c r="G29" s="2774" t="s">
        <v>498</v>
      </c>
      <c r="H29" s="2766"/>
      <c r="I29" s="2766"/>
      <c r="J29" s="2766"/>
      <c r="K29" s="2767"/>
    </row>
    <row r="30" spans="1:14" s="2104" customFormat="1" ht="13.5" customHeight="1">
      <c r="A30" s="1618" t="s">
        <v>1863</v>
      </c>
      <c r="B30" s="2815" t="s">
        <v>500</v>
      </c>
      <c r="C30" s="2810">
        <f ca="1">C31</f>
        <v>136402</v>
      </c>
      <c r="D30" s="474">
        <f ca="1">C32</f>
        <v>0.1573</v>
      </c>
      <c r="E30" s="466" t="s">
        <v>495</v>
      </c>
      <c r="F30" s="468"/>
      <c r="G30" s="2773" t="s">
        <v>2972</v>
      </c>
      <c r="H30" s="2766"/>
      <c r="I30" s="2766"/>
      <c r="J30" s="2766"/>
      <c r="K30" s="2767"/>
    </row>
    <row r="31" spans="1:14" s="2103" customFormat="1" ht="13.5" customHeight="1">
      <c r="A31" s="800" t="s">
        <v>1856</v>
      </c>
      <c r="B31" s="2811"/>
      <c r="C31" s="447">
        <f ca="1">C18+C19+C20+C23+C24+C26+C29</f>
        <v>136402</v>
      </c>
      <c r="D31" s="469"/>
      <c r="E31" s="470"/>
      <c r="F31" s="471"/>
      <c r="G31" s="258"/>
      <c r="H31" s="2768"/>
      <c r="I31" s="2768"/>
      <c r="J31" s="2768"/>
      <c r="K31" s="276"/>
    </row>
    <row r="32" spans="1:14" s="2103" customFormat="1" ht="13.5" customHeight="1">
      <c r="A32" s="800" t="s">
        <v>1857</v>
      </c>
      <c r="B32" s="2811"/>
      <c r="C32" s="52">
        <f ca="1">ROUND(C25+D26,4)</f>
        <v>0.1573</v>
      </c>
      <c r="D32" s="469"/>
      <c r="E32" s="470"/>
      <c r="F32" s="471"/>
      <c r="G32" s="258"/>
      <c r="H32" s="2768"/>
      <c r="I32" s="2768"/>
      <c r="J32" s="2768"/>
      <c r="K32" s="276"/>
    </row>
    <row r="33" spans="1:11" s="2105" customFormat="1" ht="13.5" customHeight="1">
      <c r="A33" s="2984" t="s">
        <v>2832</v>
      </c>
      <c r="B33" s="2982" t="s">
        <v>2830</v>
      </c>
      <c r="C33" s="475">
        <f ca="1">C35</f>
        <v>34426</v>
      </c>
      <c r="D33" s="464">
        <f ca="1">C34</f>
        <v>0.30919999999999997</v>
      </c>
      <c r="E33" s="466" t="s">
        <v>495</v>
      </c>
      <c r="F33" s="476">
        <f ca="1">IF(B1="",'数据-取费表'!Q16,INDIRECT("'数据-取费表'!q"&amp;$K$1))</f>
        <v>0.3</v>
      </c>
      <c r="G33" s="2769"/>
      <c r="H33" s="2770"/>
      <c r="I33" s="2770"/>
      <c r="J33" s="2770"/>
      <c r="K33" s="2771"/>
    </row>
    <row r="34" spans="1:11" s="2106" customFormat="1" ht="13.5" customHeight="1">
      <c r="A34" s="372" t="s">
        <v>1856</v>
      </c>
      <c r="B34" s="2816" t="s">
        <v>501</v>
      </c>
      <c r="C34" s="469">
        <f ca="1">ROUND((1+C25)*F33,4)</f>
        <v>0.30919999999999997</v>
      </c>
      <c r="D34" s="469"/>
      <c r="E34" s="470"/>
      <c r="F34" s="477"/>
      <c r="G34" s="258" t="s">
        <v>2290</v>
      </c>
      <c r="H34" s="2768"/>
      <c r="I34" s="2768"/>
      <c r="J34" s="2768"/>
      <c r="K34" s="276"/>
    </row>
    <row r="35" spans="1:11" s="2106" customFormat="1" ht="13.5" customHeight="1" thickBot="1">
      <c r="A35" s="1619" t="s">
        <v>1857</v>
      </c>
      <c r="B35" s="2983" t="s">
        <v>2838</v>
      </c>
      <c r="C35" s="1611">
        <f ca="1">ROUND((C18+C19+C20+C23+C24)*F33,0)</f>
        <v>34426</v>
      </c>
      <c r="D35" s="1612"/>
      <c r="E35" s="2817"/>
      <c r="F35" s="1613"/>
      <c r="G35" s="2775"/>
      <c r="H35" s="2776"/>
      <c r="I35" s="2776"/>
      <c r="J35" s="2776"/>
      <c r="K35" s="2777"/>
    </row>
    <row r="36" spans="1:11" s="2068" customFormat="1" ht="13.5" customHeight="1" thickBot="1">
      <c r="A36" s="281" t="s">
        <v>1844</v>
      </c>
      <c r="B36" s="2779"/>
      <c r="C36" s="2818">
        <f ca="1">ROUND((C6-C30-C33)/(1+D30+D33),0)</f>
        <v>76095</v>
      </c>
      <c r="D36" s="2779"/>
      <c r="E36" s="2779"/>
      <c r="F36" s="2779"/>
      <c r="G36" s="2778" t="s">
        <v>2839</v>
      </c>
      <c r="H36" s="2779"/>
      <c r="I36" s="2779"/>
      <c r="J36" s="2779"/>
      <c r="K36" s="2780"/>
    </row>
    <row r="37" spans="1:11">
      <c r="C37" s="2108">
        <f ca="1">ROUND(C36*10000/'数据-汇总表'!E3,0)</f>
        <v>6306</v>
      </c>
    </row>
    <row r="38" spans="1:11" ht="12.75" customHeight="1"/>
  </sheetData>
  <sheetProtection password="C66D"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466</v>
      </c>
      <c r="B1" s="2762"/>
      <c r="C1" s="2087"/>
      <c r="D1" s="2087"/>
      <c r="E1" s="2087"/>
      <c r="F1" s="2087"/>
      <c r="G1" s="2087"/>
      <c r="H1" s="2087"/>
      <c r="I1" s="2087"/>
      <c r="J1" s="2087"/>
      <c r="K1" s="419">
        <f>MATCH(B1,'数据-取费表'!A6:A16,0)+5</f>
        <v>7</v>
      </c>
    </row>
    <row r="2" spans="1:41" s="2024" customFormat="1" ht="18" customHeight="1">
      <c r="A2" s="420" t="s">
        <v>467</v>
      </c>
      <c r="B2" s="421">
        <f ca="1">C32</f>
        <v>0</v>
      </c>
      <c r="C2" s="2087"/>
      <c r="D2" s="2087"/>
      <c r="E2" s="2087"/>
      <c r="F2" s="2087"/>
      <c r="G2" s="2087"/>
      <c r="H2" s="2087"/>
      <c r="I2" s="2087"/>
      <c r="J2" s="2087"/>
      <c r="K2" s="2087"/>
    </row>
    <row r="3" spans="1:41" s="2024" customFormat="1" ht="18" customHeight="1">
      <c r="A3" s="1373" t="s">
        <v>1684</v>
      </c>
      <c r="B3" s="422">
        <f ca="1">ROUND(B2*10000/IF(B1="",'数据-汇总表'!E3,INDIRECT("'数据-取费表'!K"&amp;$K$1)),0)</f>
        <v>0</v>
      </c>
      <c r="C3" s="2087"/>
      <c r="D3" s="2087"/>
      <c r="E3" s="2087"/>
      <c r="F3" s="2087"/>
      <c r="G3" s="2087"/>
      <c r="H3" s="2087"/>
      <c r="I3" s="2087"/>
      <c r="J3" s="2087"/>
      <c r="K3" s="2087"/>
    </row>
    <row r="4" spans="1:41" s="2024" customFormat="1" ht="18" customHeight="1">
      <c r="A4" s="423" t="s">
        <v>468</v>
      </c>
      <c r="B4" s="424">
        <f ca="1">ROUND(B2*10000/IF(B1="",'数据-汇总表'!D3,INDIRECT("'数据-取费表'!R"&amp;$K$1)),0)</f>
        <v>0</v>
      </c>
      <c r="C4" s="2044"/>
      <c r="D4" s="2087"/>
      <c r="E4" s="2087"/>
      <c r="F4" s="2087"/>
      <c r="G4" s="2087"/>
      <c r="H4" s="2087"/>
      <c r="I4" s="2087"/>
      <c r="J4" s="2087"/>
      <c r="K4" s="2087"/>
    </row>
    <row r="5" spans="1:41" s="2024" customFormat="1" ht="18" customHeight="1" thickBot="1">
      <c r="A5" s="426"/>
      <c r="B5" s="427">
        <f ca="1">ROUND(B2/(IF(B1="",'数据-汇总表'!D3,INDIRECT("'数据-取费表'!R"&amp;$K$1))/666.67),0)</f>
        <v>0</v>
      </c>
      <c r="C5" s="428" t="s">
        <v>469</v>
      </c>
      <c r="D5" s="2087"/>
      <c r="E5" s="2087"/>
      <c r="F5" s="2087"/>
      <c r="G5" s="2087"/>
      <c r="H5" s="2087"/>
      <c r="I5" s="2087"/>
      <c r="J5" s="2087"/>
      <c r="K5" s="2087"/>
    </row>
    <row r="6" spans="1:41" s="2094" customFormat="1" ht="16.5" customHeight="1">
      <c r="A6" s="429" t="s">
        <v>2652</v>
      </c>
      <c r="B6" s="430"/>
      <c r="C6" s="1606">
        <f>SUM(C10:K10)</f>
        <v>0</v>
      </c>
      <c r="D6" s="2092"/>
      <c r="E6" s="2092"/>
      <c r="F6" s="2092"/>
      <c r="G6" s="2092"/>
      <c r="H6" s="2092"/>
      <c r="I6" s="2092"/>
      <c r="J6" s="2092"/>
      <c r="K6" s="2093"/>
    </row>
    <row r="7" spans="1:41" s="2096" customFormat="1" ht="15">
      <c r="A7" s="431" t="s">
        <v>470</v>
      </c>
      <c r="B7" s="432" t="s">
        <v>471</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5" t="s">
        <v>472</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1" t="s">
        <v>470</v>
      </c>
      <c r="B12" s="441" t="s">
        <v>471</v>
      </c>
      <c r="C12" s="442" t="s">
        <v>475</v>
      </c>
      <c r="D12" s="443" t="s">
        <v>476</v>
      </c>
      <c r="E12" s="443" t="s">
        <v>477</v>
      </c>
      <c r="F12" s="443" t="s">
        <v>478</v>
      </c>
      <c r="G12" s="441"/>
      <c r="H12" s="444"/>
      <c r="I12" s="444"/>
      <c r="J12" s="444"/>
      <c r="K12" s="445"/>
    </row>
    <row r="13" spans="1:41" s="2099" customFormat="1" ht="13.5" customHeight="1">
      <c r="A13" s="1616" t="s">
        <v>1848</v>
      </c>
      <c r="B13" s="446" t="s">
        <v>479</v>
      </c>
      <c r="C13" s="447">
        <f ca="1">IF(B1="",'数据-取费表'!M16,INDIRECT("'数据-取费表'!M"&amp;$K$1)+INDIRECT("'数据-取费表'!t"&amp;$K$1))</f>
        <v>53355</v>
      </c>
      <c r="D13" s="448"/>
      <c r="E13" s="362"/>
      <c r="F13" s="449"/>
      <c r="G13" s="441"/>
      <c r="H13" s="444"/>
      <c r="I13" s="444"/>
      <c r="J13" s="444"/>
      <c r="K13" s="445"/>
    </row>
    <row r="14" spans="1:41" s="2099" customFormat="1" ht="13.5" customHeight="1">
      <c r="A14" s="1616" t="s">
        <v>1849</v>
      </c>
      <c r="B14" s="446" t="s">
        <v>480</v>
      </c>
      <c r="C14" s="52">
        <f ca="1">ROUND(C13*F14,0)</f>
        <v>2668</v>
      </c>
      <c r="D14" s="448"/>
      <c r="E14" s="362"/>
      <c r="F14" s="450">
        <f>'数据-取费表'!B33</f>
        <v>0.05</v>
      </c>
      <c r="G14" s="441" t="s">
        <v>502</v>
      </c>
      <c r="H14" s="444"/>
      <c r="I14" s="444"/>
      <c r="J14" s="444"/>
      <c r="K14" s="445"/>
    </row>
    <row r="15" spans="1:41" s="2099" customFormat="1" ht="13.5" customHeight="1">
      <c r="A15" s="1616" t="s">
        <v>1850</v>
      </c>
      <c r="B15" s="446" t="s">
        <v>482</v>
      </c>
      <c r="C15" s="52">
        <f ca="1">ROUND(IF(B1="",SUMIF('数据-取费表'!C:C,"住宅",'数据-取费表'!M:M)*F15,IF(INDIRECT("'数据-取费表'!c"&amp;$K$1)="住宅",INDIRECT("'数据-取费表'!M"&amp;$K$1)*F15,0)),0)</f>
        <v>8003</v>
      </c>
      <c r="D15" s="448"/>
      <c r="E15" s="362"/>
      <c r="F15" s="450">
        <f>'数据-取费表'!B34</f>
        <v>0.15</v>
      </c>
      <c r="G15" s="441" t="s">
        <v>502</v>
      </c>
      <c r="H15" s="444"/>
      <c r="I15" s="444"/>
      <c r="J15" s="444"/>
      <c r="K15" s="445"/>
    </row>
    <row r="16" spans="1:41" s="2100" customFormat="1" ht="13.5" customHeight="1">
      <c r="A16" s="1616" t="s">
        <v>1851</v>
      </c>
      <c r="B16" s="446" t="s">
        <v>484</v>
      </c>
      <c r="C16" s="52">
        <f ca="1">ROUND(D16*E16/10000,0)</f>
        <v>3620</v>
      </c>
      <c r="D16" s="448">
        <f ca="1">IF(B1="",'数据-汇总表'!E3,INDIRECT("'数据-取费表'!K"&amp;$K$1)+INDIRECT("'数据-取费表'!S"&amp;$K$1))</f>
        <v>120662</v>
      </c>
      <c r="E16" s="52">
        <f>'数据-取费表'!B35</f>
        <v>300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6" t="s">
        <v>485</v>
      </c>
      <c r="C17" s="451">
        <f ca="1">ROUND(C13*F17,0)</f>
        <v>800</v>
      </c>
      <c r="D17" s="452"/>
      <c r="E17" s="451"/>
      <c r="F17" s="453">
        <f>'数据-取费表'!B36</f>
        <v>1.4999999999999999E-2</v>
      </c>
      <c r="G17" s="441" t="s">
        <v>502</v>
      </c>
      <c r="H17" s="454"/>
      <c r="I17" s="454"/>
      <c r="J17" s="454"/>
      <c r="K17" s="455"/>
    </row>
    <row r="18" spans="1:14" s="2102" customFormat="1" ht="13.5" customHeight="1">
      <c r="A18" s="1617" t="s">
        <v>1853</v>
      </c>
      <c r="B18" s="456" t="s">
        <v>487</v>
      </c>
      <c r="C18" s="457">
        <f ca="1">SUM(C13:C17)</f>
        <v>68446</v>
      </c>
      <c r="D18" s="458"/>
      <c r="E18" s="459"/>
      <c r="F18" s="459"/>
      <c r="G18" s="1320" t="s">
        <v>2432</v>
      </c>
      <c r="H18" s="444"/>
      <c r="I18" s="444"/>
      <c r="J18" s="444"/>
      <c r="K18" s="445"/>
    </row>
    <row r="19" spans="1:14" s="2102" customFormat="1" ht="13.5" customHeight="1">
      <c r="A19" s="1617" t="s">
        <v>1854</v>
      </c>
      <c r="B19" s="456" t="s">
        <v>493</v>
      </c>
      <c r="C19" s="457">
        <f ca="1">ROUND(C18*F19,0)</f>
        <v>2053</v>
      </c>
      <c r="D19" s="459"/>
      <c r="E19" s="459"/>
      <c r="F19" s="463">
        <f>'数据-取费表'!B37</f>
        <v>0.03</v>
      </c>
      <c r="G19" s="441" t="s">
        <v>503</v>
      </c>
      <c r="H19" s="444"/>
      <c r="I19" s="444"/>
      <c r="J19" s="444"/>
      <c r="K19" s="445"/>
      <c r="L19" s="2104"/>
      <c r="M19" s="2104"/>
      <c r="N19" s="2104"/>
    </row>
    <row r="20" spans="1:14" s="2102" customFormat="1" ht="13.5" customHeight="1">
      <c r="A20" s="1617" t="s">
        <v>1855</v>
      </c>
      <c r="B20" s="456" t="s">
        <v>504</v>
      </c>
      <c r="C20" s="2980">
        <f>F20</f>
        <v>0.15</v>
      </c>
      <c r="D20" s="466" t="s">
        <v>505</v>
      </c>
      <c r="E20" s="466"/>
      <c r="F20" s="483">
        <f>'数据-取费表'!B38</f>
        <v>0.15</v>
      </c>
      <c r="G20" s="1320" t="s">
        <v>506</v>
      </c>
      <c r="H20" s="444"/>
      <c r="I20" s="444"/>
      <c r="J20" s="444"/>
      <c r="K20" s="445"/>
      <c r="L20" s="2104"/>
      <c r="M20" s="2104"/>
      <c r="N20" s="2104"/>
    </row>
    <row r="21" spans="1:14" s="2104" customFormat="1" ht="13.5" customHeight="1">
      <c r="A21" s="1617" t="s">
        <v>1858</v>
      </c>
      <c r="B21" s="458" t="s">
        <v>494</v>
      </c>
      <c r="C21" s="467">
        <f ca="1">C22</f>
        <v>4210</v>
      </c>
      <c r="D21" s="464">
        <f ca="1">C23</f>
        <v>8.9999999999999993E-3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2454</v>
      </c>
    </row>
    <row r="22" spans="1:14" s="2103" customFormat="1" ht="13.5" customHeight="1">
      <c r="A22" s="1616" t="s">
        <v>1848</v>
      </c>
      <c r="B22" s="1321" t="s">
        <v>2435</v>
      </c>
      <c r="C22" s="484">
        <f ca="1">ROUND(IF('数据-取费表'!B22&lt;=1,(C18+C19)*F21*'数据-取费表'!B20/2,(C18+C19)*(POWER((1+F21),'数据-取费表'!B20/2)-1)),0)</f>
        <v>4210</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1849</v>
      </c>
      <c r="B23" s="1321" t="s">
        <v>508</v>
      </c>
      <c r="C23" s="485">
        <f ca="1">ROUND(IF('数据-取费表'!B22&lt;=1,F20*F21*'数据-取费表'!B20/2,F20*(POWER((1+F21),'数据-取费表'!B20/2)-1)),4)</f>
        <v>8.9999999999999993E-3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1859</v>
      </c>
      <c r="B24" s="2982" t="s">
        <v>2831</v>
      </c>
      <c r="C24" s="475">
        <f ca="1">C25</f>
        <v>21150</v>
      </c>
      <c r="D24" s="486">
        <f ca="1">C26</f>
        <v>4.4999999999999998E-2</v>
      </c>
      <c r="E24" s="466" t="s">
        <v>507</v>
      </c>
      <c r="F24" s="476">
        <f ca="1">IF(B1="",'数据-取费表'!Q16,INDIRECT("'数据-取费表'!q"&amp;$K$1))</f>
        <v>0.3</v>
      </c>
      <c r="G24" s="441"/>
      <c r="H24" s="444"/>
      <c r="I24" s="444"/>
      <c r="J24" s="444"/>
      <c r="K24" s="445"/>
    </row>
    <row r="25" spans="1:14" s="2103" customFormat="1" ht="13.5" customHeight="1">
      <c r="A25" s="1616" t="s">
        <v>1848</v>
      </c>
      <c r="B25" s="1321" t="s">
        <v>2436</v>
      </c>
      <c r="C25" s="487">
        <f ca="1">ROUND((C18+C19)*F24,0)</f>
        <v>21150</v>
      </c>
      <c r="D25" s="469"/>
      <c r="E25" s="470"/>
      <c r="F25" s="477"/>
      <c r="G25" s="1319" t="s">
        <v>2433</v>
      </c>
      <c r="H25" s="454"/>
      <c r="I25" s="454"/>
      <c r="J25" s="454"/>
      <c r="K25" s="455"/>
    </row>
    <row r="26" spans="1:14" s="2103" customFormat="1" ht="13.5" customHeight="1">
      <c r="A26" s="1616" t="s">
        <v>1849</v>
      </c>
      <c r="B26" s="1321" t="s">
        <v>509</v>
      </c>
      <c r="C26" s="488">
        <f ca="1">ROUND(F20*F24,4)</f>
        <v>4.4999999999999998E-2</v>
      </c>
      <c r="D26" s="469"/>
      <c r="E26" s="478"/>
      <c r="F26" s="477"/>
      <c r="G26" s="1319" t="s">
        <v>510</v>
      </c>
      <c r="H26" s="454"/>
      <c r="I26" s="454"/>
      <c r="J26" s="454"/>
      <c r="K26" s="455"/>
    </row>
    <row r="27" spans="1:14" s="2103" customFormat="1" ht="13.5" customHeight="1">
      <c r="A27" s="1620" t="s">
        <v>1867</v>
      </c>
      <c r="B27" s="456" t="s">
        <v>511</v>
      </c>
      <c r="C27" s="2981">
        <f>ROUND(F27/(1+'数据-取费表'!C42),4)</f>
        <v>5.2400000000000002E-2</v>
      </c>
      <c r="D27" s="459" t="s">
        <v>2829</v>
      </c>
      <c r="E27" s="459"/>
      <c r="F27" s="463">
        <f>'数据-取费表'!B41</f>
        <v>5.5000000000000007E-2</v>
      </c>
      <c r="G27" s="1943" t="s">
        <v>2291</v>
      </c>
      <c r="H27" s="444"/>
      <c r="I27" s="444"/>
      <c r="J27" s="444"/>
      <c r="K27" s="445"/>
    </row>
    <row r="28" spans="1:14" s="2104" customFormat="1" ht="13.5" customHeight="1">
      <c r="A28" s="1620" t="s">
        <v>1868</v>
      </c>
      <c r="B28" s="473" t="s">
        <v>512</v>
      </c>
      <c r="C28" s="467">
        <f ca="1">ROUND((C18+C19+C21+C24)/(1-C20-D21-D24-C27),0)</f>
        <v>128912</v>
      </c>
      <c r="D28" s="474"/>
      <c r="E28" s="466"/>
      <c r="F28" s="468"/>
      <c r="G28" s="1320" t="s">
        <v>2434</v>
      </c>
      <c r="H28" s="444"/>
      <c r="I28" s="444"/>
      <c r="J28" s="444"/>
      <c r="K28" s="445"/>
    </row>
    <row r="29" spans="1:14" s="2104" customFormat="1" ht="13.5" customHeight="1">
      <c r="A29" s="1620" t="s">
        <v>1869</v>
      </c>
      <c r="B29" s="473" t="s">
        <v>513</v>
      </c>
      <c r="C29" s="489">
        <f ca="1">IF(B1="",'数据-取费表'!N16,INDIRECT("'数据-取费表'!N"&amp;$K$1))</f>
        <v>0</v>
      </c>
      <c r="D29" s="490"/>
      <c r="E29" s="491"/>
      <c r="F29" s="492"/>
      <c r="G29" s="441"/>
      <c r="H29" s="444"/>
      <c r="I29" s="444"/>
      <c r="J29" s="444"/>
      <c r="K29" s="445"/>
    </row>
    <row r="30" spans="1:14" s="2104" customFormat="1" ht="13.5" customHeight="1">
      <c r="A30" s="440">
        <v>2</v>
      </c>
      <c r="B30" s="473" t="s">
        <v>514</v>
      </c>
      <c r="C30" s="494">
        <f ca="1">ROUND(C28*C29,0)</f>
        <v>0</v>
      </c>
      <c r="D30" s="490"/>
      <c r="E30" s="495"/>
      <c r="F30" s="496"/>
      <c r="G30" s="1322" t="s">
        <v>515</v>
      </c>
      <c r="H30" s="493"/>
      <c r="I30" s="493"/>
      <c r="J30" s="444"/>
      <c r="K30" s="445"/>
    </row>
    <row r="31" spans="1:14" s="2109" customFormat="1" ht="13.5" customHeight="1">
      <c r="A31" s="2444" t="s">
        <v>1865</v>
      </c>
      <c r="B31" s="1323"/>
      <c r="C31" s="497">
        <f>ROUND(C6*F31/(1+'数据-取费表'!C42),0)</f>
        <v>0</v>
      </c>
      <c r="D31" s="1324"/>
      <c r="E31" s="1324"/>
      <c r="F31" s="498">
        <f>'数据-取费表'!B41</f>
        <v>5.5000000000000007E-2</v>
      </c>
      <c r="G31" s="1325"/>
      <c r="H31" s="1325"/>
      <c r="I31" s="1325"/>
      <c r="J31" s="1326"/>
      <c r="K31" s="1327"/>
    </row>
    <row r="32" spans="1:14" s="2068"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5" t="s">
        <v>2973</v>
      </c>
      <c r="H32" s="480"/>
      <c r="I32" s="480"/>
      <c r="J32" s="480"/>
      <c r="K32" s="482"/>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520</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521</v>
      </c>
      <c r="B6" s="510"/>
      <c r="C6" s="3593" t="s">
        <v>522</v>
      </c>
      <c r="D6" s="3594"/>
      <c r="E6" s="3593" t="s">
        <v>523</v>
      </c>
      <c r="F6" s="3594"/>
      <c r="G6" s="3593" t="s">
        <v>524</v>
      </c>
      <c r="H6" s="3594"/>
      <c r="I6" s="3593" t="s">
        <v>525</v>
      </c>
      <c r="J6" s="3594"/>
      <c r="K6" s="511" t="s">
        <v>526</v>
      </c>
      <c r="L6" s="2116"/>
      <c r="M6" s="2115"/>
      <c r="N6" s="2115"/>
      <c r="O6" s="2117"/>
      <c r="P6" s="3595" t="s">
        <v>527</v>
      </c>
      <c r="Q6" s="3596"/>
      <c r="R6" s="3581" t="s">
        <v>523</v>
      </c>
      <c r="S6" s="3582"/>
      <c r="T6" s="3581" t="s">
        <v>524</v>
      </c>
      <c r="U6" s="3582"/>
      <c r="V6" s="3601" t="s">
        <v>525</v>
      </c>
      <c r="W6" s="3601"/>
      <c r="X6" s="1551"/>
      <c r="Y6" s="3581" t="s">
        <v>527</v>
      </c>
      <c r="Z6" s="3582"/>
      <c r="AA6" s="3576" t="s">
        <v>523</v>
      </c>
      <c r="AB6" s="3577" t="s">
        <v>524</v>
      </c>
      <c r="AC6" s="3576" t="s">
        <v>525</v>
      </c>
    </row>
    <row r="7" spans="1:30" ht="20.25">
      <c r="A7" s="512"/>
      <c r="B7" s="513"/>
      <c r="C7" s="3604" t="s">
        <v>2930</v>
      </c>
      <c r="D7" s="3605"/>
      <c r="E7" s="3604" t="s">
        <v>2931</v>
      </c>
      <c r="F7" s="3605"/>
      <c r="G7" s="3604" t="s">
        <v>2932</v>
      </c>
      <c r="H7" s="3605"/>
      <c r="I7" s="3604" t="s">
        <v>2933</v>
      </c>
      <c r="J7" s="3605"/>
      <c r="K7" s="511"/>
      <c r="L7" s="2116"/>
      <c r="M7" s="2115"/>
      <c r="N7" s="2115"/>
      <c r="O7" s="2117"/>
      <c r="P7" s="3597"/>
      <c r="Q7" s="3598"/>
      <c r="R7" s="3583"/>
      <c r="S7" s="3584"/>
      <c r="T7" s="3583"/>
      <c r="U7" s="3584"/>
      <c r="V7" s="3601"/>
      <c r="W7" s="3601"/>
      <c r="X7" s="1551"/>
      <c r="Y7" s="3583"/>
      <c r="Z7" s="3584"/>
      <c r="AA7" s="3577"/>
      <c r="AB7" s="3577"/>
      <c r="AC7" s="3577"/>
    </row>
    <row r="8" spans="1:30" ht="21" thickBot="1">
      <c r="A8" s="512"/>
      <c r="B8" s="513"/>
      <c r="C8" s="3606" t="s">
        <v>2934</v>
      </c>
      <c r="D8" s="3607"/>
      <c r="E8" s="3606" t="s">
        <v>2934</v>
      </c>
      <c r="F8" s="3607"/>
      <c r="G8" s="3602" t="s">
        <v>2934</v>
      </c>
      <c r="H8" s="3603"/>
      <c r="I8" s="3602" t="s">
        <v>2934</v>
      </c>
      <c r="J8" s="3603"/>
      <c r="K8" s="511" t="s">
        <v>528</v>
      </c>
      <c r="L8" s="2116"/>
      <c r="M8" s="2115"/>
      <c r="N8" s="2115"/>
      <c r="O8" s="2117"/>
      <c r="P8" s="3599"/>
      <c r="Q8" s="3600"/>
      <c r="R8" s="3583"/>
      <c r="S8" s="3584"/>
      <c r="T8" s="3585"/>
      <c r="U8" s="3586"/>
      <c r="V8" s="3601"/>
      <c r="W8" s="3601"/>
      <c r="X8" s="1551"/>
      <c r="Y8" s="3585"/>
      <c r="Z8" s="3586"/>
      <c r="AA8" s="3578"/>
      <c r="AB8" s="3578"/>
      <c r="AC8" s="3578"/>
    </row>
    <row r="9" spans="1:30" s="1213" customFormat="1" ht="21" thickBot="1">
      <c r="A9" s="2865"/>
      <c r="B9" s="2872" t="s">
        <v>529</v>
      </c>
      <c r="C9" s="2864">
        <f>'数据-取费表'!B2</f>
        <v>43780</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579" t="s">
        <v>530</v>
      </c>
      <c r="Q9" s="3588"/>
      <c r="R9" s="1552" t="s">
        <v>8</v>
      </c>
      <c r="S9" s="1553">
        <f t="shared" ref="S9:S17" si="0">F9</f>
        <v>0</v>
      </c>
      <c r="T9" s="1552" t="s">
        <v>8</v>
      </c>
      <c r="U9" s="1553">
        <f t="shared" ref="U9:U17" si="1">H9</f>
        <v>0</v>
      </c>
      <c r="V9" s="1552" t="s">
        <v>8</v>
      </c>
      <c r="W9" s="1553">
        <f t="shared" ref="W9:W17" si="2">J9</f>
        <v>0</v>
      </c>
      <c r="X9" s="1554"/>
      <c r="Y9" s="3579" t="s">
        <v>530</v>
      </c>
      <c r="Z9" s="3580"/>
      <c r="AA9" s="1555" t="e">
        <f>D9/F9</f>
        <v>#DIV/0!</v>
      </c>
      <c r="AB9" s="1555" t="e">
        <f>D9/H9</f>
        <v>#DIV/0!</v>
      </c>
      <c r="AC9" s="1555" t="e">
        <f>D9/J9</f>
        <v>#DIV/0!</v>
      </c>
    </row>
    <row r="10" spans="1:30" s="1213" customFormat="1" ht="21" thickBot="1">
      <c r="A10" s="2866"/>
      <c r="B10" s="2873"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579" t="s">
        <v>533</v>
      </c>
      <c r="Q10" s="3580"/>
      <c r="R10" s="1552" t="s">
        <v>8</v>
      </c>
      <c r="S10" s="1553">
        <f t="shared" si="0"/>
        <v>0</v>
      </c>
      <c r="T10" s="1552" t="s">
        <v>8</v>
      </c>
      <c r="U10" s="1553">
        <f t="shared" si="1"/>
        <v>0</v>
      </c>
      <c r="V10" s="1552" t="s">
        <v>8</v>
      </c>
      <c r="W10" s="1553">
        <f t="shared" si="2"/>
        <v>0</v>
      </c>
      <c r="X10" s="1554"/>
      <c r="Y10" s="3579" t="s">
        <v>533</v>
      </c>
      <c r="Z10" s="3580"/>
      <c r="AA10" s="1555" t="e">
        <f t="shared" ref="AA10:AA47" si="3">D10/F10</f>
        <v>#DIV/0!</v>
      </c>
      <c r="AB10" s="1555" t="e">
        <f t="shared" ref="AB10:AB47" si="4">D10/H10</f>
        <v>#DIV/0!</v>
      </c>
      <c r="AC10" s="1555" t="e">
        <f t="shared" ref="AC10:AC47" si="5">D10/J10</f>
        <v>#DIV/0!</v>
      </c>
    </row>
    <row r="11" spans="1:30" s="1213" customFormat="1" ht="20.25">
      <c r="A11" s="2867"/>
      <c r="B11" s="2874" t="s">
        <v>2756</v>
      </c>
      <c r="C11" s="2861"/>
      <c r="D11" s="251">
        <v>100</v>
      </c>
      <c r="E11" s="523"/>
      <c r="F11" s="251">
        <f>SUMIF(77:77,E11,78:78)-SUMIF(77:77,C11,78:78)+100</f>
        <v>100</v>
      </c>
      <c r="G11" s="523"/>
      <c r="H11" s="251">
        <f>SUMIF(77:77,G11,78:78)-SUMIF(77:77,C11,78:78)+100</f>
        <v>100</v>
      </c>
      <c r="I11" s="523"/>
      <c r="J11" s="251">
        <f>SUMIF(77:77,I11,78:78)-SUMIF(77:77,C11,78:78)+100</f>
        <v>100</v>
      </c>
      <c r="K11" s="521"/>
      <c r="L11" s="2118"/>
      <c r="M11" s="2115"/>
      <c r="N11" s="2115"/>
      <c r="O11" s="2120"/>
      <c r="P11" s="3587" t="s">
        <v>535</v>
      </c>
      <c r="Q11" s="1144" t="str">
        <f t="shared" ref="Q11:Q17" si="6">B11</f>
        <v>用途</v>
      </c>
      <c r="R11" s="1552" t="s">
        <v>8</v>
      </c>
      <c r="S11" s="1553">
        <f t="shared" si="0"/>
        <v>100</v>
      </c>
      <c r="T11" s="1552" t="s">
        <v>8</v>
      </c>
      <c r="U11" s="1553">
        <f t="shared" si="1"/>
        <v>100</v>
      </c>
      <c r="V11" s="1552" t="s">
        <v>8</v>
      </c>
      <c r="W11" s="1553">
        <f t="shared" si="2"/>
        <v>100</v>
      </c>
      <c r="X11" s="1554"/>
      <c r="Y11" s="3523" t="s">
        <v>536</v>
      </c>
      <c r="Z11" s="1143" t="str">
        <f t="shared" ref="Z11:Z17" si="7">Q11</f>
        <v>用途</v>
      </c>
      <c r="AA11" s="1555">
        <f t="shared" si="3"/>
        <v>1</v>
      </c>
      <c r="AB11" s="1555">
        <f t="shared" si="4"/>
        <v>1</v>
      </c>
      <c r="AC11" s="1555">
        <f t="shared" si="5"/>
        <v>1</v>
      </c>
    </row>
    <row r="12" spans="1:30" s="1331" customFormat="1" ht="27">
      <c r="A12" s="2868"/>
      <c r="B12" s="2873" t="s">
        <v>2757</v>
      </c>
      <c r="C12" s="907"/>
      <c r="D12" s="252">
        <v>100</v>
      </c>
      <c r="E12" s="526"/>
      <c r="F12" s="252">
        <f>ROUND(100/'数据-取费表'!G16,0)</f>
        <v>100</v>
      </c>
      <c r="G12" s="527"/>
      <c r="H12" s="252">
        <f>ROUND(100/'数据-取费表'!G16,0)</f>
        <v>100</v>
      </c>
      <c r="I12" s="527"/>
      <c r="J12" s="252">
        <f>ROUND(100/'数据-取费表'!G16,0)</f>
        <v>100</v>
      </c>
      <c r="K12" s="528"/>
      <c r="L12" s="2121"/>
      <c r="M12" s="2115"/>
      <c r="N12" s="2115"/>
      <c r="O12" s="2122"/>
      <c r="P12" s="3587"/>
      <c r="Q12" s="1144" t="str">
        <f t="shared" si="6"/>
        <v>土地使用年限（年）</v>
      </c>
      <c r="R12" s="1552" t="s">
        <v>8</v>
      </c>
      <c r="S12" s="1553">
        <f t="shared" si="0"/>
        <v>100</v>
      </c>
      <c r="T12" s="1552" t="s">
        <v>8</v>
      </c>
      <c r="U12" s="1553">
        <f t="shared" si="1"/>
        <v>100</v>
      </c>
      <c r="V12" s="1552" t="s">
        <v>8</v>
      </c>
      <c r="W12" s="1553">
        <f t="shared" si="2"/>
        <v>100</v>
      </c>
      <c r="X12" s="1554"/>
      <c r="Y12" s="3523"/>
      <c r="Z12" s="1143" t="str">
        <f t="shared" si="7"/>
        <v>土地使用年限（年）</v>
      </c>
      <c r="AA12" s="1555">
        <f t="shared" si="3"/>
        <v>1</v>
      </c>
      <c r="AB12" s="1555">
        <f t="shared" si="4"/>
        <v>1</v>
      </c>
      <c r="AC12" s="1555">
        <f t="shared" si="5"/>
        <v>1</v>
      </c>
    </row>
    <row r="13" spans="1:30" ht="20.25">
      <c r="A13" s="2869"/>
      <c r="B13" s="2873" t="s">
        <v>2758</v>
      </c>
      <c r="C13" s="531"/>
      <c r="D13" s="252">
        <v>100</v>
      </c>
      <c r="E13" s="530"/>
      <c r="F13" s="252" t="e">
        <f>LOOKUP(E13,82:82,83:83)-LOOKUP(C13,82:82,83:83)+100</f>
        <v>#N/A</v>
      </c>
      <c r="G13" s="531"/>
      <c r="H13" s="252" t="e">
        <f>LOOKUP(G13,82:82,83:83)-LOOKUP(C13,82:82,83:83)+100</f>
        <v>#N/A</v>
      </c>
      <c r="I13" s="530"/>
      <c r="J13" s="252" t="e">
        <f>LOOKUP(I13,82:82,83:83)-LOOKUP(C13,82:82,83:83)+100</f>
        <v>#N/A</v>
      </c>
      <c r="K13" s="532"/>
      <c r="L13" s="2123"/>
      <c r="M13" s="2115"/>
      <c r="N13" s="2115"/>
      <c r="O13" s="2124"/>
      <c r="P13" s="3587"/>
      <c r="Q13" s="1144" t="str">
        <f t="shared" si="6"/>
        <v>容积率</v>
      </c>
      <c r="R13" s="1552" t="s">
        <v>8</v>
      </c>
      <c r="S13" s="1553" t="e">
        <f t="shared" si="0"/>
        <v>#N/A</v>
      </c>
      <c r="T13" s="1552" t="s">
        <v>8</v>
      </c>
      <c r="U13" s="1553" t="e">
        <f t="shared" si="1"/>
        <v>#N/A</v>
      </c>
      <c r="V13" s="1552" t="s">
        <v>8</v>
      </c>
      <c r="W13" s="1553" t="e">
        <f t="shared" si="2"/>
        <v>#N/A</v>
      </c>
      <c r="X13" s="1554"/>
      <c r="Y13" s="3523"/>
      <c r="Z13" s="1143" t="str">
        <f t="shared" si="7"/>
        <v>容积率</v>
      </c>
      <c r="AA13" s="1555" t="e">
        <f t="shared" si="3"/>
        <v>#N/A</v>
      </c>
      <c r="AB13" s="1555" t="e">
        <f t="shared" si="4"/>
        <v>#N/A</v>
      </c>
      <c r="AC13" s="1555" t="e">
        <f t="shared" si="5"/>
        <v>#N/A</v>
      </c>
    </row>
    <row r="14" spans="1:30" s="1213" customFormat="1" ht="20.25">
      <c r="A14" s="2866"/>
      <c r="B14" s="2875" t="s">
        <v>2759</v>
      </c>
      <c r="C14" s="2862"/>
      <c r="D14" s="535">
        <v>100</v>
      </c>
      <c r="E14" s="1368"/>
      <c r="F14" s="252">
        <f>SUMIF(84:84,E14,85:85)-SUMIF(84:84,C14,85:85)+100</f>
        <v>100</v>
      </c>
      <c r="G14" s="527"/>
      <c r="H14" s="252">
        <f>SUMIF(84:84,G14,85:85)-SUMIF(84:84,C14,85:85)+100</f>
        <v>100</v>
      </c>
      <c r="I14" s="526"/>
      <c r="J14" s="252">
        <f>SUMIF(84:84,I14,85:85)-SUMIF(84:84,C14,85:85)+100</f>
        <v>100</v>
      </c>
      <c r="K14" s="528"/>
      <c r="L14" s="2118"/>
      <c r="M14" s="2115"/>
      <c r="N14" s="2115"/>
      <c r="O14" s="2120"/>
      <c r="P14" s="3587"/>
      <c r="Q14" s="1144" t="str">
        <f t="shared" si="6"/>
        <v>配建</v>
      </c>
      <c r="R14" s="1552" t="s">
        <v>8</v>
      </c>
      <c r="S14" s="1553">
        <f t="shared" si="0"/>
        <v>100</v>
      </c>
      <c r="T14" s="1552" t="s">
        <v>8</v>
      </c>
      <c r="U14" s="1553">
        <f t="shared" si="1"/>
        <v>100</v>
      </c>
      <c r="V14" s="1552" t="s">
        <v>8</v>
      </c>
      <c r="W14" s="1553">
        <f t="shared" si="2"/>
        <v>100</v>
      </c>
      <c r="X14" s="1554"/>
      <c r="Y14" s="3523"/>
      <c r="Z14" s="1143" t="str">
        <f t="shared" si="7"/>
        <v>配建</v>
      </c>
      <c r="AA14" s="1555">
        <f>D14/F14</f>
        <v>1</v>
      </c>
      <c r="AB14" s="1555">
        <f>D14/H14</f>
        <v>1</v>
      </c>
      <c r="AC14" s="1555">
        <f>D14/J14</f>
        <v>1</v>
      </c>
    </row>
    <row r="15" spans="1:30" ht="20.25">
      <c r="A15" s="2870"/>
      <c r="B15" s="2876">
        <v>111</v>
      </c>
      <c r="C15" s="909"/>
      <c r="D15" s="537">
        <v>100</v>
      </c>
      <c r="E15" s="538"/>
      <c r="F15" s="252">
        <f>SUMIF(86:86,E15,87:87)-SUMIF(86:86,C15,87:87)+100</f>
        <v>100</v>
      </c>
      <c r="G15" s="539"/>
      <c r="H15" s="537">
        <f>SUMIF(86:86,G15,87:87)-SUMIF(86:86,C15,87:87)+100</f>
        <v>100</v>
      </c>
      <c r="I15" s="539"/>
      <c r="J15" s="537">
        <f>SUMIF(86:86,I15,87:87)-SUMIF(86:86,C15,87:87)+100</f>
        <v>100</v>
      </c>
      <c r="K15" s="528"/>
      <c r="L15" s="2125"/>
      <c r="M15" s="2115"/>
      <c r="N15" s="2115"/>
      <c r="O15" s="2124"/>
      <c r="P15" s="3587"/>
      <c r="Q15" s="1144">
        <f t="shared" si="6"/>
        <v>111</v>
      </c>
      <c r="R15" s="1552" t="s">
        <v>8</v>
      </c>
      <c r="S15" s="1553">
        <f t="shared" si="0"/>
        <v>100</v>
      </c>
      <c r="T15" s="1552" t="s">
        <v>8</v>
      </c>
      <c r="U15" s="1553">
        <f t="shared" si="1"/>
        <v>100</v>
      </c>
      <c r="V15" s="1552" t="s">
        <v>8</v>
      </c>
      <c r="W15" s="1553">
        <f t="shared" si="2"/>
        <v>100</v>
      </c>
      <c r="X15" s="1554"/>
      <c r="Y15" s="3523"/>
      <c r="Z15" s="1143">
        <f t="shared" si="7"/>
        <v>111</v>
      </c>
      <c r="AA15" s="1555">
        <f>D15/F15</f>
        <v>1</v>
      </c>
      <c r="AB15" s="1555">
        <f>D15/H15</f>
        <v>1</v>
      </c>
      <c r="AC15" s="1555">
        <f>D15/J15</f>
        <v>1</v>
      </c>
    </row>
    <row r="16" spans="1:30" ht="21" thickBot="1">
      <c r="A16" s="2871"/>
      <c r="B16" s="2877">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587"/>
      <c r="Q16" s="1144">
        <f t="shared" si="6"/>
        <v>111</v>
      </c>
      <c r="R16" s="1552" t="s">
        <v>8</v>
      </c>
      <c r="S16" s="1553">
        <f t="shared" si="0"/>
        <v>100</v>
      </c>
      <c r="T16" s="1552" t="s">
        <v>8</v>
      </c>
      <c r="U16" s="1553">
        <f t="shared" si="1"/>
        <v>100</v>
      </c>
      <c r="V16" s="1552" t="s">
        <v>8</v>
      </c>
      <c r="W16" s="1553">
        <f t="shared" si="2"/>
        <v>100</v>
      </c>
      <c r="X16" s="1554"/>
      <c r="Y16" s="3523"/>
      <c r="Z16" s="1143">
        <f t="shared" si="7"/>
        <v>111</v>
      </c>
      <c r="AA16" s="1555">
        <f>D16/F16</f>
        <v>1</v>
      </c>
      <c r="AB16" s="1555">
        <f>D16/H16</f>
        <v>1</v>
      </c>
      <c r="AC16" s="1555">
        <f>D16/J16</f>
        <v>1</v>
      </c>
    </row>
    <row r="17" spans="1:29" ht="99.75">
      <c r="A17" s="2863" t="s">
        <v>2754</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589" t="s">
        <v>540</v>
      </c>
      <c r="Q17" s="1556" t="str">
        <f t="shared" si="6"/>
        <v>居住社区成熟度</v>
      </c>
      <c r="R17" s="1557" t="s">
        <v>8</v>
      </c>
      <c r="S17" s="1558">
        <f t="shared" si="0"/>
        <v>100</v>
      </c>
      <c r="T17" s="1557" t="s">
        <v>8</v>
      </c>
      <c r="U17" s="1558">
        <f t="shared" si="1"/>
        <v>100</v>
      </c>
      <c r="V17" s="1557" t="s">
        <v>8</v>
      </c>
      <c r="W17" s="1558">
        <f t="shared" si="2"/>
        <v>100</v>
      </c>
      <c r="X17" s="1551"/>
      <c r="Y17" s="3589" t="s">
        <v>540</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590"/>
      <c r="Q18" s="1556"/>
      <c r="R18" s="1557"/>
      <c r="S18" s="1558"/>
      <c r="T18" s="1557"/>
      <c r="U18" s="1558"/>
      <c r="V18" s="1557"/>
      <c r="W18" s="1558"/>
      <c r="X18" s="1551"/>
      <c r="Y18" s="3590"/>
      <c r="Z18" s="1559"/>
      <c r="AA18" s="1560">
        <v>1</v>
      </c>
      <c r="AB18" s="1560">
        <v>1</v>
      </c>
      <c r="AC18" s="1560">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590"/>
      <c r="Q19" s="1556" t="str">
        <f>B19</f>
        <v>商业繁华度</v>
      </c>
      <c r="R19" s="1557" t="s">
        <v>8</v>
      </c>
      <c r="S19" s="1558">
        <f>F19</f>
        <v>100</v>
      </c>
      <c r="T19" s="1557" t="s">
        <v>8</v>
      </c>
      <c r="U19" s="1558">
        <f>H19</f>
        <v>100</v>
      </c>
      <c r="V19" s="1557" t="s">
        <v>8</v>
      </c>
      <c r="W19" s="1558">
        <f>J19</f>
        <v>100</v>
      </c>
      <c r="X19" s="1551"/>
      <c r="Y19" s="3590"/>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590"/>
      <c r="Q20" s="1556"/>
      <c r="R20" s="1557"/>
      <c r="S20" s="1558"/>
      <c r="T20" s="1557"/>
      <c r="U20" s="1558"/>
      <c r="V20" s="1557"/>
      <c r="W20" s="1558"/>
      <c r="X20" s="1551"/>
      <c r="Y20" s="3590"/>
      <c r="Z20" s="1559"/>
      <c r="AA20" s="1560">
        <v>1</v>
      </c>
      <c r="AB20" s="1560">
        <v>1</v>
      </c>
      <c r="AC20" s="1560">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590"/>
      <c r="Q21" s="1556" t="str">
        <f>B21</f>
        <v>办公集聚程度</v>
      </c>
      <c r="R21" s="1557" t="s">
        <v>8</v>
      </c>
      <c r="S21" s="1558">
        <f>F21</f>
        <v>100</v>
      </c>
      <c r="T21" s="1557" t="s">
        <v>8</v>
      </c>
      <c r="U21" s="1558">
        <f>H21</f>
        <v>100</v>
      </c>
      <c r="V21" s="1557" t="s">
        <v>8</v>
      </c>
      <c r="W21" s="1558">
        <f>J21</f>
        <v>100</v>
      </c>
      <c r="X21" s="1551"/>
      <c r="Y21" s="3590"/>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590"/>
      <c r="Q22" s="1556"/>
      <c r="R22" s="1557"/>
      <c r="S22" s="1558"/>
      <c r="T22" s="1557"/>
      <c r="U22" s="1558"/>
      <c r="V22" s="1557"/>
      <c r="W22" s="1558"/>
      <c r="X22" s="1551"/>
      <c r="Y22" s="3590"/>
      <c r="Z22" s="1559"/>
      <c r="AA22" s="1560">
        <v>1</v>
      </c>
      <c r="AB22" s="1560">
        <v>1</v>
      </c>
      <c r="AC22" s="1560">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590"/>
      <c r="Q23" s="1556" t="str">
        <f>B23</f>
        <v>交通便捷度</v>
      </c>
      <c r="R23" s="1557" t="s">
        <v>8</v>
      </c>
      <c r="S23" s="1558">
        <f>F23</f>
        <v>100</v>
      </c>
      <c r="T23" s="1557" t="s">
        <v>8</v>
      </c>
      <c r="U23" s="1558">
        <f>H23</f>
        <v>100</v>
      </c>
      <c r="V23" s="1557" t="s">
        <v>8</v>
      </c>
      <c r="W23" s="1558">
        <f>J23</f>
        <v>100</v>
      </c>
      <c r="X23" s="1551"/>
      <c r="Y23" s="3590"/>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590"/>
      <c r="Q24" s="1556"/>
      <c r="R24" s="1557"/>
      <c r="S24" s="1558"/>
      <c r="T24" s="1557"/>
      <c r="U24" s="1558"/>
      <c r="V24" s="1557"/>
      <c r="W24" s="1558"/>
      <c r="X24" s="1551"/>
      <c r="Y24" s="3590"/>
      <c r="Z24" s="1559"/>
      <c r="AA24" s="1560">
        <v>1</v>
      </c>
      <c r="AB24" s="1560">
        <v>1</v>
      </c>
      <c r="AC24" s="156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590"/>
      <c r="Q25" s="1556" t="str">
        <f t="shared" ref="Q25:Q39" si="8">B25</f>
        <v>区域土地利用方向</v>
      </c>
      <c r="R25" s="1557" t="s">
        <v>8</v>
      </c>
      <c r="S25" s="1558">
        <f>F25</f>
        <v>100</v>
      </c>
      <c r="T25" s="1557" t="s">
        <v>8</v>
      </c>
      <c r="U25" s="1558">
        <f>H25</f>
        <v>100</v>
      </c>
      <c r="V25" s="1557" t="s">
        <v>8</v>
      </c>
      <c r="W25" s="1558">
        <f>J25</f>
        <v>100</v>
      </c>
      <c r="X25" s="1551"/>
      <c r="Y25" s="3590"/>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590"/>
      <c r="Q26" s="1556"/>
      <c r="R26" s="1557"/>
      <c r="S26" s="1558"/>
      <c r="T26" s="1557"/>
      <c r="U26" s="1558"/>
      <c r="V26" s="1557"/>
      <c r="W26" s="1558"/>
      <c r="X26" s="1551"/>
      <c r="Y26" s="3590"/>
      <c r="Z26" s="1559"/>
      <c r="AA26" s="1560"/>
      <c r="AB26" s="1560"/>
      <c r="AC26" s="1560"/>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590"/>
      <c r="Q27" s="1556" t="str">
        <f t="shared" si="8"/>
        <v>自然及人文环境状况</v>
      </c>
      <c r="R27" s="1557" t="s">
        <v>8</v>
      </c>
      <c r="S27" s="1558">
        <f>F27</f>
        <v>100</v>
      </c>
      <c r="T27" s="1557" t="s">
        <v>8</v>
      </c>
      <c r="U27" s="1558">
        <f>H27</f>
        <v>100</v>
      </c>
      <c r="V27" s="1557" t="s">
        <v>8</v>
      </c>
      <c r="W27" s="1558">
        <f>J27</f>
        <v>100</v>
      </c>
      <c r="X27" s="1551"/>
      <c r="Y27" s="3590"/>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590"/>
      <c r="Q28" s="1556"/>
      <c r="R28" s="1557"/>
      <c r="S28" s="1558"/>
      <c r="T28" s="1557"/>
      <c r="U28" s="1558"/>
      <c r="V28" s="1557"/>
      <c r="W28" s="1558"/>
      <c r="X28" s="1551"/>
      <c r="Y28" s="3590"/>
      <c r="Z28" s="1559"/>
      <c r="AA28" s="1560">
        <v>1</v>
      </c>
      <c r="AB28" s="1560">
        <v>1</v>
      </c>
      <c r="AC28" s="1560">
        <v>1</v>
      </c>
    </row>
    <row r="29" spans="1:29" s="1213" customFormat="1" ht="42.75">
      <c r="A29" s="574"/>
      <c r="B29" s="255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590"/>
      <c r="Q29" s="1144" t="str">
        <f t="shared" si="8"/>
        <v>公共配套设施</v>
      </c>
      <c r="R29" s="1552" t="s">
        <v>8</v>
      </c>
      <c r="S29" s="1553">
        <f>F29</f>
        <v>100</v>
      </c>
      <c r="T29" s="1552" t="s">
        <v>8</v>
      </c>
      <c r="U29" s="1553">
        <f>H29</f>
        <v>100</v>
      </c>
      <c r="V29" s="1552" t="s">
        <v>8</v>
      </c>
      <c r="W29" s="1553">
        <f>J29</f>
        <v>100</v>
      </c>
      <c r="X29" s="1554"/>
      <c r="Y29" s="3590"/>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590"/>
      <c r="Q30" s="1144"/>
      <c r="R30" s="1552"/>
      <c r="S30" s="1553"/>
      <c r="T30" s="1552"/>
      <c r="U30" s="1553"/>
      <c r="V30" s="1552"/>
      <c r="W30" s="1553"/>
      <c r="X30" s="1554"/>
      <c r="Y30" s="3590"/>
      <c r="Z30" s="1143"/>
      <c r="AA30" s="1560">
        <v>1</v>
      </c>
      <c r="AB30" s="1560">
        <v>1</v>
      </c>
      <c r="AC30" s="1560">
        <v>1</v>
      </c>
    </row>
    <row r="31" spans="1:29" s="1213" customFormat="1" ht="28.5">
      <c r="A31" s="574"/>
      <c r="B31" s="255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590"/>
      <c r="Q31" s="2540" t="str">
        <f t="shared" ref="Q31" si="9">B31</f>
        <v>基础设施水平</v>
      </c>
      <c r="R31" s="1552" t="s">
        <v>8</v>
      </c>
      <c r="S31" s="1553">
        <f>F31</f>
        <v>100</v>
      </c>
      <c r="T31" s="1552" t="s">
        <v>8</v>
      </c>
      <c r="U31" s="1553">
        <f>H31</f>
        <v>100</v>
      </c>
      <c r="V31" s="1552" t="s">
        <v>8</v>
      </c>
      <c r="W31" s="1553">
        <f>J31</f>
        <v>100</v>
      </c>
      <c r="X31" s="1554"/>
      <c r="Y31" s="3590"/>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590"/>
      <c r="Q32" s="2540"/>
      <c r="R32" s="1552"/>
      <c r="S32" s="1553"/>
      <c r="T32" s="1552"/>
      <c r="U32" s="1553"/>
      <c r="V32" s="1552"/>
      <c r="W32" s="1553"/>
      <c r="X32" s="1554"/>
      <c r="Y32" s="3590"/>
      <c r="Z32" s="2537"/>
      <c r="AA32" s="1560">
        <v>1</v>
      </c>
      <c r="AB32" s="1560">
        <v>1</v>
      </c>
      <c r="AC32" s="1560">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59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590"/>
      <c r="Z33" s="1559" t="str">
        <f t="shared" ref="Z33:Z47" si="13">Q33</f>
        <v>临街状况</v>
      </c>
      <c r="AA33" s="1560">
        <f t="shared" si="3"/>
        <v>1</v>
      </c>
      <c r="AB33" s="1560">
        <f t="shared" si="4"/>
        <v>1</v>
      </c>
      <c r="AC33" s="1560">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590"/>
      <c r="Q34" s="1556" t="str">
        <f t="shared" si="8"/>
        <v>毗邻道路的类型与等级</v>
      </c>
      <c r="R34" s="1557" t="s">
        <v>8</v>
      </c>
      <c r="S34" s="1558">
        <f t="shared" si="10"/>
        <v>100</v>
      </c>
      <c r="T34" s="1557" t="s">
        <v>8</v>
      </c>
      <c r="U34" s="1558">
        <f t="shared" si="11"/>
        <v>100</v>
      </c>
      <c r="V34" s="1557" t="s">
        <v>8</v>
      </c>
      <c r="W34" s="1558">
        <f t="shared" si="12"/>
        <v>100</v>
      </c>
      <c r="X34" s="1551"/>
      <c r="Y34" s="3590"/>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590"/>
      <c r="Q35" s="1556"/>
      <c r="R35" s="1557"/>
      <c r="S35" s="1558"/>
      <c r="T35" s="1557"/>
      <c r="U35" s="1558"/>
      <c r="V35" s="1557"/>
      <c r="W35" s="1558"/>
      <c r="X35" s="1551"/>
      <c r="Y35" s="3590"/>
      <c r="Z35" s="1559"/>
      <c r="AA35" s="1560">
        <v>1</v>
      </c>
      <c r="AB35" s="1560">
        <v>1</v>
      </c>
      <c r="AC35" s="156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590"/>
      <c r="Q36" s="1556" t="str">
        <f t="shared" si="8"/>
        <v>土地级别</v>
      </c>
      <c r="R36" s="1557" t="s">
        <v>8</v>
      </c>
      <c r="S36" s="1558">
        <f t="shared" si="10"/>
        <v>100</v>
      </c>
      <c r="T36" s="1557" t="s">
        <v>8</v>
      </c>
      <c r="U36" s="1558">
        <f t="shared" si="11"/>
        <v>100</v>
      </c>
      <c r="V36" s="1557" t="s">
        <v>8</v>
      </c>
      <c r="W36" s="1558">
        <f t="shared" si="12"/>
        <v>100</v>
      </c>
      <c r="X36" s="1551"/>
      <c r="Y36" s="3590"/>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590"/>
      <c r="Q37" s="1556">
        <f t="shared" si="8"/>
        <v>111</v>
      </c>
      <c r="R37" s="1557" t="s">
        <v>8</v>
      </c>
      <c r="S37" s="1558">
        <f t="shared" si="10"/>
        <v>100</v>
      </c>
      <c r="T37" s="1557" t="s">
        <v>8</v>
      </c>
      <c r="U37" s="1558">
        <f t="shared" si="11"/>
        <v>100</v>
      </c>
      <c r="V37" s="1557" t="s">
        <v>8</v>
      </c>
      <c r="W37" s="1558">
        <f t="shared" si="12"/>
        <v>100</v>
      </c>
      <c r="X37" s="1551"/>
      <c r="Y37" s="3590"/>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591" t="s">
        <v>550</v>
      </c>
      <c r="Q38" s="1556">
        <f t="shared" si="8"/>
        <v>111</v>
      </c>
      <c r="R38" s="1557" t="s">
        <v>8</v>
      </c>
      <c r="S38" s="1558">
        <f t="shared" si="10"/>
        <v>100</v>
      </c>
      <c r="T38" s="1557" t="s">
        <v>8</v>
      </c>
      <c r="U38" s="1558">
        <f t="shared" si="11"/>
        <v>100</v>
      </c>
      <c r="V38" s="1557" t="s">
        <v>8</v>
      </c>
      <c r="W38" s="1558">
        <f t="shared" si="12"/>
        <v>100</v>
      </c>
      <c r="X38" s="1551"/>
      <c r="Y38" s="3592" t="s">
        <v>550</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592"/>
      <c r="Q39" s="1556">
        <f t="shared" si="8"/>
        <v>111</v>
      </c>
      <c r="R39" s="1561" t="s">
        <v>8</v>
      </c>
      <c r="S39" s="1562">
        <f t="shared" si="10"/>
        <v>100</v>
      </c>
      <c r="T39" s="1561" t="s">
        <v>8</v>
      </c>
      <c r="U39" s="1562">
        <f t="shared" si="11"/>
        <v>100</v>
      </c>
      <c r="V39" s="1561" t="s">
        <v>8</v>
      </c>
      <c r="W39" s="1562">
        <f t="shared" si="12"/>
        <v>100</v>
      </c>
      <c r="X39" s="1563"/>
      <c r="Y39" s="3592"/>
      <c r="Z39" s="1564">
        <f t="shared" si="13"/>
        <v>111</v>
      </c>
      <c r="AA39" s="1560">
        <f t="shared" si="3"/>
        <v>1</v>
      </c>
      <c r="AB39" s="1560">
        <f t="shared" si="4"/>
        <v>1</v>
      </c>
      <c r="AC39" s="1560">
        <f t="shared" si="5"/>
        <v>1</v>
      </c>
    </row>
    <row r="40" spans="1:29" ht="20.25">
      <c r="A40" s="2860" t="s">
        <v>2755</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592"/>
      <c r="Q40" s="1556" t="str">
        <f>B40</f>
        <v>宗地面积</v>
      </c>
      <c r="R40" s="1557" t="s">
        <v>8</v>
      </c>
      <c r="S40" s="1558" t="e">
        <f t="shared" si="10"/>
        <v>#N/A</v>
      </c>
      <c r="T40" s="1557" t="s">
        <v>8</v>
      </c>
      <c r="U40" s="1558" t="e">
        <f t="shared" si="11"/>
        <v>#N/A</v>
      </c>
      <c r="V40" s="1557" t="s">
        <v>8</v>
      </c>
      <c r="W40" s="1558" t="e">
        <f t="shared" si="12"/>
        <v>#N/A</v>
      </c>
      <c r="X40" s="1551"/>
      <c r="Y40" s="3592"/>
      <c r="Z40" s="1559" t="str">
        <f t="shared" si="13"/>
        <v>宗地面积</v>
      </c>
      <c r="AA40" s="1560" t="e">
        <f t="shared" si="3"/>
        <v>#N/A</v>
      </c>
      <c r="AB40" s="1560" t="e">
        <f t="shared" si="4"/>
        <v>#N/A</v>
      </c>
      <c r="AC40" s="1560"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592"/>
      <c r="Q41" s="1556" t="str">
        <f t="shared" ref="Q41:Q47" si="14">B41</f>
        <v>宗地形状</v>
      </c>
      <c r="R41" s="1557" t="s">
        <v>8</v>
      </c>
      <c r="S41" s="1558">
        <f t="shared" si="10"/>
        <v>100</v>
      </c>
      <c r="T41" s="1557" t="s">
        <v>8</v>
      </c>
      <c r="U41" s="1558">
        <f t="shared" si="11"/>
        <v>100</v>
      </c>
      <c r="V41" s="1557" t="s">
        <v>8</v>
      </c>
      <c r="W41" s="1558">
        <f t="shared" si="12"/>
        <v>100</v>
      </c>
      <c r="X41" s="1551"/>
      <c r="Y41" s="3592"/>
      <c r="Z41" s="1559" t="str">
        <f t="shared" si="13"/>
        <v>宗地形状</v>
      </c>
      <c r="AA41" s="1560">
        <f t="shared" si="3"/>
        <v>1</v>
      </c>
      <c r="AB41" s="1560">
        <f t="shared" si="4"/>
        <v>1</v>
      </c>
      <c r="AC41" s="1560">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592"/>
      <c r="Q42" s="1556" t="str">
        <f t="shared" si="14"/>
        <v>临街宽度及深度</v>
      </c>
      <c r="R42" s="1557" t="s">
        <v>8</v>
      </c>
      <c r="S42" s="1558">
        <f t="shared" si="10"/>
        <v>100</v>
      </c>
      <c r="T42" s="1557" t="s">
        <v>8</v>
      </c>
      <c r="U42" s="1558">
        <f t="shared" si="11"/>
        <v>100</v>
      </c>
      <c r="V42" s="1557" t="s">
        <v>8</v>
      </c>
      <c r="W42" s="1558">
        <f t="shared" si="12"/>
        <v>100</v>
      </c>
      <c r="X42" s="1551"/>
      <c r="Y42" s="3592"/>
      <c r="Z42" s="1559" t="str">
        <f t="shared" si="13"/>
        <v>临街宽度及深度</v>
      </c>
      <c r="AA42" s="1560">
        <f t="shared" si="3"/>
        <v>1</v>
      </c>
      <c r="AB42" s="1560">
        <f t="shared" si="4"/>
        <v>1</v>
      </c>
      <c r="AC42" s="1560">
        <f t="shared" si="5"/>
        <v>1</v>
      </c>
    </row>
    <row r="43" spans="1:29" s="1213" customFormat="1" ht="20.25">
      <c r="A43" s="597"/>
      <c r="B43" s="1878" t="s">
        <v>2424</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592"/>
      <c r="Q43" s="1556" t="str">
        <f t="shared" si="14"/>
        <v>宗地开发程度</v>
      </c>
      <c r="R43" s="1552" t="s">
        <v>8</v>
      </c>
      <c r="S43" s="1553">
        <f t="shared" si="10"/>
        <v>100</v>
      </c>
      <c r="T43" s="1552" t="s">
        <v>8</v>
      </c>
      <c r="U43" s="1553">
        <f t="shared" si="11"/>
        <v>100</v>
      </c>
      <c r="V43" s="1552" t="s">
        <v>8</v>
      </c>
      <c r="W43" s="1553">
        <f t="shared" si="12"/>
        <v>100</v>
      </c>
      <c r="X43" s="1554"/>
      <c r="Y43" s="3592"/>
      <c r="Z43" s="1143" t="str">
        <f t="shared" si="13"/>
        <v>宗地开发程度</v>
      </c>
      <c r="AA43" s="1555">
        <f t="shared" si="3"/>
        <v>1</v>
      </c>
      <c r="AB43" s="1555">
        <f t="shared" si="4"/>
        <v>1</v>
      </c>
      <c r="AC43" s="1555">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592" t="s">
        <v>550</v>
      </c>
      <c r="Q44" s="1556" t="str">
        <f t="shared" si="14"/>
        <v>工程地质条件</v>
      </c>
      <c r="R44" s="1557" t="s">
        <v>8</v>
      </c>
      <c r="S44" s="1558">
        <f t="shared" si="10"/>
        <v>100</v>
      </c>
      <c r="T44" s="1557" t="s">
        <v>8</v>
      </c>
      <c r="U44" s="1558">
        <f t="shared" si="11"/>
        <v>100</v>
      </c>
      <c r="V44" s="1557" t="s">
        <v>8</v>
      </c>
      <c r="W44" s="1558">
        <f t="shared" si="12"/>
        <v>100</v>
      </c>
      <c r="X44" s="1551"/>
      <c r="Y44" s="3592" t="s">
        <v>550</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592"/>
      <c r="Q45" s="1556">
        <f t="shared" si="14"/>
        <v>111</v>
      </c>
      <c r="R45" s="1557" t="s">
        <v>8</v>
      </c>
      <c r="S45" s="1558">
        <f t="shared" si="10"/>
        <v>100</v>
      </c>
      <c r="T45" s="1557" t="s">
        <v>8</v>
      </c>
      <c r="U45" s="1558">
        <f t="shared" si="11"/>
        <v>100</v>
      </c>
      <c r="V45" s="1557" t="s">
        <v>8</v>
      </c>
      <c r="W45" s="1558">
        <f t="shared" si="12"/>
        <v>100</v>
      </c>
      <c r="X45" s="1551"/>
      <c r="Y45" s="3592"/>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592"/>
      <c r="Q46" s="1556">
        <f t="shared" si="14"/>
        <v>111</v>
      </c>
      <c r="R46" s="1557" t="s">
        <v>8</v>
      </c>
      <c r="S46" s="1558">
        <f t="shared" si="10"/>
        <v>100</v>
      </c>
      <c r="T46" s="1557" t="s">
        <v>8</v>
      </c>
      <c r="U46" s="1558">
        <f t="shared" si="11"/>
        <v>100</v>
      </c>
      <c r="V46" s="1557" t="s">
        <v>8</v>
      </c>
      <c r="W46" s="1558">
        <f t="shared" si="12"/>
        <v>100</v>
      </c>
      <c r="X46" s="1551"/>
      <c r="Y46" s="3592"/>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592"/>
      <c r="Q47" s="1556">
        <f t="shared" si="14"/>
        <v>111</v>
      </c>
      <c r="R47" s="1561" t="s">
        <v>8</v>
      </c>
      <c r="S47" s="1562">
        <f t="shared" si="10"/>
        <v>100</v>
      </c>
      <c r="T47" s="1561" t="s">
        <v>8</v>
      </c>
      <c r="U47" s="1562">
        <f t="shared" si="11"/>
        <v>100</v>
      </c>
      <c r="V47" s="1561" t="s">
        <v>8</v>
      </c>
      <c r="W47" s="1562">
        <f t="shared" si="12"/>
        <v>100</v>
      </c>
      <c r="X47" s="1563"/>
      <c r="Y47" s="3592"/>
      <c r="Z47" s="1564">
        <f t="shared" si="13"/>
        <v>111</v>
      </c>
      <c r="AA47" s="1560">
        <f t="shared" si="3"/>
        <v>1</v>
      </c>
      <c r="AB47" s="1560">
        <f t="shared" si="4"/>
        <v>1</v>
      </c>
      <c r="AC47" s="1560">
        <f t="shared" si="5"/>
        <v>1</v>
      </c>
    </row>
    <row r="48" spans="1:29" ht="20.25">
      <c r="A48" s="604" t="s">
        <v>556</v>
      </c>
      <c r="B48" s="605" t="s">
        <v>2935</v>
      </c>
      <c r="C48" s="606" t="s">
        <v>1</v>
      </c>
      <c r="D48" s="607"/>
      <c r="E48" s="608"/>
      <c r="F48" s="609"/>
      <c r="G48" s="610"/>
      <c r="H48" s="611"/>
      <c r="I48" s="608"/>
      <c r="J48" s="611"/>
      <c r="K48" s="1333"/>
      <c r="L48" s="2127"/>
      <c r="M48" s="2115"/>
      <c r="N48" s="2115"/>
      <c r="O48" s="2128"/>
      <c r="P48" s="3587" t="str">
        <f>A48</f>
        <v>成交单价</v>
      </c>
      <c r="Q48" s="3587"/>
      <c r="R48" s="3601">
        <f>E48</f>
        <v>0</v>
      </c>
      <c r="S48" s="3601"/>
      <c r="T48" s="3601">
        <f>G48</f>
        <v>0</v>
      </c>
      <c r="U48" s="3601"/>
      <c r="V48" s="3601">
        <f>I48</f>
        <v>0</v>
      </c>
      <c r="W48" s="3601"/>
      <c r="X48" s="1543"/>
      <c r="Y48" s="1565"/>
      <c r="Z48" s="1543"/>
      <c r="AA48" s="1543"/>
      <c r="AB48" s="1543"/>
      <c r="AC48" s="1543"/>
    </row>
    <row r="49" spans="1:29" ht="21" thickBot="1">
      <c r="A49" s="612" t="s">
        <v>2693</v>
      </c>
      <c r="B49" s="613"/>
      <c r="C49" s="614" t="e">
        <f>R50</f>
        <v>#DIV/0!</v>
      </c>
      <c r="D49" s="615"/>
      <c r="E49" s="614" t="e">
        <f>R49</f>
        <v>#DIV/0!</v>
      </c>
      <c r="F49" s="616"/>
      <c r="G49" s="617" t="e">
        <f>T49</f>
        <v>#DIV/0!</v>
      </c>
      <c r="H49" s="615"/>
      <c r="I49" s="614" t="e">
        <f>V49</f>
        <v>#DIV/0!</v>
      </c>
      <c r="J49" s="615"/>
      <c r="K49" s="1334"/>
      <c r="L49" s="2127"/>
      <c r="M49" s="2115"/>
      <c r="N49" s="2115"/>
      <c r="O49" s="2128"/>
      <c r="P49" s="3587" t="str">
        <f>A49</f>
        <v>比较价格（元/平方米）</v>
      </c>
      <c r="Q49" s="3587"/>
      <c r="R49" s="3611" t="e">
        <f>ROUND(PRODUCT(R48,AA9:AA47),0)</f>
        <v>#DIV/0!</v>
      </c>
      <c r="S49" s="3611"/>
      <c r="T49" s="3611" t="e">
        <f>ROUND(PRODUCT(T48,AB9:AB47),0)</f>
        <v>#DIV/0!</v>
      </c>
      <c r="U49" s="3611"/>
      <c r="V49" s="3611" t="e">
        <f>ROUND(PRODUCT(V48,AC9:AC47),0)</f>
        <v>#DIV/0!</v>
      </c>
      <c r="W49" s="3611"/>
      <c r="X49" s="1543"/>
      <c r="Y49" s="1543"/>
      <c r="Z49" s="1543"/>
      <c r="AA49" s="1543"/>
      <c r="AB49" s="1543"/>
      <c r="AC49" s="1543"/>
    </row>
    <row r="50" spans="1:29" ht="21" thickBot="1">
      <c r="A50" s="618" t="s">
        <v>2936</v>
      </c>
      <c r="B50" s="619"/>
      <c r="C50" s="620" t="e">
        <f>R50</f>
        <v>#DIV/0!</v>
      </c>
      <c r="D50" s="620"/>
      <c r="E50" s="620"/>
      <c r="F50" s="620"/>
      <c r="G50" s="620"/>
      <c r="H50" s="620"/>
      <c r="I50" s="620"/>
      <c r="J50" s="620"/>
      <c r="K50" s="1335"/>
      <c r="L50" s="2127"/>
      <c r="M50" s="2115"/>
      <c r="N50" s="2115"/>
      <c r="O50" s="2128"/>
      <c r="P50" s="3608" t="str">
        <f>A50</f>
        <v>估价对象XX用房的比较价格（楼面单价，元/平方米）</v>
      </c>
      <c r="Q50" s="3609"/>
      <c r="R50" s="3610" t="e">
        <f>ROUND(AVERAGE(R49:V49),0)</f>
        <v>#DIV/0!</v>
      </c>
      <c r="S50" s="3610"/>
      <c r="T50" s="3610"/>
      <c r="U50" s="3610"/>
      <c r="V50" s="3610"/>
      <c r="W50" s="36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560</v>
      </c>
      <c r="B57" s="627" t="s">
        <v>561</v>
      </c>
      <c r="C57" s="1544" t="s">
        <v>1724</v>
      </c>
      <c r="D57" s="2210" t="s">
        <v>2293</v>
      </c>
      <c r="E57" s="628" t="s">
        <v>562</v>
      </c>
      <c r="F57" s="629" t="s">
        <v>563</v>
      </c>
      <c r="G57" s="3571" t="s">
        <v>2281</v>
      </c>
      <c r="H57" s="3572"/>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564</v>
      </c>
      <c r="B58" s="631" t="e">
        <f>C50</f>
        <v>#DIV/0!</v>
      </c>
      <c r="C58" s="632">
        <v>1</v>
      </c>
      <c r="D58" s="2211">
        <v>1</v>
      </c>
      <c r="E58" s="632">
        <f>'数据-汇总表'!E8+'数据-汇总表'!E9</f>
        <v>120662</v>
      </c>
      <c r="F58" s="633" t="e">
        <f t="shared" ref="F58:F67" si="15">ROUND(B58*E58/10000,0)</f>
        <v>#DIV/0!</v>
      </c>
      <c r="G58" s="3573"/>
      <c r="H58" s="357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565</v>
      </c>
      <c r="B59" s="635" t="e">
        <f>ROUND($C$50*C59*D59,0)</f>
        <v>#DIV/0!</v>
      </c>
      <c r="C59" s="375">
        <f t="shared" ref="C59:C67" si="16">IF($C$57="北京市系数",I59,J59)</f>
        <v>0.6</v>
      </c>
      <c r="D59" s="2212">
        <v>0.25</v>
      </c>
      <c r="E59" s="636">
        <v>0</v>
      </c>
      <c r="F59" s="633" t="e">
        <f t="shared" si="15"/>
        <v>#DIV/0!</v>
      </c>
      <c r="G59" s="3575" t="s">
        <v>2282</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566</v>
      </c>
      <c r="B60" s="635" t="e">
        <f t="shared" ref="B60:B67" si="17">ROUND($C$50*C60*D60,0)</f>
        <v>#DIV/0!</v>
      </c>
      <c r="C60" s="375">
        <f t="shared" si="16"/>
        <v>0.3</v>
      </c>
      <c r="D60" s="2212">
        <v>0.25</v>
      </c>
      <c r="E60" s="636">
        <v>0</v>
      </c>
      <c r="F60" s="633" t="e">
        <f t="shared" si="15"/>
        <v>#DIV/0!</v>
      </c>
      <c r="G60" s="3575"/>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567</v>
      </c>
      <c r="B61" s="635" t="e">
        <f t="shared" si="17"/>
        <v>#DIV/0!</v>
      </c>
      <c r="C61" s="375">
        <f t="shared" si="16"/>
        <v>0.2</v>
      </c>
      <c r="D61" s="2212">
        <v>0.25</v>
      </c>
      <c r="E61" s="636">
        <v>0</v>
      </c>
      <c r="F61" s="633" t="e">
        <f t="shared" si="15"/>
        <v>#DIV/0!</v>
      </c>
      <c r="G61" s="3575"/>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568</v>
      </c>
      <c r="B62" s="635" t="e">
        <f t="shared" si="17"/>
        <v>#DIV/0!</v>
      </c>
      <c r="C62" s="375">
        <f t="shared" si="16"/>
        <v>0.2</v>
      </c>
      <c r="D62" s="2212">
        <v>0.25</v>
      </c>
      <c r="E62" s="636">
        <v>0</v>
      </c>
      <c r="F62" s="633" t="e">
        <f t="shared" si="15"/>
        <v>#DIV/0!</v>
      </c>
      <c r="G62" s="3575"/>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2328</v>
      </c>
      <c r="B63" s="635" t="e">
        <f t="shared" si="17"/>
        <v>#DIV/0!</v>
      </c>
      <c r="C63" s="375">
        <f t="shared" si="16"/>
        <v>0.2</v>
      </c>
      <c r="D63" s="2212">
        <v>0.25</v>
      </c>
      <c r="E63" s="638">
        <f>'数据-汇总表'!E11</f>
        <v>0</v>
      </c>
      <c r="F63" s="633" t="e">
        <f t="shared" si="15"/>
        <v>#DIV/0!</v>
      </c>
      <c r="G63" s="1928" t="s">
        <v>2283</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569</v>
      </c>
      <c r="B64" s="635" t="e">
        <f t="shared" si="17"/>
        <v>#DIV/0!</v>
      </c>
      <c r="C64" s="375">
        <f t="shared" si="16"/>
        <v>0.2</v>
      </c>
      <c r="D64" s="2212">
        <v>0.25</v>
      </c>
      <c r="E64" s="638">
        <f>'数据-汇总表'!E12</f>
        <v>0</v>
      </c>
      <c r="F64" s="633" t="e">
        <f t="shared" si="15"/>
        <v>#DIV/0!</v>
      </c>
      <c r="G64" s="1929" t="s">
        <v>1677</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570</v>
      </c>
      <c r="B65" s="635" t="e">
        <f t="shared" si="17"/>
        <v>#DIV/0!</v>
      </c>
      <c r="C65" s="375">
        <f t="shared" si="16"/>
        <v>0.15</v>
      </c>
      <c r="D65" s="2212">
        <v>0.25</v>
      </c>
      <c r="E65" s="638">
        <f>'数据-汇总表'!E13</f>
        <v>0</v>
      </c>
      <c r="F65" s="633" t="e">
        <f t="shared" si="15"/>
        <v>#DIV/0!</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571</v>
      </c>
      <c r="B66" s="635" t="e">
        <f t="shared" si="17"/>
        <v>#DIV/0!</v>
      </c>
      <c r="C66" s="375">
        <f t="shared" si="16"/>
        <v>0.15</v>
      </c>
      <c r="D66" s="2212">
        <v>0.25</v>
      </c>
      <c r="E66" s="638">
        <f>'数据-汇总表'!E14</f>
        <v>0</v>
      </c>
      <c r="F66" s="633" t="e">
        <f t="shared" si="15"/>
        <v>#DIV/0!</v>
      </c>
      <c r="G66" s="1928" t="s">
        <v>2282</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572</v>
      </c>
      <c r="B67" s="635" t="e">
        <f t="shared" si="17"/>
        <v>#DIV/0!</v>
      </c>
      <c r="C67" s="375">
        <f t="shared" si="16"/>
        <v>0.15</v>
      </c>
      <c r="D67" s="2212">
        <v>0.25</v>
      </c>
      <c r="E67" s="638">
        <f>'数据-汇总表'!E15</f>
        <v>0</v>
      </c>
      <c r="F67" s="633" t="e">
        <f t="shared" si="15"/>
        <v>#DIV/0!</v>
      </c>
      <c r="G67" s="1930" t="s">
        <v>2283</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573</v>
      </c>
      <c r="B68" s="640" t="s">
        <v>17</v>
      </c>
      <c r="C68" s="640" t="s">
        <v>18</v>
      </c>
      <c r="D68" s="640" t="s">
        <v>2294</v>
      </c>
      <c r="E68" s="640">
        <f>IF(B48="楼面地价",SUM(E58:E67),'数据-汇总表'!D3)</f>
        <v>64531.28</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2532</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2647</v>
      </c>
      <c r="B73" s="476" t="str">
        <f>"北京市平均增长率"&amp;TEXT(SUMIF(基准地价!N21:N25,A73,基准地价!P21:P25),"0.00%")</f>
        <v>北京市平均增长率1.98%</v>
      </c>
      <c r="C73" s="891">
        <v>100</v>
      </c>
      <c r="D73" s="727"/>
      <c r="E73" s="727"/>
      <c r="F73" s="727"/>
      <c r="G73" s="727"/>
      <c r="H73" s="727"/>
      <c r="I73" s="727"/>
      <c r="J73" s="727"/>
      <c r="K73" s="727"/>
      <c r="L73" s="727"/>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2646</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531</v>
      </c>
      <c r="B75" s="645"/>
      <c r="C75" s="657" t="s">
        <v>576</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577</v>
      </c>
      <c r="B77" s="662" t="s">
        <v>534</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537</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539</v>
      </c>
      <c r="B90" s="662" t="s">
        <v>578</v>
      </c>
      <c r="C90" s="700" t="s">
        <v>579</v>
      </c>
      <c r="D90" s="700" t="s">
        <v>580</v>
      </c>
      <c r="E90" s="700" t="s">
        <v>581</v>
      </c>
      <c r="F90" s="700" t="s">
        <v>582</v>
      </c>
      <c r="G90" s="700" t="s">
        <v>583</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584</v>
      </c>
      <c r="C92" s="705" t="s">
        <v>579</v>
      </c>
      <c r="D92" s="705" t="s">
        <v>580</v>
      </c>
      <c r="E92" s="705" t="s">
        <v>581</v>
      </c>
      <c r="F92" s="705" t="s">
        <v>582</v>
      </c>
      <c r="G92" s="705" t="s">
        <v>583</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585</v>
      </c>
      <c r="C94" s="705" t="s">
        <v>579</v>
      </c>
      <c r="D94" s="705" t="s">
        <v>580</v>
      </c>
      <c r="E94" s="705" t="s">
        <v>581</v>
      </c>
      <c r="F94" s="705" t="s">
        <v>582</v>
      </c>
      <c r="G94" s="705" t="s">
        <v>583</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586</v>
      </c>
      <c r="C96" s="705" t="s">
        <v>579</v>
      </c>
      <c r="D96" s="705" t="s">
        <v>580</v>
      </c>
      <c r="E96" s="705" t="s">
        <v>581</v>
      </c>
      <c r="F96" s="705" t="s">
        <v>582</v>
      </c>
      <c r="G96" s="705" t="s">
        <v>583</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587</v>
      </c>
      <c r="C98" s="705" t="s">
        <v>579</v>
      </c>
      <c r="D98" s="705" t="s">
        <v>580</v>
      </c>
      <c r="E98" s="705" t="s">
        <v>581</v>
      </c>
      <c r="F98" s="705" t="s">
        <v>582</v>
      </c>
      <c r="G98" s="705" t="s">
        <v>583</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588</v>
      </c>
      <c r="C100" s="700" t="s">
        <v>579</v>
      </c>
      <c r="D100" s="700" t="s">
        <v>580</v>
      </c>
      <c r="E100" s="700" t="s">
        <v>581</v>
      </c>
      <c r="F100" s="700" t="s">
        <v>582</v>
      </c>
      <c r="G100" s="700" t="s">
        <v>583</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2548</v>
      </c>
      <c r="C102" s="700" t="s">
        <v>579</v>
      </c>
      <c r="D102" s="700" t="s">
        <v>580</v>
      </c>
      <c r="E102" s="700" t="s">
        <v>581</v>
      </c>
      <c r="F102" s="700" t="s">
        <v>582</v>
      </c>
      <c r="G102" s="700" t="s">
        <v>583</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2550</v>
      </c>
      <c r="C104" s="2560" t="s">
        <v>2551</v>
      </c>
      <c r="D104" s="2560" t="s">
        <v>2552</v>
      </c>
      <c r="E104" s="2560" t="s">
        <v>2553</v>
      </c>
      <c r="F104" s="2560" t="s">
        <v>2554</v>
      </c>
      <c r="G104" s="2560" t="s">
        <v>2555</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548</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549</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594</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595</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2425</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596</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521</v>
      </c>
      <c r="B6" s="510"/>
      <c r="C6" s="3593" t="s">
        <v>522</v>
      </c>
      <c r="D6" s="3594"/>
      <c r="E6" s="3617" t="s">
        <v>523</v>
      </c>
      <c r="F6" s="3618"/>
      <c r="G6" s="3593" t="s">
        <v>524</v>
      </c>
      <c r="H6" s="3594"/>
      <c r="I6" s="3593" t="s">
        <v>525</v>
      </c>
      <c r="J6" s="3594"/>
      <c r="K6" s="511" t="s">
        <v>526</v>
      </c>
      <c r="L6" s="2116"/>
      <c r="M6" s="2117"/>
      <c r="N6" s="2117"/>
      <c r="O6" s="2117"/>
      <c r="P6" s="3595" t="s">
        <v>527</v>
      </c>
      <c r="Q6" s="3596"/>
      <c r="R6" s="3581" t="s">
        <v>523</v>
      </c>
      <c r="S6" s="3582"/>
      <c r="T6" s="3581" t="s">
        <v>524</v>
      </c>
      <c r="U6" s="3582"/>
      <c r="V6" s="3601" t="s">
        <v>525</v>
      </c>
      <c r="W6" s="3601"/>
      <c r="X6" s="1551"/>
      <c r="Y6" s="3581" t="s">
        <v>527</v>
      </c>
      <c r="Z6" s="3582"/>
      <c r="AA6" s="3576" t="s">
        <v>523</v>
      </c>
      <c r="AB6" s="3577" t="s">
        <v>524</v>
      </c>
      <c r="AC6" s="3576" t="s">
        <v>525</v>
      </c>
    </row>
    <row r="7" spans="1:29" ht="15">
      <c r="A7" s="512"/>
      <c r="B7" s="513"/>
      <c r="C7" s="3604" t="s">
        <v>2930</v>
      </c>
      <c r="D7" s="3605"/>
      <c r="E7" s="3619" t="s">
        <v>2931</v>
      </c>
      <c r="F7" s="3620"/>
      <c r="G7" s="3604" t="s">
        <v>2932</v>
      </c>
      <c r="H7" s="3605"/>
      <c r="I7" s="3604" t="s">
        <v>2933</v>
      </c>
      <c r="J7" s="3605"/>
      <c r="K7" s="511"/>
      <c r="L7" s="2116"/>
      <c r="M7" s="2117"/>
      <c r="N7" s="2117"/>
      <c r="O7" s="2117"/>
      <c r="P7" s="3597"/>
      <c r="Q7" s="3598"/>
      <c r="R7" s="3583"/>
      <c r="S7" s="3584"/>
      <c r="T7" s="3583"/>
      <c r="U7" s="3584"/>
      <c r="V7" s="3601"/>
      <c r="W7" s="3601"/>
      <c r="X7" s="1551"/>
      <c r="Y7" s="3583"/>
      <c r="Z7" s="3584"/>
      <c r="AA7" s="3577"/>
      <c r="AB7" s="3577"/>
      <c r="AC7" s="3577"/>
    </row>
    <row r="8" spans="1:29" ht="15.75" thickBot="1">
      <c r="A8" s="514"/>
      <c r="B8" s="515"/>
      <c r="C8" s="3602" t="s">
        <v>2934</v>
      </c>
      <c r="D8" s="3603"/>
      <c r="E8" s="3621" t="s">
        <v>2934</v>
      </c>
      <c r="F8" s="3622"/>
      <c r="G8" s="3602" t="s">
        <v>2934</v>
      </c>
      <c r="H8" s="3603"/>
      <c r="I8" s="3602" t="s">
        <v>2934</v>
      </c>
      <c r="J8" s="3603"/>
      <c r="K8" s="511" t="s">
        <v>528</v>
      </c>
      <c r="L8" s="2116"/>
      <c r="M8" s="2117"/>
      <c r="N8" s="2117"/>
      <c r="O8" s="2117"/>
      <c r="P8" s="3599"/>
      <c r="Q8" s="3600"/>
      <c r="R8" s="3583"/>
      <c r="S8" s="3584"/>
      <c r="T8" s="3585"/>
      <c r="U8" s="3586"/>
      <c r="V8" s="3601"/>
      <c r="W8" s="3601"/>
      <c r="X8" s="1551"/>
      <c r="Y8" s="3585"/>
      <c r="Z8" s="3586"/>
      <c r="AA8" s="3578"/>
      <c r="AB8" s="3578"/>
      <c r="AC8" s="3578"/>
    </row>
    <row r="9" spans="1:29" s="1213" customFormat="1" ht="15.75" thickBot="1">
      <c r="A9" s="2865"/>
      <c r="B9" s="2872" t="s">
        <v>529</v>
      </c>
      <c r="C9" s="516">
        <f>'数据-取费表'!B2</f>
        <v>43780</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579" t="s">
        <v>530</v>
      </c>
      <c r="Q9" s="3588"/>
      <c r="R9" s="1552" t="s">
        <v>8</v>
      </c>
      <c r="S9" s="1553">
        <f t="shared" ref="S9:S17" si="0">F9</f>
        <v>0</v>
      </c>
      <c r="T9" s="1552" t="s">
        <v>8</v>
      </c>
      <c r="U9" s="1553">
        <f t="shared" ref="U9:U17" si="1">H9</f>
        <v>0</v>
      </c>
      <c r="V9" s="1552" t="s">
        <v>8</v>
      </c>
      <c r="W9" s="1553">
        <f t="shared" ref="W9:W17" si="2">J9</f>
        <v>0</v>
      </c>
      <c r="X9" s="1554"/>
      <c r="Y9" s="3579" t="s">
        <v>530</v>
      </c>
      <c r="Z9" s="3580"/>
      <c r="AA9" s="1555" t="e">
        <f>D9/F9</f>
        <v>#DIV/0!</v>
      </c>
      <c r="AB9" s="1555" t="e">
        <f>D9/H9</f>
        <v>#DIV/0!</v>
      </c>
      <c r="AC9" s="1555" t="e">
        <f>D9/J9</f>
        <v>#DIV/0!</v>
      </c>
    </row>
    <row r="10" spans="1:29" s="1213" customFormat="1" ht="15.75" thickBot="1">
      <c r="A10" s="2866"/>
      <c r="B10" s="287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579" t="s">
        <v>533</v>
      </c>
      <c r="Q10" s="3580"/>
      <c r="R10" s="1552" t="s">
        <v>8</v>
      </c>
      <c r="S10" s="1553">
        <f t="shared" si="0"/>
        <v>0</v>
      </c>
      <c r="T10" s="1552" t="s">
        <v>8</v>
      </c>
      <c r="U10" s="1553">
        <f t="shared" si="1"/>
        <v>0</v>
      </c>
      <c r="V10" s="1552" t="s">
        <v>8</v>
      </c>
      <c r="W10" s="1553">
        <f t="shared" si="2"/>
        <v>0</v>
      </c>
      <c r="X10" s="1554"/>
      <c r="Y10" s="3579" t="s">
        <v>533</v>
      </c>
      <c r="Z10" s="3580"/>
      <c r="AA10" s="1555" t="e">
        <f t="shared" ref="AA10:AA42" si="3">D10/F10</f>
        <v>#DIV/0!</v>
      </c>
      <c r="AB10" s="1555" t="e">
        <f t="shared" ref="AB10:AB42" si="4">D10/H10</f>
        <v>#DIV/0!</v>
      </c>
      <c r="AC10" s="1555" t="e">
        <f t="shared" ref="AC10:AC42" si="5">D10/J10</f>
        <v>#DIV/0!</v>
      </c>
    </row>
    <row r="11" spans="1:29" s="1213" customFormat="1" ht="15">
      <c r="A11" s="2867"/>
      <c r="B11" s="2874" t="s">
        <v>2756</v>
      </c>
      <c r="C11" s="523"/>
      <c r="D11" s="251">
        <v>100</v>
      </c>
      <c r="E11" s="523"/>
      <c r="F11" s="251">
        <f>SUMIF(72:72,E11,73:73)-SUMIF(72:72,C11,73:73)+100</f>
        <v>100</v>
      </c>
      <c r="G11" s="523"/>
      <c r="H11" s="251">
        <f>SUMIF(72:72,G11,73:73)-SUMIF(72:72,C11,73:73)+100</f>
        <v>100</v>
      </c>
      <c r="I11" s="523"/>
      <c r="J11" s="251">
        <f>SUMIF(72:72,I11,73:73)-SUMIF(72:72,C11,73:73)+100</f>
        <v>100</v>
      </c>
      <c r="K11" s="521"/>
      <c r="L11" s="2118"/>
      <c r="M11" s="2119"/>
      <c r="N11" s="2119"/>
      <c r="O11" s="2120"/>
      <c r="P11" s="3587" t="s">
        <v>535</v>
      </c>
      <c r="Q11" s="1144" t="str">
        <f t="shared" ref="Q11:Q17" si="6">B11</f>
        <v>用途</v>
      </c>
      <c r="R11" s="1552" t="s">
        <v>8</v>
      </c>
      <c r="S11" s="1553">
        <f t="shared" si="0"/>
        <v>100</v>
      </c>
      <c r="T11" s="1552" t="s">
        <v>8</v>
      </c>
      <c r="U11" s="1553">
        <f t="shared" si="1"/>
        <v>100</v>
      </c>
      <c r="V11" s="1552" t="s">
        <v>8</v>
      </c>
      <c r="W11" s="1553">
        <f t="shared" si="2"/>
        <v>100</v>
      </c>
      <c r="X11" s="1554"/>
      <c r="Y11" s="3523" t="s">
        <v>536</v>
      </c>
      <c r="Z11" s="1143" t="str">
        <f t="shared" ref="Z11:Z17" si="7">Q11</f>
        <v>用途</v>
      </c>
      <c r="AA11" s="1555">
        <f t="shared" si="3"/>
        <v>1</v>
      </c>
      <c r="AB11" s="1555">
        <f t="shared" si="4"/>
        <v>1</v>
      </c>
      <c r="AC11" s="1555">
        <f t="shared" si="5"/>
        <v>1</v>
      </c>
    </row>
    <row r="12" spans="1:29" s="1331" customFormat="1" ht="27">
      <c r="A12" s="2868"/>
      <c r="B12" s="2873" t="s">
        <v>2757</v>
      </c>
      <c r="C12" s="525"/>
      <c r="D12" s="252">
        <v>100</v>
      </c>
      <c r="E12" s="525"/>
      <c r="F12" s="252">
        <f>ROUND(100/'数据-取费表'!G16,0)</f>
        <v>100</v>
      </c>
      <c r="G12" s="525"/>
      <c r="H12" s="252">
        <f>ROUND(100/'数据-取费表'!G16,0)</f>
        <v>100</v>
      </c>
      <c r="I12" s="525"/>
      <c r="J12" s="252">
        <f>ROUND(100/'数据-取费表'!G16,0)</f>
        <v>100</v>
      </c>
      <c r="K12" s="528"/>
      <c r="L12" s="2121"/>
      <c r="M12" s="2161"/>
      <c r="N12" s="2161"/>
      <c r="O12" s="2122"/>
      <c r="P12" s="3587"/>
      <c r="Q12" s="1144" t="str">
        <f t="shared" si="6"/>
        <v>土地使用年限（年）</v>
      </c>
      <c r="R12" s="1552" t="s">
        <v>8</v>
      </c>
      <c r="S12" s="1553">
        <f t="shared" si="0"/>
        <v>100</v>
      </c>
      <c r="T12" s="1552" t="s">
        <v>8</v>
      </c>
      <c r="U12" s="1553">
        <f t="shared" si="1"/>
        <v>100</v>
      </c>
      <c r="V12" s="1552" t="s">
        <v>8</v>
      </c>
      <c r="W12" s="1553">
        <f t="shared" si="2"/>
        <v>100</v>
      </c>
      <c r="X12" s="1554"/>
      <c r="Y12" s="3523"/>
      <c r="Z12" s="1143" t="str">
        <f t="shared" si="7"/>
        <v>土地使用年限（年）</v>
      </c>
      <c r="AA12" s="1555">
        <f t="shared" si="3"/>
        <v>1</v>
      </c>
      <c r="AB12" s="1555">
        <f t="shared" si="4"/>
        <v>1</v>
      </c>
      <c r="AC12" s="1555">
        <f t="shared" si="5"/>
        <v>1</v>
      </c>
    </row>
    <row r="13" spans="1:29" ht="15">
      <c r="A13" s="2869"/>
      <c r="B13" s="2873" t="s">
        <v>2758</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3"/>
      <c r="M13" s="2117"/>
      <c r="N13" s="2117"/>
      <c r="O13" s="2124"/>
      <c r="P13" s="3587"/>
      <c r="Q13" s="1144" t="str">
        <f t="shared" si="6"/>
        <v>容积率</v>
      </c>
      <c r="R13" s="1552" t="s">
        <v>8</v>
      </c>
      <c r="S13" s="1553" t="e">
        <f t="shared" si="0"/>
        <v>#N/A</v>
      </c>
      <c r="T13" s="1552" t="s">
        <v>8</v>
      </c>
      <c r="U13" s="1553" t="e">
        <f t="shared" si="1"/>
        <v>#N/A</v>
      </c>
      <c r="V13" s="1552" t="s">
        <v>8</v>
      </c>
      <c r="W13" s="1553" t="e">
        <f t="shared" si="2"/>
        <v>#N/A</v>
      </c>
      <c r="X13" s="1554"/>
      <c r="Y13" s="3523"/>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2">
        <f>SUMIF(79:79,E14,80:80)-SUMIF(79:79,C14,80:80)+100</f>
        <v>100</v>
      </c>
      <c r="G14" s="539"/>
      <c r="H14" s="252">
        <f>SUMIF(79:79,G14,80:80)-SUMIF(79:79,C14,80:80)+100</f>
        <v>100</v>
      </c>
      <c r="I14" s="538"/>
      <c r="J14" s="252">
        <f>SUMIF(79:79,I14,80:80)-SUMIF(79:79,C14,80:80)+100</f>
        <v>100</v>
      </c>
      <c r="K14" s="528"/>
      <c r="L14" s="2118"/>
      <c r="M14" s="2119"/>
      <c r="N14" s="2119"/>
      <c r="O14" s="2120"/>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D14/F14</f>
        <v>1</v>
      </c>
      <c r="AB14" s="1555">
        <f>D14/H14</f>
        <v>1</v>
      </c>
      <c r="AC14" s="1555">
        <f>D14/J14</f>
        <v>1</v>
      </c>
    </row>
    <row r="15" spans="1:29" ht="15">
      <c r="A15" s="2870"/>
      <c r="B15" s="2876">
        <v>111</v>
      </c>
      <c r="C15" s="536"/>
      <c r="D15" s="537">
        <v>100</v>
      </c>
      <c r="E15" s="538"/>
      <c r="F15" s="252">
        <f>SUMIF(81:81,E15,82:82)-SUMIF(81:81,C15,82:82)+100</f>
        <v>100</v>
      </c>
      <c r="G15" s="539"/>
      <c r="H15" s="537">
        <f>SUMIF(81:81,G15,82:82)-SUMIF(81:81,C15,82:82)+100</f>
        <v>100</v>
      </c>
      <c r="I15" s="538"/>
      <c r="J15" s="537">
        <f>SUMIF(81:81,I15,82:82)-SUMIF(81:81,C15,82:82)+100</f>
        <v>100</v>
      </c>
      <c r="K15" s="528"/>
      <c r="L15" s="2125"/>
      <c r="M15" s="2117"/>
      <c r="N15" s="2117"/>
      <c r="O15" s="2124"/>
      <c r="P15" s="3587"/>
      <c r="Q15" s="1144">
        <f t="shared" si="6"/>
        <v>111</v>
      </c>
      <c r="R15" s="1552" t="s">
        <v>8</v>
      </c>
      <c r="S15" s="1553">
        <f t="shared" si="0"/>
        <v>100</v>
      </c>
      <c r="T15" s="1552" t="s">
        <v>8</v>
      </c>
      <c r="U15" s="1553">
        <f t="shared" si="1"/>
        <v>100</v>
      </c>
      <c r="V15" s="1552" t="s">
        <v>8</v>
      </c>
      <c r="W15" s="1553">
        <f t="shared" si="2"/>
        <v>100</v>
      </c>
      <c r="X15" s="1554"/>
      <c r="Y15" s="3523"/>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587"/>
      <c r="Q16" s="1144">
        <f t="shared" si="6"/>
        <v>111</v>
      </c>
      <c r="R16" s="1552" t="s">
        <v>8</v>
      </c>
      <c r="S16" s="1553">
        <f t="shared" si="0"/>
        <v>100</v>
      </c>
      <c r="T16" s="1552" t="s">
        <v>8</v>
      </c>
      <c r="U16" s="1553">
        <f t="shared" si="1"/>
        <v>100</v>
      </c>
      <c r="V16" s="1552" t="s">
        <v>8</v>
      </c>
      <c r="W16" s="1553">
        <f t="shared" si="2"/>
        <v>100</v>
      </c>
      <c r="X16" s="1554"/>
      <c r="Y16" s="3523"/>
      <c r="Z16" s="1143">
        <f t="shared" si="7"/>
        <v>111</v>
      </c>
      <c r="AA16" s="1555">
        <f t="shared" si="3"/>
        <v>1</v>
      </c>
      <c r="AB16" s="1555">
        <f t="shared" si="4"/>
        <v>1</v>
      </c>
      <c r="AC16" s="1555">
        <f t="shared" si="5"/>
        <v>1</v>
      </c>
    </row>
    <row r="17" spans="1:29" ht="57">
      <c r="A17" s="2863" t="s">
        <v>2754</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589" t="s">
        <v>540</v>
      </c>
      <c r="Q17" s="1556" t="str">
        <f t="shared" si="6"/>
        <v>产业集聚程度</v>
      </c>
      <c r="R17" s="1557" t="s">
        <v>8</v>
      </c>
      <c r="S17" s="1558">
        <f t="shared" si="0"/>
        <v>100</v>
      </c>
      <c r="T17" s="1557" t="s">
        <v>8</v>
      </c>
      <c r="U17" s="1558">
        <f t="shared" si="1"/>
        <v>100</v>
      </c>
      <c r="V17" s="1557" t="s">
        <v>8</v>
      </c>
      <c r="W17" s="1558">
        <f t="shared" si="2"/>
        <v>100</v>
      </c>
      <c r="X17" s="1551"/>
      <c r="Y17" s="3589"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590"/>
      <c r="Q18" s="1556"/>
      <c r="R18" s="1557"/>
      <c r="S18" s="1558"/>
      <c r="T18" s="1557"/>
      <c r="U18" s="1558"/>
      <c r="V18" s="1557"/>
      <c r="W18" s="1558"/>
      <c r="X18" s="1551"/>
      <c r="Y18" s="3590"/>
      <c r="Z18" s="1559"/>
      <c r="AA18" s="1560">
        <v>1</v>
      </c>
      <c r="AB18" s="1560">
        <v>1</v>
      </c>
      <c r="AC18" s="156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590"/>
      <c r="Q19" s="1556" t="str">
        <f>B19</f>
        <v>交通便捷度</v>
      </c>
      <c r="R19" s="1557" t="s">
        <v>8</v>
      </c>
      <c r="S19" s="1558">
        <f>F19</f>
        <v>100</v>
      </c>
      <c r="T19" s="1557" t="s">
        <v>8</v>
      </c>
      <c r="U19" s="1558">
        <f>H19</f>
        <v>100</v>
      </c>
      <c r="V19" s="1557" t="s">
        <v>8</v>
      </c>
      <c r="W19" s="1558">
        <f>J19</f>
        <v>100</v>
      </c>
      <c r="X19" s="1551"/>
      <c r="Y19" s="3590"/>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590"/>
      <c r="Q21" s="1556" t="str">
        <f t="shared" ref="Q21:Q35" si="8">B21</f>
        <v>区域土地利用方向</v>
      </c>
      <c r="R21" s="1557" t="s">
        <v>8</v>
      </c>
      <c r="S21" s="1558">
        <f>F21</f>
        <v>100</v>
      </c>
      <c r="T21" s="1557" t="s">
        <v>8</v>
      </c>
      <c r="U21" s="1558">
        <f>H21</f>
        <v>100</v>
      </c>
      <c r="V21" s="1557" t="s">
        <v>8</v>
      </c>
      <c r="W21" s="1558">
        <f>J21</f>
        <v>100</v>
      </c>
      <c r="X21" s="1551"/>
      <c r="Y21" s="3590"/>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590"/>
      <c r="Q22" s="1556"/>
      <c r="R22" s="1557"/>
      <c r="S22" s="1558"/>
      <c r="T22" s="1557"/>
      <c r="U22" s="1558"/>
      <c r="V22" s="1557"/>
      <c r="W22" s="1558"/>
      <c r="X22" s="1551"/>
      <c r="Y22" s="3590"/>
      <c r="Z22" s="1559"/>
      <c r="AA22" s="1560"/>
      <c r="AB22" s="1560"/>
      <c r="AC22" s="156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590"/>
      <c r="Q23" s="1556" t="str">
        <f t="shared" si="8"/>
        <v>环境状况</v>
      </c>
      <c r="R23" s="1557" t="s">
        <v>8</v>
      </c>
      <c r="S23" s="1558">
        <f>F23</f>
        <v>100</v>
      </c>
      <c r="T23" s="1557" t="s">
        <v>8</v>
      </c>
      <c r="U23" s="1558">
        <f>H23</f>
        <v>100</v>
      </c>
      <c r="V23" s="1557" t="s">
        <v>8</v>
      </c>
      <c r="W23" s="1558">
        <f>J23</f>
        <v>100</v>
      </c>
      <c r="X23" s="1551"/>
      <c r="Y23" s="3590"/>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590"/>
      <c r="Q24" s="1556"/>
      <c r="R24" s="1557"/>
      <c r="S24" s="1558"/>
      <c r="T24" s="1557"/>
      <c r="U24" s="1558"/>
      <c r="V24" s="1557"/>
      <c r="W24" s="1558"/>
      <c r="X24" s="1551"/>
      <c r="Y24" s="3590"/>
      <c r="Z24" s="1559"/>
      <c r="AA24" s="1560">
        <v>1</v>
      </c>
      <c r="AB24" s="1560">
        <v>1</v>
      </c>
      <c r="AC24" s="1560">
        <v>1</v>
      </c>
    </row>
    <row r="25" spans="1:29" s="1213" customFormat="1" ht="42.75">
      <c r="A25" s="574"/>
      <c r="B25" s="255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590"/>
      <c r="Q25" s="1144" t="str">
        <f t="shared" si="8"/>
        <v>公共配套设施</v>
      </c>
      <c r="R25" s="1552" t="s">
        <v>8</v>
      </c>
      <c r="S25" s="1553">
        <f>F25</f>
        <v>100</v>
      </c>
      <c r="T25" s="1552" t="s">
        <v>8</v>
      </c>
      <c r="U25" s="1553">
        <f>H25</f>
        <v>100</v>
      </c>
      <c r="V25" s="1552" t="s">
        <v>8</v>
      </c>
      <c r="W25" s="1553">
        <f>J25</f>
        <v>100</v>
      </c>
      <c r="X25" s="1554"/>
      <c r="Y25" s="3590"/>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590"/>
      <c r="Q26" s="1144"/>
      <c r="R26" s="1552"/>
      <c r="S26" s="1553"/>
      <c r="T26" s="1552"/>
      <c r="U26" s="1553"/>
      <c r="V26" s="1552"/>
      <c r="W26" s="1553"/>
      <c r="X26" s="1554"/>
      <c r="Y26" s="3590"/>
      <c r="Z26" s="1143"/>
      <c r="AA26" s="1555">
        <v>1</v>
      </c>
      <c r="AB26" s="1555">
        <v>1</v>
      </c>
      <c r="AC26" s="1555">
        <v>1</v>
      </c>
    </row>
    <row r="27" spans="1:29" s="1213" customFormat="1" ht="28.5">
      <c r="A27" s="574"/>
      <c r="B27" s="255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590"/>
      <c r="Q27" s="2540" t="str">
        <f t="shared" ref="Q27" si="9">B27</f>
        <v>基础设施水平</v>
      </c>
      <c r="R27" s="1552" t="s">
        <v>8</v>
      </c>
      <c r="S27" s="1553">
        <f>F27</f>
        <v>100</v>
      </c>
      <c r="T27" s="1552" t="s">
        <v>8</v>
      </c>
      <c r="U27" s="1553">
        <f>H27</f>
        <v>100</v>
      </c>
      <c r="V27" s="1552" t="s">
        <v>8</v>
      </c>
      <c r="W27" s="1553">
        <f>J27</f>
        <v>100</v>
      </c>
      <c r="X27" s="1554"/>
      <c r="Y27" s="3590"/>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590"/>
      <c r="Q28" s="2540"/>
      <c r="R28" s="1552"/>
      <c r="S28" s="1553"/>
      <c r="T28" s="1552"/>
      <c r="U28" s="1553"/>
      <c r="V28" s="1552"/>
      <c r="W28" s="1553"/>
      <c r="X28" s="1554"/>
      <c r="Y28" s="3590"/>
      <c r="Z28" s="2537"/>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59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590"/>
      <c r="Z29" s="1559" t="str">
        <f t="shared" ref="Z29:Z42" si="13">Q29</f>
        <v>临街状况</v>
      </c>
      <c r="AA29" s="1560">
        <f t="shared" si="3"/>
        <v>1</v>
      </c>
      <c r="AB29" s="1560">
        <f t="shared" si="4"/>
        <v>1</v>
      </c>
      <c r="AC29" s="1560">
        <f t="shared" si="5"/>
        <v>1</v>
      </c>
    </row>
    <row r="30" spans="1:29" ht="27">
      <c r="A30" s="529"/>
      <c r="B30" s="919" t="s">
        <v>548</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590"/>
      <c r="Q30" s="1556" t="str">
        <f t="shared" si="8"/>
        <v>毗邻道路的类型与等级</v>
      </c>
      <c r="R30" s="1557" t="s">
        <v>8</v>
      </c>
      <c r="S30" s="1558">
        <f t="shared" si="10"/>
        <v>100</v>
      </c>
      <c r="T30" s="1557" t="s">
        <v>8</v>
      </c>
      <c r="U30" s="1558">
        <f t="shared" si="11"/>
        <v>100</v>
      </c>
      <c r="V30" s="1557" t="s">
        <v>8</v>
      </c>
      <c r="W30" s="1558">
        <f t="shared" si="12"/>
        <v>100</v>
      </c>
      <c r="X30" s="1551"/>
      <c r="Y30" s="3590"/>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590"/>
      <c r="Q31" s="1556"/>
      <c r="R31" s="1557"/>
      <c r="S31" s="1558"/>
      <c r="T31" s="1557"/>
      <c r="U31" s="1558"/>
      <c r="V31" s="1557"/>
      <c r="W31" s="1558"/>
      <c r="X31" s="1551"/>
      <c r="Y31" s="3590"/>
      <c r="Z31" s="1559"/>
      <c r="AA31" s="1560">
        <v>1</v>
      </c>
      <c r="AB31" s="1560">
        <v>1</v>
      </c>
      <c r="AC31" s="1560">
        <v>1</v>
      </c>
    </row>
    <row r="32" spans="1:29" ht="15">
      <c r="A32" s="529"/>
      <c r="B32" s="524" t="s">
        <v>549</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590"/>
      <c r="Q32" s="1556" t="str">
        <f t="shared" si="8"/>
        <v>土地级别</v>
      </c>
      <c r="R32" s="1557" t="s">
        <v>8</v>
      </c>
      <c r="S32" s="1558">
        <f t="shared" si="10"/>
        <v>100</v>
      </c>
      <c r="T32" s="1557" t="s">
        <v>8</v>
      </c>
      <c r="U32" s="1558">
        <f t="shared" si="11"/>
        <v>100</v>
      </c>
      <c r="V32" s="1557" t="s">
        <v>8</v>
      </c>
      <c r="W32" s="1558">
        <f t="shared" si="12"/>
        <v>100</v>
      </c>
      <c r="X32" s="1551"/>
      <c r="Y32" s="3590"/>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590"/>
      <c r="Q33" s="1556">
        <f t="shared" si="8"/>
        <v>111</v>
      </c>
      <c r="R33" s="1557" t="s">
        <v>8</v>
      </c>
      <c r="S33" s="1558">
        <f t="shared" si="10"/>
        <v>100</v>
      </c>
      <c r="T33" s="1557" t="s">
        <v>8</v>
      </c>
      <c r="U33" s="1558">
        <f t="shared" si="11"/>
        <v>100</v>
      </c>
      <c r="V33" s="1557" t="s">
        <v>8</v>
      </c>
      <c r="W33" s="1558">
        <f t="shared" si="12"/>
        <v>100</v>
      </c>
      <c r="X33" s="1551"/>
      <c r="Y33" s="3590"/>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591" t="s">
        <v>550</v>
      </c>
      <c r="Q34" s="1556">
        <f t="shared" si="8"/>
        <v>111</v>
      </c>
      <c r="R34" s="1557" t="s">
        <v>8</v>
      </c>
      <c r="S34" s="1558">
        <f t="shared" si="10"/>
        <v>100</v>
      </c>
      <c r="T34" s="1557" t="s">
        <v>8</v>
      </c>
      <c r="U34" s="1558">
        <f t="shared" si="11"/>
        <v>100</v>
      </c>
      <c r="V34" s="1557" t="s">
        <v>8</v>
      </c>
      <c r="W34" s="1558">
        <f t="shared" si="12"/>
        <v>100</v>
      </c>
      <c r="X34" s="1551"/>
      <c r="Y34" s="3592" t="s">
        <v>550</v>
      </c>
      <c r="Z34" s="1559">
        <f t="shared" si="13"/>
        <v>111</v>
      </c>
      <c r="AA34" s="1560">
        <f t="shared" si="3"/>
        <v>1</v>
      </c>
      <c r="AB34" s="1560">
        <f t="shared" si="4"/>
        <v>1</v>
      </c>
      <c r="AC34" s="1560">
        <f t="shared" si="5"/>
        <v>1</v>
      </c>
    </row>
    <row r="35" spans="1:29" s="1332" customFormat="1" ht="15.75" thickBot="1">
      <c r="A35" s="586"/>
      <c r="B35" s="255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592"/>
      <c r="Q35" s="1556">
        <f t="shared" si="8"/>
        <v>111</v>
      </c>
      <c r="R35" s="1561" t="s">
        <v>8</v>
      </c>
      <c r="S35" s="1562">
        <f t="shared" si="10"/>
        <v>100</v>
      </c>
      <c r="T35" s="1561" t="s">
        <v>8</v>
      </c>
      <c r="U35" s="1562">
        <f t="shared" si="11"/>
        <v>100</v>
      </c>
      <c r="V35" s="1561" t="s">
        <v>8</v>
      </c>
      <c r="W35" s="1562">
        <f t="shared" si="12"/>
        <v>100</v>
      </c>
      <c r="X35" s="1563"/>
      <c r="Y35" s="3592"/>
      <c r="Z35" s="1564">
        <f t="shared" si="13"/>
        <v>111</v>
      </c>
      <c r="AA35" s="1560">
        <f t="shared" si="3"/>
        <v>1</v>
      </c>
      <c r="AB35" s="1560">
        <f t="shared" si="4"/>
        <v>1</v>
      </c>
      <c r="AC35" s="1560">
        <f t="shared" si="5"/>
        <v>1</v>
      </c>
    </row>
    <row r="36" spans="1:29" ht="15">
      <c r="A36" s="2860" t="s">
        <v>2755</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592"/>
      <c r="Q36" s="1556" t="str">
        <f>B36</f>
        <v>宗地面积</v>
      </c>
      <c r="R36" s="1557" t="s">
        <v>8</v>
      </c>
      <c r="S36" s="1558" t="e">
        <f t="shared" si="10"/>
        <v>#N/A</v>
      </c>
      <c r="T36" s="1557" t="s">
        <v>8</v>
      </c>
      <c r="U36" s="1558" t="e">
        <f t="shared" si="11"/>
        <v>#N/A</v>
      </c>
      <c r="V36" s="1557" t="s">
        <v>8</v>
      </c>
      <c r="W36" s="1558" t="e">
        <f t="shared" si="12"/>
        <v>#N/A</v>
      </c>
      <c r="X36" s="1551"/>
      <c r="Y36" s="3592"/>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592"/>
      <c r="Q37" s="1556" t="str">
        <f t="shared" ref="Q37:Q42" si="14">B37</f>
        <v>宗地形状</v>
      </c>
      <c r="R37" s="1557" t="s">
        <v>8</v>
      </c>
      <c r="S37" s="1558">
        <f t="shared" si="10"/>
        <v>100</v>
      </c>
      <c r="T37" s="1557" t="s">
        <v>8</v>
      </c>
      <c r="U37" s="1558">
        <f t="shared" si="11"/>
        <v>100</v>
      </c>
      <c r="V37" s="1557" t="s">
        <v>8</v>
      </c>
      <c r="W37" s="1558">
        <f t="shared" si="12"/>
        <v>100</v>
      </c>
      <c r="X37" s="1551"/>
      <c r="Y37" s="3592"/>
      <c r="Z37" s="1559" t="str">
        <f t="shared" si="13"/>
        <v>宗地形状</v>
      </c>
      <c r="AA37" s="1560">
        <f t="shared" si="3"/>
        <v>1</v>
      </c>
      <c r="AB37" s="1560">
        <f t="shared" si="4"/>
        <v>1</v>
      </c>
      <c r="AC37" s="1560">
        <f t="shared" si="5"/>
        <v>1</v>
      </c>
    </row>
    <row r="38" spans="1:29" s="1213" customFormat="1" ht="15">
      <c r="A38" s="597"/>
      <c r="B38" s="1878"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592"/>
      <c r="Q38" s="1556" t="str">
        <f t="shared" si="14"/>
        <v>宗地开发程度</v>
      </c>
      <c r="R38" s="1552" t="s">
        <v>8</v>
      </c>
      <c r="S38" s="1553">
        <f t="shared" si="10"/>
        <v>100</v>
      </c>
      <c r="T38" s="1552" t="s">
        <v>8</v>
      </c>
      <c r="U38" s="1553">
        <f t="shared" si="11"/>
        <v>100</v>
      </c>
      <c r="V38" s="1552" t="s">
        <v>8</v>
      </c>
      <c r="W38" s="1553">
        <f t="shared" si="12"/>
        <v>100</v>
      </c>
      <c r="X38" s="1554"/>
      <c r="Y38" s="3592"/>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2" t="s">
        <v>601</v>
      </c>
      <c r="Q39" s="1556" t="str">
        <f t="shared" si="14"/>
        <v>工程地质条件</v>
      </c>
      <c r="R39" s="1557" t="s">
        <v>8</v>
      </c>
      <c r="S39" s="1558">
        <f t="shared" si="10"/>
        <v>100</v>
      </c>
      <c r="T39" s="1557" t="s">
        <v>8</v>
      </c>
      <c r="U39" s="1558">
        <f t="shared" si="11"/>
        <v>100</v>
      </c>
      <c r="V39" s="1557" t="s">
        <v>8</v>
      </c>
      <c r="W39" s="1558">
        <f t="shared" si="12"/>
        <v>100</v>
      </c>
      <c r="X39" s="1551"/>
      <c r="Y39" s="3592"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592"/>
      <c r="Q40" s="1556">
        <f t="shared" si="14"/>
        <v>111</v>
      </c>
      <c r="R40" s="1557" t="s">
        <v>8</v>
      </c>
      <c r="S40" s="1558">
        <f t="shared" si="10"/>
        <v>100</v>
      </c>
      <c r="T40" s="1557" t="s">
        <v>8</v>
      </c>
      <c r="U40" s="1558">
        <f t="shared" si="11"/>
        <v>100</v>
      </c>
      <c r="V40" s="1557" t="s">
        <v>8</v>
      </c>
      <c r="W40" s="1558">
        <f t="shared" si="12"/>
        <v>100</v>
      </c>
      <c r="X40" s="1551"/>
      <c r="Y40" s="3592"/>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592"/>
      <c r="Q41" s="1556">
        <f t="shared" si="14"/>
        <v>111</v>
      </c>
      <c r="R41" s="1557" t="s">
        <v>8</v>
      </c>
      <c r="S41" s="1558">
        <f t="shared" si="10"/>
        <v>100</v>
      </c>
      <c r="T41" s="1557" t="s">
        <v>8</v>
      </c>
      <c r="U41" s="1558">
        <f t="shared" si="11"/>
        <v>100</v>
      </c>
      <c r="V41" s="1557" t="s">
        <v>8</v>
      </c>
      <c r="W41" s="1558">
        <f t="shared" si="12"/>
        <v>100</v>
      </c>
      <c r="X41" s="1551"/>
      <c r="Y41" s="3592"/>
      <c r="Z41" s="1559">
        <f t="shared" si="13"/>
        <v>111</v>
      </c>
      <c r="AA41" s="1560">
        <f t="shared" si="3"/>
        <v>1</v>
      </c>
      <c r="AB41" s="1560">
        <f t="shared" si="4"/>
        <v>1</v>
      </c>
      <c r="AC41" s="156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592"/>
      <c r="Q42" s="1556">
        <f t="shared" si="14"/>
        <v>111</v>
      </c>
      <c r="R42" s="1561" t="s">
        <v>8</v>
      </c>
      <c r="S42" s="1562">
        <f t="shared" si="10"/>
        <v>100</v>
      </c>
      <c r="T42" s="1561" t="s">
        <v>8</v>
      </c>
      <c r="U42" s="1562">
        <f t="shared" si="11"/>
        <v>100</v>
      </c>
      <c r="V42" s="1561" t="s">
        <v>8</v>
      </c>
      <c r="W42" s="1562">
        <f t="shared" si="12"/>
        <v>100</v>
      </c>
      <c r="X42" s="1563"/>
      <c r="Y42" s="3592"/>
      <c r="Z42" s="1564">
        <f t="shared" si="13"/>
        <v>111</v>
      </c>
      <c r="AA42" s="1560">
        <f t="shared" si="3"/>
        <v>1</v>
      </c>
      <c r="AB42" s="1560">
        <f t="shared" si="4"/>
        <v>1</v>
      </c>
      <c r="AC42" s="1560">
        <f t="shared" si="5"/>
        <v>1</v>
      </c>
    </row>
    <row r="43" spans="1:29" ht="15">
      <c r="A43" s="604" t="s">
        <v>556</v>
      </c>
      <c r="B43" s="605" t="s">
        <v>2935</v>
      </c>
      <c r="C43" s="606" t="s">
        <v>1</v>
      </c>
      <c r="D43" s="607"/>
      <c r="E43" s="608"/>
      <c r="F43" s="609"/>
      <c r="G43" s="610"/>
      <c r="H43" s="611"/>
      <c r="I43" s="608"/>
      <c r="J43" s="611"/>
      <c r="K43" s="1333"/>
      <c r="L43" s="2127"/>
      <c r="M43" s="2117"/>
      <c r="N43" s="2117"/>
      <c r="O43" s="2128"/>
      <c r="P43" s="3587" t="str">
        <f>A43</f>
        <v>成交单价</v>
      </c>
      <c r="Q43" s="3587"/>
      <c r="R43" s="3601">
        <f>E43</f>
        <v>0</v>
      </c>
      <c r="S43" s="3601"/>
      <c r="T43" s="3601">
        <f>G43</f>
        <v>0</v>
      </c>
      <c r="U43" s="3601"/>
      <c r="V43" s="3601">
        <f>I43</f>
        <v>0</v>
      </c>
      <c r="W43" s="3601"/>
      <c r="X43" s="1543"/>
      <c r="Y43" s="1565"/>
      <c r="Z43" s="1543"/>
      <c r="AA43" s="1543"/>
      <c r="AB43" s="1543"/>
      <c r="AC43" s="1543"/>
    </row>
    <row r="44" spans="1:29" ht="15.75" thickBot="1">
      <c r="A44" s="612" t="s">
        <v>2693</v>
      </c>
      <c r="B44" s="613"/>
      <c r="C44" s="614" t="e">
        <f>R45</f>
        <v>#DIV/0!</v>
      </c>
      <c r="D44" s="615"/>
      <c r="E44" s="614" t="e">
        <f>R44</f>
        <v>#DIV/0!</v>
      </c>
      <c r="F44" s="616"/>
      <c r="G44" s="617" t="e">
        <f>T44</f>
        <v>#DIV/0!</v>
      </c>
      <c r="H44" s="615"/>
      <c r="I44" s="614" t="e">
        <f>V44</f>
        <v>#DIV/0!</v>
      </c>
      <c r="J44" s="615"/>
      <c r="K44" s="1334"/>
      <c r="L44" s="2127"/>
      <c r="M44" s="2117"/>
      <c r="N44" s="2117"/>
      <c r="O44" s="2128"/>
      <c r="P44" s="3587" t="str">
        <f>A44</f>
        <v>比较价格（元/平方米）</v>
      </c>
      <c r="Q44" s="3587"/>
      <c r="R44" s="3611" t="e">
        <f>ROUND(PRODUCT(R43,AA9:AA42),0)</f>
        <v>#DIV/0!</v>
      </c>
      <c r="S44" s="3611"/>
      <c r="T44" s="3611" t="e">
        <f>ROUND(PRODUCT(T43,AB9:AB42),0)</f>
        <v>#DIV/0!</v>
      </c>
      <c r="U44" s="3611"/>
      <c r="V44" s="3611" t="e">
        <f>ROUND(PRODUCT(V43,AC9:AC42),0)</f>
        <v>#DIV/0!</v>
      </c>
      <c r="W44" s="3611"/>
      <c r="X44" s="1543"/>
      <c r="Y44" s="1543"/>
      <c r="Z44" s="1543"/>
      <c r="AA44" s="1543"/>
      <c r="AB44" s="1543"/>
      <c r="AC44" s="1543"/>
    </row>
    <row r="45" spans="1:29" ht="15.75" thickBot="1">
      <c r="A45" s="618" t="s">
        <v>2936</v>
      </c>
      <c r="B45" s="619"/>
      <c r="C45" s="620" t="e">
        <f>R45</f>
        <v>#DIV/0!</v>
      </c>
      <c r="D45" s="620"/>
      <c r="E45" s="620"/>
      <c r="F45" s="620"/>
      <c r="G45" s="620"/>
      <c r="H45" s="620"/>
      <c r="I45" s="620"/>
      <c r="J45" s="620"/>
      <c r="K45" s="1335"/>
      <c r="L45" s="2127"/>
      <c r="M45" s="2117"/>
      <c r="N45" s="2117"/>
      <c r="O45" s="2128"/>
      <c r="P45" s="3608" t="str">
        <f>A45</f>
        <v>估价对象XX用房的比较价格（楼面单价，元/平方米）</v>
      </c>
      <c r="Q45" s="3609"/>
      <c r="R45" s="3610" t="e">
        <f>ROUND(AVERAGE(R44:V44),0)</f>
        <v>#DIV/0!</v>
      </c>
      <c r="S45" s="3610"/>
      <c r="T45" s="3610"/>
      <c r="U45" s="3610"/>
      <c r="V45" s="3610"/>
      <c r="W45" s="36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560</v>
      </c>
      <c r="B52" s="627" t="s">
        <v>561</v>
      </c>
      <c r="C52" s="1544" t="s">
        <v>1724</v>
      </c>
      <c r="D52" s="2210" t="s">
        <v>2293</v>
      </c>
      <c r="E52" s="628" t="s">
        <v>562</v>
      </c>
      <c r="F52" s="1934" t="s">
        <v>563</v>
      </c>
      <c r="G52" s="3612" t="s">
        <v>2284</v>
      </c>
      <c r="H52" s="3613"/>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564</v>
      </c>
      <c r="B53" s="631" t="e">
        <f>C45</f>
        <v>#DIV/0!</v>
      </c>
      <c r="C53" s="632">
        <v>1</v>
      </c>
      <c r="D53" s="2211">
        <v>1</v>
      </c>
      <c r="E53" s="632">
        <f>'数据-汇总表'!E8+'数据-汇总表'!E9</f>
        <v>120662</v>
      </c>
      <c r="F53" s="1933" t="e">
        <f t="shared" ref="F53:F62" si="15">ROUND(B53*E53/10000,0)</f>
        <v>#DIV/0!</v>
      </c>
      <c r="G53" s="3614"/>
      <c r="H53" s="36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565</v>
      </c>
      <c r="B54" s="635" t="e">
        <f>ROUND($C$45*C54*D54,0)</f>
        <v>#DIV/0!</v>
      </c>
      <c r="C54" s="375">
        <f t="shared" ref="C54:C62" si="16">IF($C$52="北京市系数",I54,J54)</f>
        <v>0.6</v>
      </c>
      <c r="D54" s="2212">
        <v>0.25</v>
      </c>
      <c r="E54" s="636"/>
      <c r="F54" s="1933" t="e">
        <f t="shared" si="15"/>
        <v>#DIV/0!</v>
      </c>
      <c r="G54" s="3616" t="s">
        <v>2285</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566</v>
      </c>
      <c r="B55" s="635" t="e">
        <f t="shared" ref="B55:B62" si="17">ROUND($C$45*C55*D55,0)</f>
        <v>#DIV/0!</v>
      </c>
      <c r="C55" s="375">
        <f t="shared" si="16"/>
        <v>0.3</v>
      </c>
      <c r="D55" s="2212">
        <v>0.25</v>
      </c>
      <c r="E55" s="636"/>
      <c r="F55" s="1933" t="e">
        <f t="shared" si="15"/>
        <v>#DIV/0!</v>
      </c>
      <c r="G55" s="3616"/>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567</v>
      </c>
      <c r="B56" s="635" t="e">
        <f t="shared" si="17"/>
        <v>#DIV/0!</v>
      </c>
      <c r="C56" s="375">
        <f t="shared" si="16"/>
        <v>0.2</v>
      </c>
      <c r="D56" s="2212">
        <v>0.25</v>
      </c>
      <c r="E56" s="636"/>
      <c r="F56" s="1933" t="e">
        <f t="shared" si="15"/>
        <v>#DIV/0!</v>
      </c>
      <c r="G56" s="3616"/>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568</v>
      </c>
      <c r="B57" s="635" t="e">
        <f t="shared" si="17"/>
        <v>#DIV/0!</v>
      </c>
      <c r="C57" s="375">
        <f t="shared" si="16"/>
        <v>0.2</v>
      </c>
      <c r="D57" s="2212">
        <v>0.25</v>
      </c>
      <c r="E57" s="636"/>
      <c r="F57" s="1933" t="e">
        <f t="shared" si="15"/>
        <v>#DIV/0!</v>
      </c>
      <c r="G57" s="3616"/>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2328</v>
      </c>
      <c r="B58" s="635" t="e">
        <f t="shared" si="17"/>
        <v>#DIV/0!</v>
      </c>
      <c r="C58" s="375">
        <f t="shared" si="16"/>
        <v>0.2</v>
      </c>
      <c r="D58" s="2212">
        <v>0.25</v>
      </c>
      <c r="E58" s="638">
        <f>'数据-汇总表'!E11</f>
        <v>0</v>
      </c>
      <c r="F58" s="1933" t="e">
        <f t="shared" si="15"/>
        <v>#DIV/0!</v>
      </c>
      <c r="G58" s="1939" t="s">
        <v>2286</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569</v>
      </c>
      <c r="B59" s="635" t="e">
        <f t="shared" si="17"/>
        <v>#DIV/0!</v>
      </c>
      <c r="C59" s="375">
        <f t="shared" si="16"/>
        <v>0.2</v>
      </c>
      <c r="D59" s="2212">
        <v>0.25</v>
      </c>
      <c r="E59" s="638">
        <f>'数据-汇总表'!E12</f>
        <v>0</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570</v>
      </c>
      <c r="B60" s="635" t="e">
        <f t="shared" si="17"/>
        <v>#DIV/0!</v>
      </c>
      <c r="C60" s="375">
        <f t="shared" si="16"/>
        <v>0.15</v>
      </c>
      <c r="D60" s="2212">
        <v>0.25</v>
      </c>
      <c r="E60" s="638">
        <f>'数据-汇总表'!E13</f>
        <v>0</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571</v>
      </c>
      <c r="B61" s="635" t="e">
        <f t="shared" si="17"/>
        <v>#DIV/0!</v>
      </c>
      <c r="C61" s="375">
        <f t="shared" si="16"/>
        <v>0.15</v>
      </c>
      <c r="D61" s="2212">
        <v>0.25</v>
      </c>
      <c r="E61" s="638">
        <f>'数据-汇总表'!E14</f>
        <v>0</v>
      </c>
      <c r="F61" s="1933" t="e">
        <f t="shared" si="15"/>
        <v>#DIV/0!</v>
      </c>
      <c r="G61" s="1939" t="s">
        <v>2285</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572</v>
      </c>
      <c r="B62" s="635" t="e">
        <f t="shared" si="17"/>
        <v>#DIV/0!</v>
      </c>
      <c r="C62" s="375">
        <f t="shared" si="16"/>
        <v>0.15</v>
      </c>
      <c r="D62" s="2212">
        <v>0.25</v>
      </c>
      <c r="E62" s="638">
        <f>'数据-汇总表'!E15</f>
        <v>0</v>
      </c>
      <c r="F62" s="1933" t="e">
        <f t="shared" si="15"/>
        <v>#DIV/0!</v>
      </c>
      <c r="G62" s="1940" t="s">
        <v>2286</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573</v>
      </c>
      <c r="B63" s="640" t="s">
        <v>17</v>
      </c>
      <c r="C63" s="640" t="s">
        <v>18</v>
      </c>
      <c r="D63" s="640" t="s">
        <v>2294</v>
      </c>
      <c r="E63" s="640">
        <f>IF(B43="楼面地价",SUM(E53:E62),'数据-汇总表'!D3)</f>
        <v>64531.28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2533</v>
      </c>
      <c r="B67" s="643"/>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2649</v>
      </c>
      <c r="B68" s="476" t="str">
        <f>"北京市平均增长率"&amp;TEXT(基准地价!P24,"0.00%")</f>
        <v>北京市平均增长率1.38%</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575</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531</v>
      </c>
      <c r="B70" s="645"/>
      <c r="C70" s="657" t="s">
        <v>576</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577</v>
      </c>
      <c r="B72" s="662" t="s">
        <v>534</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537</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539</v>
      </c>
      <c r="B85" s="662" t="s">
        <v>602</v>
      </c>
      <c r="C85" s="700" t="s">
        <v>579</v>
      </c>
      <c r="D85" s="700" t="s">
        <v>580</v>
      </c>
      <c r="E85" s="700" t="s">
        <v>581</v>
      </c>
      <c r="F85" s="700" t="s">
        <v>582</v>
      </c>
      <c r="G85" s="700" t="s">
        <v>583</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586</v>
      </c>
      <c r="C87" s="705" t="s">
        <v>579</v>
      </c>
      <c r="D87" s="705" t="s">
        <v>580</v>
      </c>
      <c r="E87" s="705" t="s">
        <v>581</v>
      </c>
      <c r="F87" s="705" t="s">
        <v>582</v>
      </c>
      <c r="G87" s="705" t="s">
        <v>583</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587</v>
      </c>
      <c r="C89" s="705" t="s">
        <v>579</v>
      </c>
      <c r="D89" s="705" t="s">
        <v>580</v>
      </c>
      <c r="E89" s="705" t="s">
        <v>581</v>
      </c>
      <c r="F89" s="705" t="s">
        <v>582</v>
      </c>
      <c r="G89" s="705" t="s">
        <v>583</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588</v>
      </c>
      <c r="C91" s="700" t="s">
        <v>579</v>
      </c>
      <c r="D91" s="700" t="s">
        <v>580</v>
      </c>
      <c r="E91" s="700" t="s">
        <v>581</v>
      </c>
      <c r="F91" s="700" t="s">
        <v>582</v>
      </c>
      <c r="G91" s="700" t="s">
        <v>583</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2548</v>
      </c>
      <c r="C93" s="700" t="s">
        <v>579</v>
      </c>
      <c r="D93" s="700" t="s">
        <v>580</v>
      </c>
      <c r="E93" s="700" t="s">
        <v>581</v>
      </c>
      <c r="F93" s="700" t="s">
        <v>582</v>
      </c>
      <c r="G93" s="700" t="s">
        <v>583</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2550</v>
      </c>
      <c r="C95" s="2560" t="s">
        <v>2551</v>
      </c>
      <c r="D95" s="2560" t="s">
        <v>2552</v>
      </c>
      <c r="E95" s="2560" t="s">
        <v>2553</v>
      </c>
      <c r="F95" s="2560" t="s">
        <v>2554</v>
      </c>
      <c r="G95" s="2560" t="s">
        <v>2555</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589</v>
      </c>
      <c r="D97" s="671" t="s">
        <v>590</v>
      </c>
      <c r="E97" s="671" t="s">
        <v>591</v>
      </c>
      <c r="F97" s="671" t="s">
        <v>592</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548</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549</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594</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2425</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596</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B1" zoomScale="80" zoomScaleNormal="80" workbookViewId="0">
      <selection activeCell="I22" sqref="I2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8.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2585" t="s">
        <v>719</v>
      </c>
      <c r="C1" s="2586" t="s">
        <v>720</v>
      </c>
      <c r="D1" s="2587" t="s">
        <v>923</v>
      </c>
      <c r="E1" s="2588"/>
      <c r="F1" s="2760" t="s">
        <v>3187</v>
      </c>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4">
        <f>ROUND(B3*D3/10000,0)</f>
        <v>282421</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519</v>
      </c>
      <c r="B3" s="848">
        <f>C49</f>
        <v>23406</v>
      </c>
      <c r="C3" s="849" t="s">
        <v>722</v>
      </c>
      <c r="D3" s="848">
        <f>SUMIF('数据-汇总表'!$C19:$C33,D1,'数据-汇总表'!$E19:$E33)</f>
        <v>120662</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521</v>
      </c>
      <c r="B4" s="510"/>
      <c r="C4" s="3593" t="s">
        <v>522</v>
      </c>
      <c r="D4" s="3594"/>
      <c r="E4" s="3617" t="s">
        <v>523</v>
      </c>
      <c r="F4" s="3618"/>
      <c r="G4" s="3593" t="s">
        <v>524</v>
      </c>
      <c r="H4" s="3594"/>
      <c r="I4" s="3593" t="s">
        <v>525</v>
      </c>
      <c r="J4" s="3594"/>
      <c r="K4" s="850"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576" t="s">
        <v>524</v>
      </c>
      <c r="AC4" s="3576" t="s">
        <v>525</v>
      </c>
    </row>
    <row r="5" spans="1:29" ht="28.5" customHeight="1">
      <c r="A5" s="512"/>
      <c r="B5" s="513"/>
      <c r="C5" s="3604" t="str">
        <f>结果初审!A1</f>
        <v>北京市密云区檀营乡MY00-0103-6023地块R2二类居住用地、MY00-0103-6024地块A33基础教育用地估价结果汇总表</v>
      </c>
      <c r="D5" s="3605"/>
      <c r="E5" s="3619" t="str">
        <f>住宅销售案例!M41</f>
        <v>悦欣嘉园</v>
      </c>
      <c r="F5" s="3620"/>
      <c r="G5" s="3623" t="s">
        <v>3199</v>
      </c>
      <c r="H5" s="3605"/>
      <c r="I5" s="3623" t="s">
        <v>3200</v>
      </c>
      <c r="J5" s="3605"/>
      <c r="K5" s="85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85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f>住宅销售案例!N41</f>
        <v>43429</v>
      </c>
      <c r="F7" s="519">
        <f>SUMIF(58:58,YEAR(E7)&amp;"-"&amp;MONTH(E7),59:59)</f>
        <v>99</v>
      </c>
      <c r="G7" s="520">
        <f>住宅销售案例!O103</f>
        <v>43429</v>
      </c>
      <c r="H7" s="517">
        <f>SUMIF(58:58,YEAR(G7)&amp;"-"&amp;MONTH(G7),59:59)</f>
        <v>99</v>
      </c>
      <c r="I7" s="520">
        <f>住宅销售案例!N79</f>
        <v>43499</v>
      </c>
      <c r="J7" s="517">
        <f>SUMIF(58:58,YEAR(I7)&amp;"-"&amp;MONTH(I7),59:59)</f>
        <v>99.5</v>
      </c>
      <c r="K7" s="852"/>
      <c r="L7" s="2118"/>
      <c r="M7" s="2119"/>
      <c r="N7" s="2119"/>
      <c r="O7" s="2119"/>
      <c r="P7" s="3579" t="s">
        <v>530</v>
      </c>
      <c r="Q7" s="3588"/>
      <c r="R7" s="1552" t="s">
        <v>13</v>
      </c>
      <c r="S7" s="1553">
        <f t="shared" ref="S7:S15" si="0">F7</f>
        <v>99</v>
      </c>
      <c r="T7" s="1552" t="s">
        <v>13</v>
      </c>
      <c r="U7" s="1553">
        <f t="shared" ref="U7:U15" si="1">H7</f>
        <v>99</v>
      </c>
      <c r="V7" s="1552" t="s">
        <v>13</v>
      </c>
      <c r="W7" s="1553">
        <f t="shared" ref="W7:W15" si="2">J7</f>
        <v>99.5</v>
      </c>
      <c r="X7" s="1554"/>
      <c r="Y7" s="3579" t="s">
        <v>530</v>
      </c>
      <c r="Z7" s="3580"/>
      <c r="AA7" s="1555">
        <f>D7/F7</f>
        <v>1.0101010101010102</v>
      </c>
      <c r="AB7" s="1555">
        <f>D7/H7</f>
        <v>1.0101010101010102</v>
      </c>
      <c r="AC7" s="1555">
        <f>D7/J7</f>
        <v>1.0050251256281406</v>
      </c>
    </row>
    <row r="8" spans="1:29" s="1213" customFormat="1" ht="15.75" thickBot="1">
      <c r="A8" s="2866"/>
      <c r="B8" s="2873" t="s">
        <v>531</v>
      </c>
      <c r="C8" s="522" t="s">
        <v>576</v>
      </c>
      <c r="D8" s="517">
        <v>100</v>
      </c>
      <c r="E8" s="853" t="s">
        <v>3194</v>
      </c>
      <c r="F8" s="519">
        <f>SUMIF(61:61,E8,62:62)-SUMIF(61:61,C8,62:62)+100</f>
        <v>100</v>
      </c>
      <c r="G8" s="522" t="s">
        <v>3194</v>
      </c>
      <c r="H8" s="517">
        <f>SUMIF(61:61,G8,62:62)-SUMIF(61:61,C8,62:62)+100</f>
        <v>100</v>
      </c>
      <c r="I8" s="853" t="s">
        <v>3194</v>
      </c>
      <c r="J8" s="517">
        <f>SUMIF(61:61,I8,62:62)-SUMIF(61:61,C8,62:62)+100</f>
        <v>100</v>
      </c>
      <c r="K8" s="852"/>
      <c r="L8" s="2118"/>
      <c r="M8" s="2119"/>
      <c r="N8" s="2119"/>
      <c r="O8" s="2119"/>
      <c r="P8" s="3579" t="s">
        <v>533</v>
      </c>
      <c r="Q8" s="3580"/>
      <c r="R8" s="1552" t="s">
        <v>13</v>
      </c>
      <c r="S8" s="1553">
        <f t="shared" si="0"/>
        <v>100</v>
      </c>
      <c r="T8" s="1552" t="s">
        <v>13</v>
      </c>
      <c r="U8" s="1553">
        <f t="shared" si="1"/>
        <v>100</v>
      </c>
      <c r="V8" s="1552" t="s">
        <v>13</v>
      </c>
      <c r="W8" s="1553">
        <f t="shared" si="2"/>
        <v>100</v>
      </c>
      <c r="X8" s="1554"/>
      <c r="Y8" s="3579" t="s">
        <v>533</v>
      </c>
      <c r="Z8" s="3580"/>
      <c r="AA8" s="1555">
        <f t="shared" ref="AA8:AA46" si="3">D8/F8</f>
        <v>1</v>
      </c>
      <c r="AB8" s="1555">
        <f t="shared" ref="AB8:AB46" si="4">D8/H8</f>
        <v>1</v>
      </c>
      <c r="AC8" s="1555">
        <f t="shared" ref="AC8:AC46" si="5">D8/J8</f>
        <v>1</v>
      </c>
    </row>
    <row r="9" spans="1:29" s="1213" customFormat="1" ht="15">
      <c r="A9" s="2867"/>
      <c r="B9" s="2874" t="s">
        <v>2756</v>
      </c>
      <c r="C9" s="3299" t="s">
        <v>3195</v>
      </c>
      <c r="D9" s="251">
        <v>100</v>
      </c>
      <c r="E9" s="3300" t="s">
        <v>3196</v>
      </c>
      <c r="F9" s="856">
        <f>SUMIF(63:63,E9,64:64)-SUMIF(63:63,C9,64:64)+100</f>
        <v>100</v>
      </c>
      <c r="G9" s="3300" t="s">
        <v>3196</v>
      </c>
      <c r="H9" s="251">
        <f>SUMIF(63:63,G9,64:64)-SUMIF(63:63,C9,64:64)+100</f>
        <v>100</v>
      </c>
      <c r="I9" s="3300" t="s">
        <v>3196</v>
      </c>
      <c r="J9" s="251">
        <f>SUMIF(63:63,I9,64:64)-SUMIF(63:63,C9,64:64)+100</f>
        <v>100</v>
      </c>
      <c r="K9" s="852"/>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75" thickBot="1">
      <c r="A10" s="2868"/>
      <c r="B10" s="2873" t="s">
        <v>2757</v>
      </c>
      <c r="C10" s="858" t="s">
        <v>3197</v>
      </c>
      <c r="D10" s="252">
        <v>100</v>
      </c>
      <c r="E10" s="859" t="s">
        <v>3197</v>
      </c>
      <c r="F10" s="860">
        <f>SUMIF(65:65,E10,66:66)-SUMIF(65:65,C10,66:66)+100</f>
        <v>100</v>
      </c>
      <c r="G10" s="858" t="s">
        <v>3197</v>
      </c>
      <c r="H10" s="252">
        <f>SUMIF(65:65,G10,66:66)-SUMIF(65:65,C10,66:66)+100</f>
        <v>100</v>
      </c>
      <c r="I10" s="858" t="s">
        <v>3197</v>
      </c>
      <c r="J10" s="252">
        <f>SUMIF(65:65,I10,66:66)-SUMIF(65:65,C10,66:66)+100</f>
        <v>100</v>
      </c>
      <c r="K10" s="86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hidden="1">
      <c r="A11" s="2869"/>
      <c r="B11" s="2873" t="s">
        <v>2758</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v>1</v>
      </c>
      <c r="L11" s="2123"/>
      <c r="M11" s="2117"/>
      <c r="N11" s="2117"/>
      <c r="O11" s="2124"/>
      <c r="P11" s="3587"/>
      <c r="Q11" s="1144" t="str">
        <f t="shared" si="6"/>
        <v>容积率</v>
      </c>
      <c r="R11" s="1552" t="s">
        <v>11</v>
      </c>
      <c r="S11" s="1553">
        <f t="shared" si="0"/>
        <v>100</v>
      </c>
      <c r="T11" s="1552" t="s">
        <v>11</v>
      </c>
      <c r="U11" s="1553">
        <f t="shared" si="1"/>
        <v>100</v>
      </c>
      <c r="V11" s="1552" t="s">
        <v>11</v>
      </c>
      <c r="W11" s="1553">
        <f t="shared" si="2"/>
        <v>100</v>
      </c>
      <c r="X11" s="1554"/>
      <c r="Y11" s="3523"/>
      <c r="Z11" s="1143" t="str">
        <f t="shared" si="7"/>
        <v>容积率</v>
      </c>
      <c r="AA11" s="1555">
        <f t="shared" si="3"/>
        <v>1</v>
      </c>
      <c r="AB11" s="1555">
        <f t="shared" si="4"/>
        <v>1</v>
      </c>
      <c r="AC11" s="1555">
        <f t="shared" si="5"/>
        <v>1</v>
      </c>
    </row>
    <row r="12" spans="1:29" s="1213" customFormat="1" ht="15" hidden="1">
      <c r="A12" s="2870"/>
      <c r="B12" s="2876">
        <v>111</v>
      </c>
      <c r="C12" s="525"/>
      <c r="D12" s="535">
        <v>100</v>
      </c>
      <c r="E12" s="525"/>
      <c r="F12" s="860">
        <f>SUMIF(70:70,E12,71:71)-SUMIF(70:70,C12,71:71)+100</f>
        <v>100</v>
      </c>
      <c r="G12" s="525"/>
      <c r="H12" s="252">
        <f>SUMIF(70:70,G12,71:71)-SUMIF(70:70,C12,71:71)+100</f>
        <v>100</v>
      </c>
      <c r="I12" s="525"/>
      <c r="J12" s="252">
        <f>SUMIF(70:70,I12,71:71)-SUMIF(70:70,C12,71:71)+100</f>
        <v>100</v>
      </c>
      <c r="K12" s="862"/>
      <c r="L12" s="2118"/>
      <c r="M12" s="2119"/>
      <c r="N12" s="2119"/>
      <c r="O12" s="2120"/>
      <c r="P12" s="3587"/>
      <c r="Q12" s="1144">
        <f t="shared" si="6"/>
        <v>111</v>
      </c>
      <c r="R12" s="1552" t="s">
        <v>11</v>
      </c>
      <c r="S12" s="1553">
        <f t="shared" si="0"/>
        <v>100</v>
      </c>
      <c r="T12" s="1552" t="s">
        <v>11</v>
      </c>
      <c r="U12" s="1553">
        <f t="shared" si="1"/>
        <v>100</v>
      </c>
      <c r="V12" s="1552" t="s">
        <v>11</v>
      </c>
      <c r="W12" s="1553">
        <f t="shared" si="2"/>
        <v>100</v>
      </c>
      <c r="X12" s="1554"/>
      <c r="Y12" s="3523"/>
      <c r="Z12" s="1143">
        <f t="shared" si="7"/>
        <v>111</v>
      </c>
      <c r="AA12" s="1555">
        <f>D12/F12</f>
        <v>1</v>
      </c>
      <c r="AB12" s="1555">
        <f>D12/H12</f>
        <v>1</v>
      </c>
      <c r="AC12" s="1555">
        <f>D12/J12</f>
        <v>1</v>
      </c>
    </row>
    <row r="13" spans="1:29" ht="15" hidden="1">
      <c r="A13" s="2870"/>
      <c r="B13" s="2876">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587"/>
      <c r="Q13" s="1144">
        <f t="shared" si="6"/>
        <v>111</v>
      </c>
      <c r="R13" s="1552" t="s">
        <v>11</v>
      </c>
      <c r="S13" s="1553">
        <f t="shared" si="0"/>
        <v>100</v>
      </c>
      <c r="T13" s="1552" t="s">
        <v>11</v>
      </c>
      <c r="U13" s="1553">
        <f t="shared" si="1"/>
        <v>100</v>
      </c>
      <c r="V13" s="1552" t="s">
        <v>11</v>
      </c>
      <c r="W13" s="1553">
        <f t="shared" si="2"/>
        <v>100</v>
      </c>
      <c r="X13" s="1554"/>
      <c r="Y13" s="3523"/>
      <c r="Z13" s="1143">
        <f t="shared" si="7"/>
        <v>111</v>
      </c>
      <c r="AA13" s="1555">
        <f t="shared" si="3"/>
        <v>1</v>
      </c>
      <c r="AB13" s="1555">
        <f t="shared" si="4"/>
        <v>1</v>
      </c>
      <c r="AC13" s="1555">
        <f t="shared" si="5"/>
        <v>1</v>
      </c>
    </row>
    <row r="14" spans="1:29" ht="15.75" hidden="1" thickBot="1">
      <c r="A14" s="2871"/>
      <c r="B14" s="2877">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587"/>
      <c r="Q14" s="1144">
        <f t="shared" si="6"/>
        <v>111</v>
      </c>
      <c r="R14" s="1552" t="s">
        <v>11</v>
      </c>
      <c r="S14" s="1553">
        <f t="shared" si="0"/>
        <v>100</v>
      </c>
      <c r="T14" s="1552" t="s">
        <v>11</v>
      </c>
      <c r="U14" s="1553">
        <f t="shared" si="1"/>
        <v>100</v>
      </c>
      <c r="V14" s="1552" t="s">
        <v>11</v>
      </c>
      <c r="W14" s="1553">
        <f t="shared" si="2"/>
        <v>100</v>
      </c>
      <c r="X14" s="1554"/>
      <c r="Y14" s="3523"/>
      <c r="Z14" s="1143">
        <f t="shared" si="7"/>
        <v>111</v>
      </c>
      <c r="AA14" s="1555">
        <f t="shared" si="3"/>
        <v>1</v>
      </c>
      <c r="AB14" s="1555">
        <f t="shared" si="4"/>
        <v>1</v>
      </c>
      <c r="AC14" s="1555">
        <f t="shared" si="5"/>
        <v>1</v>
      </c>
    </row>
    <row r="15" spans="1:29" ht="99.75">
      <c r="A15" s="2863" t="s">
        <v>2754</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589" t="s">
        <v>540</v>
      </c>
      <c r="Q15" s="1556" t="str">
        <f t="shared" si="6"/>
        <v>居住社区成熟度</v>
      </c>
      <c r="R15" s="1557" t="s">
        <v>11</v>
      </c>
      <c r="S15" s="1558">
        <f t="shared" si="0"/>
        <v>100</v>
      </c>
      <c r="T15" s="1557" t="s">
        <v>11</v>
      </c>
      <c r="U15" s="1558">
        <f t="shared" si="1"/>
        <v>100</v>
      </c>
      <c r="V15" s="1557" t="s">
        <v>11</v>
      </c>
      <c r="W15" s="1558">
        <f t="shared" si="2"/>
        <v>100</v>
      </c>
      <c r="X15" s="1551"/>
      <c r="Y15" s="3589" t="s">
        <v>540</v>
      </c>
      <c r="Z15" s="1559" t="str">
        <f t="shared" si="7"/>
        <v>居住社区成熟度</v>
      </c>
      <c r="AA15" s="1560">
        <f t="shared" si="3"/>
        <v>1</v>
      </c>
      <c r="AB15" s="1560">
        <f t="shared" si="4"/>
        <v>1</v>
      </c>
      <c r="AC15" s="1560">
        <f t="shared" si="5"/>
        <v>1</v>
      </c>
    </row>
    <row r="16" spans="1:29" ht="15">
      <c r="A16" s="529"/>
      <c r="B16" s="866"/>
      <c r="C16" s="573" t="s">
        <v>3083</v>
      </c>
      <c r="D16" s="552"/>
      <c r="E16" s="553" t="s">
        <v>3083</v>
      </c>
      <c r="F16" s="554"/>
      <c r="G16" s="555" t="s">
        <v>3083</v>
      </c>
      <c r="H16" s="556"/>
      <c r="I16" s="553" t="s">
        <v>3083</v>
      </c>
      <c r="J16" s="552"/>
      <c r="K16" s="867"/>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590"/>
      <c r="Q17" s="1556" t="str">
        <f>B17</f>
        <v>交通便捷度</v>
      </c>
      <c r="R17" s="1557" t="s">
        <v>11</v>
      </c>
      <c r="S17" s="1558">
        <f>F17</f>
        <v>100</v>
      </c>
      <c r="T17" s="1557" t="s">
        <v>11</v>
      </c>
      <c r="U17" s="1558">
        <f>H17</f>
        <v>100</v>
      </c>
      <c r="V17" s="1557" t="s">
        <v>11</v>
      </c>
      <c r="W17" s="1558">
        <f>J17</f>
        <v>100</v>
      </c>
      <c r="X17" s="1551"/>
      <c r="Y17" s="3590"/>
      <c r="Z17" s="1559" t="str">
        <f>Q17</f>
        <v>交通便捷度</v>
      </c>
      <c r="AA17" s="1560">
        <f t="shared" si="3"/>
        <v>1</v>
      </c>
      <c r="AB17" s="1560">
        <f t="shared" si="4"/>
        <v>1</v>
      </c>
      <c r="AC17" s="1560">
        <f t="shared" si="5"/>
        <v>1</v>
      </c>
    </row>
    <row r="18" spans="1:29" ht="15">
      <c r="A18" s="529"/>
      <c r="B18" s="592"/>
      <c r="C18" s="870" t="s">
        <v>3083</v>
      </c>
      <c r="D18" s="556"/>
      <c r="E18" s="565" t="s">
        <v>3083</v>
      </c>
      <c r="F18" s="560"/>
      <c r="G18" s="566" t="s">
        <v>3083</v>
      </c>
      <c r="H18" s="552"/>
      <c r="I18" s="565" t="s">
        <v>3083</v>
      </c>
      <c r="J18" s="552"/>
      <c r="K18" s="867"/>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590"/>
      <c r="Q19" s="1556" t="str">
        <f>B19</f>
        <v>公共配套设施</v>
      </c>
      <c r="R19" s="1557" t="s">
        <v>11</v>
      </c>
      <c r="S19" s="1558">
        <f>F19</f>
        <v>100</v>
      </c>
      <c r="T19" s="1557" t="s">
        <v>11</v>
      </c>
      <c r="U19" s="1558">
        <f>H19</f>
        <v>100</v>
      </c>
      <c r="V19" s="1557" t="s">
        <v>11</v>
      </c>
      <c r="W19" s="1558">
        <f>J19</f>
        <v>100</v>
      </c>
      <c r="X19" s="1551"/>
      <c r="Y19" s="3590"/>
      <c r="Z19" s="1559" t="str">
        <f>Q19</f>
        <v>公共配套设施</v>
      </c>
      <c r="AA19" s="1560">
        <f t="shared" si="3"/>
        <v>1</v>
      </c>
      <c r="AB19" s="1560">
        <f t="shared" si="4"/>
        <v>1</v>
      </c>
      <c r="AC19" s="1560">
        <f t="shared" si="5"/>
        <v>1</v>
      </c>
    </row>
    <row r="20" spans="1:29" ht="15">
      <c r="A20" s="529"/>
      <c r="B20" s="592"/>
      <c r="C20" s="573" t="s">
        <v>3083</v>
      </c>
      <c r="D20" s="552"/>
      <c r="E20" s="553" t="s">
        <v>3083</v>
      </c>
      <c r="F20" s="554"/>
      <c r="G20" s="555" t="s">
        <v>3083</v>
      </c>
      <c r="H20" s="552"/>
      <c r="I20" s="553" t="s">
        <v>3083</v>
      </c>
      <c r="J20" s="552"/>
      <c r="K20" s="867"/>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1</v>
      </c>
      <c r="L21" s="2125"/>
      <c r="M21" s="2117"/>
      <c r="N21" s="2117"/>
      <c r="O21" s="2124"/>
      <c r="P21" s="3590"/>
      <c r="Q21" s="2541" t="str">
        <f>B21</f>
        <v>基础设施水平</v>
      </c>
      <c r="R21" s="1557" t="s">
        <v>11</v>
      </c>
      <c r="S21" s="1558">
        <f>F21</f>
        <v>100</v>
      </c>
      <c r="T21" s="1557" t="s">
        <v>11</v>
      </c>
      <c r="U21" s="1558">
        <f>H21</f>
        <v>100</v>
      </c>
      <c r="V21" s="1557" t="s">
        <v>11</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919"/>
      <c r="C22" s="870" t="s">
        <v>3198</v>
      </c>
      <c r="D22" s="552"/>
      <c r="E22" s="573" t="s">
        <v>3198</v>
      </c>
      <c r="F22" s="554"/>
      <c r="G22" s="573" t="s">
        <v>3198</v>
      </c>
      <c r="H22" s="552"/>
      <c r="I22" s="573" t="s">
        <v>3198</v>
      </c>
      <c r="J22" s="552"/>
      <c r="K22" s="2561"/>
      <c r="L22" s="2125"/>
      <c r="M22" s="2117"/>
      <c r="N22" s="2117"/>
      <c r="O22" s="2124"/>
      <c r="P22" s="3590"/>
      <c r="Q22" s="2541"/>
      <c r="R22" s="1557"/>
      <c r="S22" s="1558"/>
      <c r="T22" s="1557"/>
      <c r="U22" s="1558"/>
      <c r="V22" s="1557"/>
      <c r="W22" s="1558"/>
      <c r="X22" s="2543"/>
      <c r="Y22" s="3590"/>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590"/>
      <c r="Q23" s="1556" t="str">
        <f>B23</f>
        <v>自然及人文环境</v>
      </c>
      <c r="R23" s="1557" t="s">
        <v>11</v>
      </c>
      <c r="S23" s="1558">
        <f>F23</f>
        <v>100</v>
      </c>
      <c r="T23" s="1557" t="s">
        <v>11</v>
      </c>
      <c r="U23" s="1558">
        <f>H23</f>
        <v>100</v>
      </c>
      <c r="V23" s="1557" t="s">
        <v>11</v>
      </c>
      <c r="W23" s="1558">
        <f>J23</f>
        <v>100</v>
      </c>
      <c r="X23" s="1551"/>
      <c r="Y23" s="3590"/>
      <c r="Z23" s="1559" t="str">
        <f>Q23</f>
        <v>自然及人文环境</v>
      </c>
      <c r="AA23" s="1560">
        <f t="shared" si="3"/>
        <v>1</v>
      </c>
      <c r="AB23" s="1560">
        <f t="shared" si="4"/>
        <v>1</v>
      </c>
      <c r="AC23" s="1560">
        <f t="shared" si="5"/>
        <v>1</v>
      </c>
    </row>
    <row r="24" spans="1:29" ht="15">
      <c r="A24" s="529"/>
      <c r="B24" s="592"/>
      <c r="C24" s="573" t="s">
        <v>3084</v>
      </c>
      <c r="D24" s="552"/>
      <c r="E24" s="553" t="s">
        <v>3084</v>
      </c>
      <c r="F24" s="554"/>
      <c r="G24" s="555" t="s">
        <v>3084</v>
      </c>
      <c r="H24" s="552"/>
      <c r="I24" s="553" t="s">
        <v>3084</v>
      </c>
      <c r="J24" s="552"/>
      <c r="K24" s="867"/>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29"/>
      <c r="B25" s="1878" t="s">
        <v>2256</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590"/>
      <c r="Q25" s="1556" t="str">
        <f t="shared" ref="Q25:Q46" si="11">B25</f>
        <v>楼层-1</v>
      </c>
      <c r="R25" s="1557" t="s">
        <v>11</v>
      </c>
      <c r="S25" s="1558">
        <f>F25</f>
        <v>100</v>
      </c>
      <c r="T25" s="1557" t="s">
        <v>11</v>
      </c>
      <c r="U25" s="1558">
        <f>H25</f>
        <v>100</v>
      </c>
      <c r="V25" s="1557" t="s">
        <v>11</v>
      </c>
      <c r="W25" s="1558">
        <f>J25</f>
        <v>100</v>
      </c>
      <c r="X25" s="1551"/>
      <c r="Y25" s="3590"/>
      <c r="Z25" s="1559" t="str">
        <f>Q25</f>
        <v>楼层-1</v>
      </c>
      <c r="AA25" s="1560">
        <f t="shared" si="3"/>
        <v>1</v>
      </c>
      <c r="AB25" s="1560">
        <f t="shared" si="4"/>
        <v>1</v>
      </c>
      <c r="AC25" s="156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590"/>
      <c r="Q26" s="1556" t="str">
        <f t="shared" si="11"/>
        <v>朝向</v>
      </c>
      <c r="R26" s="1557" t="s">
        <v>11</v>
      </c>
      <c r="S26" s="1558">
        <f>F26</f>
        <v>100</v>
      </c>
      <c r="T26" s="1557" t="s">
        <v>11</v>
      </c>
      <c r="U26" s="1558">
        <f>H26</f>
        <v>100</v>
      </c>
      <c r="V26" s="1557" t="s">
        <v>11</v>
      </c>
      <c r="W26" s="1558">
        <f>J26</f>
        <v>100</v>
      </c>
      <c r="X26" s="1551"/>
      <c r="Y26" s="3590"/>
      <c r="Z26" s="1559" t="str">
        <f>Q26</f>
        <v>朝向</v>
      </c>
      <c r="AA26" s="1560">
        <f t="shared" si="3"/>
        <v>1</v>
      </c>
      <c r="AB26" s="1560">
        <f t="shared" si="4"/>
        <v>1</v>
      </c>
      <c r="AC26" s="1560">
        <f t="shared" si="5"/>
        <v>1</v>
      </c>
    </row>
    <row r="27" spans="1:29" s="1213"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590"/>
      <c r="Q27" s="1144" t="str">
        <f t="shared" si="11"/>
        <v>道路级别</v>
      </c>
      <c r="R27" s="1552" t="s">
        <v>11</v>
      </c>
      <c r="S27" s="1553">
        <f>F27</f>
        <v>100</v>
      </c>
      <c r="T27" s="1552" t="s">
        <v>11</v>
      </c>
      <c r="U27" s="1553">
        <f>H27</f>
        <v>100</v>
      </c>
      <c r="V27" s="1552" t="s">
        <v>11</v>
      </c>
      <c r="W27" s="1553">
        <f>J27</f>
        <v>100</v>
      </c>
      <c r="X27" s="1554"/>
      <c r="Y27" s="3590"/>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590"/>
      <c r="Q28" s="1556">
        <f t="shared" si="11"/>
        <v>111</v>
      </c>
      <c r="R28" s="1557" t="s">
        <v>11</v>
      </c>
      <c r="S28" s="1558">
        <f t="shared" ref="S28:S46" si="12">F28</f>
        <v>100</v>
      </c>
      <c r="T28" s="1557" t="s">
        <v>11</v>
      </c>
      <c r="U28" s="1558">
        <f t="shared" ref="U28:U46" si="13">H28</f>
        <v>100</v>
      </c>
      <c r="V28" s="1557" t="s">
        <v>11</v>
      </c>
      <c r="W28" s="1558">
        <f t="shared" ref="W28:W46" si="14">J28</f>
        <v>100</v>
      </c>
      <c r="X28" s="1551"/>
      <c r="Y28" s="3590"/>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590"/>
      <c r="Q29" s="1556">
        <f t="shared" si="11"/>
        <v>111</v>
      </c>
      <c r="R29" s="1557" t="s">
        <v>11</v>
      </c>
      <c r="S29" s="1558">
        <f t="shared" si="12"/>
        <v>100</v>
      </c>
      <c r="T29" s="1557" t="s">
        <v>11</v>
      </c>
      <c r="U29" s="1558">
        <f t="shared" si="13"/>
        <v>100</v>
      </c>
      <c r="V29" s="1557" t="s">
        <v>11</v>
      </c>
      <c r="W29" s="1558">
        <f t="shared" si="14"/>
        <v>100</v>
      </c>
      <c r="X29" s="1551"/>
      <c r="Y29" s="35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590"/>
      <c r="Q30" s="1556">
        <f t="shared" si="11"/>
        <v>111</v>
      </c>
      <c r="R30" s="1557" t="s">
        <v>11</v>
      </c>
      <c r="S30" s="1558">
        <f t="shared" si="12"/>
        <v>100</v>
      </c>
      <c r="T30" s="1557" t="s">
        <v>11</v>
      </c>
      <c r="U30" s="1558">
        <f t="shared" si="13"/>
        <v>100</v>
      </c>
      <c r="V30" s="1557" t="s">
        <v>11</v>
      </c>
      <c r="W30" s="1558">
        <f t="shared" si="14"/>
        <v>100</v>
      </c>
      <c r="X30" s="1551"/>
      <c r="Y30" s="3590"/>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590"/>
      <c r="Q31" s="1556">
        <f t="shared" si="11"/>
        <v>111</v>
      </c>
      <c r="R31" s="1557" t="s">
        <v>11</v>
      </c>
      <c r="S31" s="1558">
        <f t="shared" si="12"/>
        <v>100</v>
      </c>
      <c r="T31" s="1557" t="s">
        <v>11</v>
      </c>
      <c r="U31" s="1558">
        <f t="shared" si="13"/>
        <v>100</v>
      </c>
      <c r="V31" s="1557" t="s">
        <v>11</v>
      </c>
      <c r="W31" s="1558">
        <f t="shared" si="14"/>
        <v>100</v>
      </c>
      <c r="X31" s="1551"/>
      <c r="Y31" s="3590"/>
      <c r="Z31" s="1559">
        <f t="shared" si="15"/>
        <v>111</v>
      </c>
      <c r="AA31" s="1560">
        <f t="shared" si="3"/>
        <v>1</v>
      </c>
      <c r="AB31" s="1560">
        <f t="shared" si="4"/>
        <v>1</v>
      </c>
      <c r="AC31" s="1560">
        <f t="shared" si="5"/>
        <v>1</v>
      </c>
    </row>
    <row r="32" spans="1:29" ht="15">
      <c r="A32" s="2860" t="s">
        <v>2755</v>
      </c>
      <c r="B32" s="171"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591" t="s">
        <v>550</v>
      </c>
      <c r="Q32" s="1556" t="str">
        <f t="shared" si="11"/>
        <v>建筑类型</v>
      </c>
      <c r="R32" s="1557" t="s">
        <v>11</v>
      </c>
      <c r="S32" s="1558">
        <f t="shared" si="12"/>
        <v>100</v>
      </c>
      <c r="T32" s="1557" t="s">
        <v>11</v>
      </c>
      <c r="U32" s="1558">
        <f t="shared" si="13"/>
        <v>100</v>
      </c>
      <c r="V32" s="1557" t="s">
        <v>11</v>
      </c>
      <c r="W32" s="1558">
        <f t="shared" si="14"/>
        <v>100</v>
      </c>
      <c r="X32" s="1551"/>
      <c r="Y32" s="3592" t="s">
        <v>550</v>
      </c>
      <c r="Z32" s="1559" t="str">
        <f t="shared" si="15"/>
        <v>建筑类型</v>
      </c>
      <c r="AA32" s="1560">
        <f t="shared" si="3"/>
        <v>1</v>
      </c>
      <c r="AB32" s="1560">
        <f t="shared" si="4"/>
        <v>1</v>
      </c>
      <c r="AC32" s="1560">
        <f t="shared" si="5"/>
        <v>1</v>
      </c>
    </row>
    <row r="33" spans="1:29" s="1332" customFormat="1" ht="15">
      <c r="A33" s="600"/>
      <c r="B33" s="524" t="s">
        <v>726</v>
      </c>
      <c r="C33" s="877">
        <f>'数据-汇总表'!E3</f>
        <v>120662</v>
      </c>
      <c r="D33" s="252">
        <v>100</v>
      </c>
      <c r="E33" s="531">
        <f>住宅销售案例!O41</f>
        <v>62763.11</v>
      </c>
      <c r="F33" s="860">
        <f>LOOKUP(E33,103:103,104:104)-LOOKUP(C33,103:103,104:104)+100</f>
        <v>97</v>
      </c>
      <c r="G33" s="530">
        <f>住宅销售案例!P103</f>
        <v>1402.65</v>
      </c>
      <c r="H33" s="252">
        <f>LOOKUP(G33,103:103,104:104)-LOOKUP(C33,103:103,104:104)+100</f>
        <v>97</v>
      </c>
      <c r="I33" s="531">
        <f>住宅销售案例!O79</f>
        <v>109329.29</v>
      </c>
      <c r="J33" s="252">
        <f>LOOKUP(I33,103:103,104:104)-LOOKUP(C33,103:103,104:104)+100</f>
        <v>100</v>
      </c>
      <c r="K33" s="862"/>
      <c r="L33" s="2123"/>
      <c r="M33" s="2154"/>
      <c r="N33" s="2154"/>
      <c r="O33" s="2126"/>
      <c r="P33" s="3592"/>
      <c r="Q33" s="1588" t="str">
        <f t="shared" si="11"/>
        <v>项目建筑规模</v>
      </c>
      <c r="R33" s="1561" t="s">
        <v>11</v>
      </c>
      <c r="S33" s="1562">
        <f t="shared" si="12"/>
        <v>97</v>
      </c>
      <c r="T33" s="1561" t="s">
        <v>11</v>
      </c>
      <c r="U33" s="1562">
        <f t="shared" si="13"/>
        <v>97</v>
      </c>
      <c r="V33" s="1561" t="s">
        <v>11</v>
      </c>
      <c r="W33" s="1562">
        <f t="shared" si="14"/>
        <v>100</v>
      </c>
      <c r="X33" s="1563"/>
      <c r="Y33" s="3592"/>
      <c r="Z33" s="1564" t="str">
        <f t="shared" si="15"/>
        <v>项目建筑规模</v>
      </c>
      <c r="AA33" s="1560">
        <f t="shared" si="3"/>
        <v>1.0309278350515463</v>
      </c>
      <c r="AB33" s="1560">
        <f t="shared" si="4"/>
        <v>1.0309278350515463</v>
      </c>
      <c r="AC33" s="1560">
        <f t="shared" si="5"/>
        <v>1</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592"/>
      <c r="Q34" s="1556" t="str">
        <f t="shared" si="11"/>
        <v>建筑结构</v>
      </c>
      <c r="R34" s="1557" t="s">
        <v>11</v>
      </c>
      <c r="S34" s="1558">
        <f t="shared" si="12"/>
        <v>100</v>
      </c>
      <c r="T34" s="1557" t="s">
        <v>11</v>
      </c>
      <c r="U34" s="1558">
        <f t="shared" si="13"/>
        <v>100</v>
      </c>
      <c r="V34" s="1557" t="s">
        <v>11</v>
      </c>
      <c r="W34" s="1558">
        <f t="shared" si="14"/>
        <v>100</v>
      </c>
      <c r="X34" s="1551"/>
      <c r="Y34" s="3592"/>
      <c r="Z34" s="1559" t="str">
        <f t="shared" si="15"/>
        <v>建筑结构</v>
      </c>
      <c r="AA34" s="1560">
        <f t="shared" si="3"/>
        <v>1</v>
      </c>
      <c r="AB34" s="1560">
        <f t="shared" si="4"/>
        <v>1</v>
      </c>
      <c r="AC34" s="1560">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592"/>
      <c r="Q35" s="1556" t="str">
        <f t="shared" si="11"/>
        <v>建筑品质</v>
      </c>
      <c r="R35" s="1557" t="s">
        <v>11</v>
      </c>
      <c r="S35" s="1558">
        <f t="shared" si="12"/>
        <v>100</v>
      </c>
      <c r="T35" s="1557" t="s">
        <v>11</v>
      </c>
      <c r="U35" s="1558">
        <f t="shared" si="13"/>
        <v>100</v>
      </c>
      <c r="V35" s="1557" t="s">
        <v>11</v>
      </c>
      <c r="W35" s="1558">
        <f t="shared" si="14"/>
        <v>100</v>
      </c>
      <c r="X35" s="1551"/>
      <c r="Y35" s="3592"/>
      <c r="Z35" s="1559" t="str">
        <f t="shared" si="15"/>
        <v>建筑品质</v>
      </c>
      <c r="AA35" s="1560">
        <f t="shared" si="3"/>
        <v>1</v>
      </c>
      <c r="AB35" s="1560">
        <f t="shared" si="4"/>
        <v>1</v>
      </c>
      <c r="AC35" s="1560">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592"/>
      <c r="Q36" s="1556" t="str">
        <f t="shared" si="11"/>
        <v>公共部分装修</v>
      </c>
      <c r="R36" s="1557" t="s">
        <v>11</v>
      </c>
      <c r="S36" s="1558">
        <f t="shared" si="12"/>
        <v>100</v>
      </c>
      <c r="T36" s="1557" t="s">
        <v>11</v>
      </c>
      <c r="U36" s="1558">
        <f t="shared" si="13"/>
        <v>100</v>
      </c>
      <c r="V36" s="1557" t="s">
        <v>11</v>
      </c>
      <c r="W36" s="1558">
        <f t="shared" si="14"/>
        <v>100</v>
      </c>
      <c r="X36" s="1551"/>
      <c r="Y36" s="3592"/>
      <c r="Z36" s="1559" t="str">
        <f t="shared" si="15"/>
        <v>公共部分装修</v>
      </c>
      <c r="AA36" s="1560">
        <f t="shared" si="3"/>
        <v>1</v>
      </c>
      <c r="AB36" s="1560">
        <f t="shared" si="4"/>
        <v>1</v>
      </c>
      <c r="AC36" s="1560">
        <f t="shared" si="5"/>
        <v>1</v>
      </c>
    </row>
    <row r="37" spans="1:29" s="1213"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c r="L37" s="2118"/>
      <c r="M37" s="2119"/>
      <c r="N37" s="2119"/>
      <c r="O37" s="2120"/>
      <c r="P37" s="3592"/>
      <c r="Q37" s="1144" t="str">
        <f t="shared" si="11"/>
        <v>成新度</v>
      </c>
      <c r="R37" s="1552" t="s">
        <v>11</v>
      </c>
      <c r="S37" s="1553">
        <f t="shared" si="12"/>
        <v>100</v>
      </c>
      <c r="T37" s="1552" t="s">
        <v>11</v>
      </c>
      <c r="U37" s="1553">
        <f t="shared" si="13"/>
        <v>100</v>
      </c>
      <c r="V37" s="1552" t="s">
        <v>11</v>
      </c>
      <c r="W37" s="1553">
        <f t="shared" si="14"/>
        <v>100</v>
      </c>
      <c r="X37" s="1554"/>
      <c r="Y37" s="3592"/>
      <c r="Z37" s="1143" t="str">
        <f t="shared" si="15"/>
        <v>成新度</v>
      </c>
      <c r="AA37" s="1555">
        <f t="shared" si="3"/>
        <v>1</v>
      </c>
      <c r="AB37" s="1555">
        <f t="shared" si="4"/>
        <v>1</v>
      </c>
      <c r="AC37" s="1555">
        <f t="shared" si="5"/>
        <v>1</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592" t="s">
        <v>550</v>
      </c>
      <c r="Q38" s="1556" t="str">
        <f t="shared" si="11"/>
        <v>物业管理</v>
      </c>
      <c r="R38" s="1557" t="s">
        <v>11</v>
      </c>
      <c r="S38" s="1558">
        <f t="shared" si="12"/>
        <v>100</v>
      </c>
      <c r="T38" s="1557" t="s">
        <v>11</v>
      </c>
      <c r="U38" s="1558">
        <f t="shared" si="13"/>
        <v>100</v>
      </c>
      <c r="V38" s="1557" t="s">
        <v>11</v>
      </c>
      <c r="W38" s="1558">
        <f t="shared" si="14"/>
        <v>100</v>
      </c>
      <c r="X38" s="1551"/>
      <c r="Y38" s="3592" t="s">
        <v>550</v>
      </c>
      <c r="Z38" s="1559" t="str">
        <f t="shared" si="15"/>
        <v>物业管理</v>
      </c>
      <c r="AA38" s="1560">
        <f t="shared" si="3"/>
        <v>1</v>
      </c>
      <c r="AB38" s="1560">
        <f t="shared" si="4"/>
        <v>1</v>
      </c>
      <c r="AC38" s="1560">
        <f t="shared" si="5"/>
        <v>1</v>
      </c>
    </row>
    <row r="39" spans="1:29" ht="15">
      <c r="A39" s="591"/>
      <c r="B39" s="1878" t="s">
        <v>2564</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592"/>
      <c r="Q39" s="1556" t="str">
        <f t="shared" si="11"/>
        <v>市政基础设施</v>
      </c>
      <c r="R39" s="1557" t="s">
        <v>11</v>
      </c>
      <c r="S39" s="1558">
        <f t="shared" si="12"/>
        <v>100</v>
      </c>
      <c r="T39" s="1557" t="s">
        <v>11</v>
      </c>
      <c r="U39" s="1558">
        <f t="shared" si="13"/>
        <v>100</v>
      </c>
      <c r="V39" s="1557" t="s">
        <v>11</v>
      </c>
      <c r="W39" s="1558">
        <f t="shared" si="14"/>
        <v>100</v>
      </c>
      <c r="X39" s="1551"/>
      <c r="Y39" s="3592"/>
      <c r="Z39" s="1559" t="str">
        <f t="shared" si="15"/>
        <v>市政基础设施</v>
      </c>
      <c r="AA39" s="1560">
        <f t="shared" si="3"/>
        <v>1</v>
      </c>
      <c r="AB39" s="1560">
        <f t="shared" si="4"/>
        <v>1</v>
      </c>
      <c r="AC39" s="156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592"/>
      <c r="Q40" s="1556" t="str">
        <f t="shared" si="11"/>
        <v>房型</v>
      </c>
      <c r="R40" s="1557" t="s">
        <v>11</v>
      </c>
      <c r="S40" s="1558">
        <f t="shared" si="12"/>
        <v>100</v>
      </c>
      <c r="T40" s="1557" t="s">
        <v>11</v>
      </c>
      <c r="U40" s="1558">
        <f t="shared" si="13"/>
        <v>100</v>
      </c>
      <c r="V40" s="1557" t="s">
        <v>11</v>
      </c>
      <c r="W40" s="1558">
        <f t="shared" si="14"/>
        <v>100</v>
      </c>
      <c r="X40" s="1551"/>
      <c r="Y40" s="3592"/>
      <c r="Z40" s="1559" t="str">
        <f t="shared" si="15"/>
        <v>房型</v>
      </c>
      <c r="AA40" s="1560">
        <f t="shared" si="3"/>
        <v>1</v>
      </c>
      <c r="AB40" s="1560">
        <f t="shared" si="4"/>
        <v>1</v>
      </c>
      <c r="AC40" s="1560">
        <f t="shared" si="5"/>
        <v>1</v>
      </c>
    </row>
    <row r="41" spans="1:29" s="1332"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3"/>
      <c r="M41" s="2154"/>
      <c r="N41" s="2154"/>
      <c r="O41" s="2126"/>
      <c r="P41" s="3592"/>
      <c r="Q41" s="1588" t="str">
        <f t="shared" si="11"/>
        <v>单套/主力户型建筑面积</v>
      </c>
      <c r="R41" s="1561" t="s">
        <v>11</v>
      </c>
      <c r="S41" s="1562">
        <f t="shared" si="12"/>
        <v>100</v>
      </c>
      <c r="T41" s="1561" t="s">
        <v>11</v>
      </c>
      <c r="U41" s="1562">
        <f t="shared" si="13"/>
        <v>100</v>
      </c>
      <c r="V41" s="1561" t="s">
        <v>11</v>
      </c>
      <c r="W41" s="1562">
        <f t="shared" si="14"/>
        <v>100</v>
      </c>
      <c r="X41" s="1563"/>
      <c r="Y41" s="3592"/>
      <c r="Z41" s="1564" t="str">
        <f t="shared" si="15"/>
        <v>单套/主力户型建筑面积</v>
      </c>
      <c r="AA41" s="1560">
        <f t="shared" si="3"/>
        <v>1</v>
      </c>
      <c r="AB41" s="1560">
        <f t="shared" si="4"/>
        <v>1</v>
      </c>
      <c r="AC41" s="1560">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592"/>
      <c r="Q42" s="1556" t="str">
        <f t="shared" si="11"/>
        <v>内部装修</v>
      </c>
      <c r="R42" s="1557" t="s">
        <v>11</v>
      </c>
      <c r="S42" s="1558">
        <f t="shared" si="12"/>
        <v>100</v>
      </c>
      <c r="T42" s="1557" t="s">
        <v>11</v>
      </c>
      <c r="U42" s="1558">
        <f t="shared" si="13"/>
        <v>100</v>
      </c>
      <c r="V42" s="1557" t="s">
        <v>11</v>
      </c>
      <c r="W42" s="1558">
        <f t="shared" si="14"/>
        <v>100</v>
      </c>
      <c r="X42" s="1551"/>
      <c r="Y42" s="3592"/>
      <c r="Z42" s="1559" t="str">
        <f t="shared" si="15"/>
        <v>内部装修</v>
      </c>
      <c r="AA42" s="1560">
        <f t="shared" si="3"/>
        <v>1</v>
      </c>
      <c r="AB42" s="1560">
        <f t="shared" si="4"/>
        <v>1</v>
      </c>
      <c r="AC42" s="1560">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592"/>
      <c r="Q43" s="1556" t="str">
        <f t="shared" si="11"/>
        <v>内部装修维护情况</v>
      </c>
      <c r="R43" s="1557" t="s">
        <v>11</v>
      </c>
      <c r="S43" s="1558">
        <f t="shared" si="12"/>
        <v>100</v>
      </c>
      <c r="T43" s="1557" t="s">
        <v>11</v>
      </c>
      <c r="U43" s="1558">
        <f t="shared" si="13"/>
        <v>100</v>
      </c>
      <c r="V43" s="1557" t="s">
        <v>11</v>
      </c>
      <c r="W43" s="1558">
        <f t="shared" si="14"/>
        <v>100</v>
      </c>
      <c r="X43" s="1551"/>
      <c r="Y43" s="3592"/>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8"/>
      <c r="M44" s="2119"/>
      <c r="N44" s="2119"/>
      <c r="O44" s="2120"/>
      <c r="P44" s="3592"/>
      <c r="Q44" s="1144">
        <f t="shared" si="11"/>
        <v>111</v>
      </c>
      <c r="R44" s="1552" t="s">
        <v>11</v>
      </c>
      <c r="S44" s="1553">
        <f t="shared" si="12"/>
        <v>100</v>
      </c>
      <c r="T44" s="1552" t="s">
        <v>11</v>
      </c>
      <c r="U44" s="1553">
        <f t="shared" si="13"/>
        <v>100</v>
      </c>
      <c r="V44" s="1552" t="s">
        <v>11</v>
      </c>
      <c r="W44" s="1553">
        <f t="shared" si="14"/>
        <v>100</v>
      </c>
      <c r="X44" s="1554"/>
      <c r="Y44" s="35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592"/>
      <c r="Q45" s="1556">
        <f t="shared" si="11"/>
        <v>111</v>
      </c>
      <c r="R45" s="1557" t="s">
        <v>11</v>
      </c>
      <c r="S45" s="1558">
        <f t="shared" si="12"/>
        <v>100</v>
      </c>
      <c r="T45" s="1557" t="s">
        <v>11</v>
      </c>
      <c r="U45" s="1558">
        <f t="shared" si="13"/>
        <v>100</v>
      </c>
      <c r="V45" s="1557" t="s">
        <v>11</v>
      </c>
      <c r="W45" s="1558">
        <f t="shared" si="14"/>
        <v>100</v>
      </c>
      <c r="X45" s="1551"/>
      <c r="Y45" s="3592"/>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626"/>
      <c r="Q46" s="1556">
        <f t="shared" si="11"/>
        <v>111</v>
      </c>
      <c r="R46" s="1557" t="s">
        <v>10</v>
      </c>
      <c r="S46" s="1558">
        <f t="shared" si="12"/>
        <v>100</v>
      </c>
      <c r="T46" s="1557" t="s">
        <v>10</v>
      </c>
      <c r="U46" s="1558">
        <f t="shared" si="13"/>
        <v>100</v>
      </c>
      <c r="V46" s="1557" t="s">
        <v>10</v>
      </c>
      <c r="W46" s="1558">
        <f t="shared" si="14"/>
        <v>100</v>
      </c>
      <c r="X46" s="1551"/>
      <c r="Y46" s="3626"/>
      <c r="Z46" s="1559">
        <f t="shared" si="15"/>
        <v>111</v>
      </c>
      <c r="AA46" s="1560">
        <f t="shared" si="3"/>
        <v>1</v>
      </c>
      <c r="AB46" s="1560">
        <f t="shared" si="4"/>
        <v>1</v>
      </c>
      <c r="AC46" s="1560">
        <f t="shared" si="5"/>
        <v>1</v>
      </c>
    </row>
    <row r="47" spans="1:29" ht="15">
      <c r="A47" s="604" t="s">
        <v>736</v>
      </c>
      <c r="B47" s="884"/>
      <c r="C47" s="2589" t="s">
        <v>9</v>
      </c>
      <c r="D47" s="2590"/>
      <c r="E47" s="2591">
        <f>住宅销售案例!M42</f>
        <v>21216.775000000001</v>
      </c>
      <c r="F47" s="2592"/>
      <c r="G47" s="2593">
        <f>住宅销售案例!N104</f>
        <v>21527.42</v>
      </c>
      <c r="H47" s="2594"/>
      <c r="I47" s="2591">
        <f>住宅销售案例!M80</f>
        <v>25578.825833333332</v>
      </c>
      <c r="J47" s="2594"/>
      <c r="K47" s="1589"/>
      <c r="L47" s="2127"/>
      <c r="M47" s="2128"/>
      <c r="N47" s="2117"/>
      <c r="O47" s="2128"/>
      <c r="P47" s="3587" t="str">
        <f>A47</f>
        <v>成交单价（元/平方米）</v>
      </c>
      <c r="Q47" s="3587"/>
      <c r="R47" s="3625">
        <f>E47</f>
        <v>21216.775000000001</v>
      </c>
      <c r="S47" s="3625"/>
      <c r="T47" s="3625">
        <f>G47</f>
        <v>21527.42</v>
      </c>
      <c r="U47" s="3625"/>
      <c r="V47" s="3625">
        <f>I47</f>
        <v>25578.825833333332</v>
      </c>
      <c r="W47" s="3625"/>
      <c r="X47" s="1543"/>
      <c r="Y47" s="1565"/>
      <c r="Z47" s="1543"/>
      <c r="AA47" s="1543"/>
      <c r="AB47" s="1543"/>
      <c r="AC47" s="1543"/>
    </row>
    <row r="48" spans="1:29" ht="15.75" thickBot="1">
      <c r="A48" s="612" t="s">
        <v>2760</v>
      </c>
      <c r="B48" s="885"/>
      <c r="C48" s="2595">
        <f>R49</f>
        <v>23406</v>
      </c>
      <c r="D48" s="2596"/>
      <c r="E48" s="2597">
        <f>R48</f>
        <v>22094</v>
      </c>
      <c r="F48" s="2597"/>
      <c r="G48" s="2595">
        <f>T48</f>
        <v>22417</v>
      </c>
      <c r="H48" s="2596"/>
      <c r="I48" s="2597">
        <f>V48</f>
        <v>25707</v>
      </c>
      <c r="J48" s="2596"/>
      <c r="K48" s="1590"/>
      <c r="L48" s="2127"/>
      <c r="M48" s="2128"/>
      <c r="N48" s="2128"/>
      <c r="O48" s="2128"/>
      <c r="P48" s="3587" t="str">
        <f>A48</f>
        <v>比较价格（元/平方米）</v>
      </c>
      <c r="Q48" s="3587"/>
      <c r="R48" s="3625">
        <f>IF(F1="售价",ROUND(PRODUCT(R47,AA7:AA46),0),ROUND(PRODUCT(R47,AA7:AA46),1))</f>
        <v>22094</v>
      </c>
      <c r="S48" s="3625"/>
      <c r="T48" s="3625">
        <f>IF(F1="售价",ROUND(PRODUCT(T47,AB7:AB46),0),ROUND(PRODUCT(T47,AB7:AB46),1))</f>
        <v>22417</v>
      </c>
      <c r="U48" s="3625"/>
      <c r="V48" s="3625">
        <f>IF(F1="售价",ROUND(PRODUCT(V47,AC7:AC46),0),ROUND(PRODUCT(V47,AC7:AC46),1))</f>
        <v>25707</v>
      </c>
      <c r="W48" s="3625"/>
      <c r="X48" s="1543"/>
      <c r="Y48" s="1543"/>
      <c r="Z48" s="1543"/>
      <c r="AA48" s="1543"/>
      <c r="AB48" s="1543"/>
      <c r="AC48" s="1543"/>
    </row>
    <row r="49" spans="1:29" ht="15.75" thickBot="1">
      <c r="A49" s="618" t="s">
        <v>2936</v>
      </c>
      <c r="B49" s="619"/>
      <c r="C49" s="2598">
        <f>R49</f>
        <v>23406</v>
      </c>
      <c r="D49" s="2598"/>
      <c r="E49" s="2598"/>
      <c r="F49" s="2598"/>
      <c r="G49" s="2598"/>
      <c r="H49" s="2598"/>
      <c r="I49" s="2598"/>
      <c r="J49" s="2598"/>
      <c r="K49" s="1591"/>
      <c r="L49" s="2127"/>
      <c r="M49" s="2128"/>
      <c r="N49" s="2128"/>
      <c r="O49" s="2128"/>
      <c r="P49" s="3608" t="str">
        <f>A49</f>
        <v>估价对象XX用房的比较价格（楼面单价，元/平方米）</v>
      </c>
      <c r="Q49" s="3609"/>
      <c r="R49" s="3624">
        <f>IF(F1="售价",ROUND(AVERAGE(R48:V48),0),ROUND(AVERAGE(R48:V48),1))</f>
        <v>23406</v>
      </c>
      <c r="S49" s="3624"/>
      <c r="T49" s="3624"/>
      <c r="U49" s="3624"/>
      <c r="V49" s="3624"/>
      <c r="W49" s="362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f>IF(E47&lt;E48,E48/E47-1,E47/E48-1)</f>
        <v>4.1345821879149813E-2</v>
      </c>
      <c r="F52" s="624" t="str">
        <f>IF(OR(E52&gt;=0.3,E52&lt;=-0.3),"超过30%","")</f>
        <v/>
      </c>
      <c r="G52" s="623">
        <f>IF(G47&lt;G48,G48/G47-1,G47/G48-1)</f>
        <v>4.1323112569922493E-2</v>
      </c>
      <c r="H52" s="624" t="str">
        <f>IF(OR(G52&gt;=0.3,G52&lt;=-0.3),"超过30%","")</f>
        <v/>
      </c>
      <c r="I52" s="623">
        <f>IF(I47&lt;I48,I48/I47-1,I47/I48-1)</f>
        <v>5.0109480201252499E-3</v>
      </c>
      <c r="J52" s="624"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f>IF(E48&lt;G48,G48/E48-1,E48/G48-1)</f>
        <v>1.4619353670679791E-2</v>
      </c>
      <c r="F53" s="624" t="str">
        <f>IF(OR(E53&gt;=0.2,E53&lt;=-0.2),"超过20%","")</f>
        <v/>
      </c>
      <c r="G53" s="623">
        <f>IF(G48&lt;I48,I48/G48-1,G48/I48-1)</f>
        <v>0.14676361689789008</v>
      </c>
      <c r="H53" s="624" t="str">
        <f>IF(OR(G53&gt;=0.2,G53&lt;=-0.2),"超过20%","")</f>
        <v/>
      </c>
      <c r="I53" s="623">
        <f>IF(I48&lt;E48,E48/I48-1,I48/E48-1)</f>
        <v>0.16352855978998826</v>
      </c>
      <c r="J53" s="624"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f>IF(E47&lt;G47,G47/E47-1,E47/G47-1)</f>
        <v>1.4641480620876557E-2</v>
      </c>
      <c r="F54" s="624" t="str">
        <f>IF(OR(E54&gt;=0.3,E54&lt;=-0.3),"超过30%","")</f>
        <v/>
      </c>
      <c r="G54" s="623">
        <f>IF(G47&lt;I47,I47/G47-1,G47/I47-1)</f>
        <v>0.18819746320429176</v>
      </c>
      <c r="H54" s="624" t="str">
        <f>IF(OR(G54&gt;=0.3,G54&lt;=-0.3),"超过30%","")</f>
        <v/>
      </c>
      <c r="I54" s="623">
        <f>IF(I47&lt;E47,E47/I47-1,I47/E47-1)</f>
        <v>0.20559443333557192</v>
      </c>
      <c r="J54" s="624"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v>100</v>
      </c>
      <c r="E59" s="647">
        <v>100</v>
      </c>
      <c r="F59" s="647">
        <v>100</v>
      </c>
      <c r="G59" s="647">
        <v>100</v>
      </c>
      <c r="H59" s="647">
        <v>99.5</v>
      </c>
      <c r="I59" s="647">
        <v>99.5</v>
      </c>
      <c r="J59" s="647">
        <v>99.5</v>
      </c>
      <c r="K59" s="647">
        <v>99.5</v>
      </c>
      <c r="L59" s="647">
        <v>99.5</v>
      </c>
      <c r="M59" s="647">
        <v>99</v>
      </c>
      <c r="N59" s="647">
        <v>99</v>
      </c>
      <c r="O59" s="647">
        <v>99</v>
      </c>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577</v>
      </c>
      <c r="B63" s="662" t="s">
        <v>534</v>
      </c>
      <c r="C63" s="701" t="str">
        <f>C9</f>
        <v>住宅</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2（含）-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v>2</v>
      </c>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99</v>
      </c>
      <c r="E83" s="676">
        <f>D83-$K21</f>
        <v>98</v>
      </c>
      <c r="F83" s="676">
        <f>E83-$K21</f>
        <v>97</v>
      </c>
      <c r="G83" s="676">
        <f>F83-$K21</f>
        <v>96</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2257</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746</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747</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v>0</v>
      </c>
      <c r="D103" s="727">
        <v>100000</v>
      </c>
      <c r="E103" s="727">
        <v>200000</v>
      </c>
      <c r="F103" s="727">
        <v>300000</v>
      </c>
      <c r="G103" s="727">
        <v>400000</v>
      </c>
      <c r="H103" s="727">
        <v>500000</v>
      </c>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v>100</v>
      </c>
      <c r="D104" s="668">
        <v>103</v>
      </c>
      <c r="E104" s="668">
        <v>106</v>
      </c>
      <c r="F104" s="668">
        <v>106</v>
      </c>
      <c r="G104" s="668">
        <v>108</v>
      </c>
      <c r="H104" s="668">
        <v>110</v>
      </c>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2556</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754</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733</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56.25">
      <c r="A7" s="1778" t="s">
        <v>2747</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2942</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18.75">
      <c r="A21" s="1774" t="s">
        <v>2074</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4"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557" t="s">
        <v>1007</v>
      </c>
      <c r="B18" s="1147" t="s">
        <v>1446</v>
      </c>
      <c r="C18" s="1124" t="s">
        <v>1447</v>
      </c>
      <c r="D18" s="1125"/>
      <c r="E18" s="1147">
        <v>1</v>
      </c>
      <c r="F18" s="1126" t="s">
        <v>1448</v>
      </c>
      <c r="G18" s="1127"/>
      <c r="H18" s="1098"/>
      <c r="I18" s="1098"/>
    </row>
    <row r="19" spans="1:9" s="1582" customFormat="1" ht="19.5" customHeight="1">
      <c r="A19" s="3557"/>
      <c r="B19" s="3557" t="s">
        <v>1449</v>
      </c>
      <c r="C19" s="1124" t="s">
        <v>1450</v>
      </c>
      <c r="D19" s="1125"/>
      <c r="E19" s="1147">
        <v>0.9</v>
      </c>
      <c r="F19" s="1126" t="s">
        <v>1451</v>
      </c>
      <c r="G19" s="1127"/>
      <c r="H19" s="1098"/>
      <c r="I19" s="1098"/>
    </row>
    <row r="20" spans="1:9" s="1582" customFormat="1" ht="19.5" customHeight="1">
      <c r="A20" s="3557"/>
      <c r="B20" s="3557"/>
      <c r="C20" s="1124" t="s">
        <v>1452</v>
      </c>
      <c r="D20" s="1125"/>
      <c r="E20" s="1147">
        <v>1.1000000000000001</v>
      </c>
      <c r="F20" s="1126" t="s">
        <v>1453</v>
      </c>
      <c r="G20" s="1127"/>
      <c r="H20" s="1098"/>
      <c r="I20" s="1098"/>
    </row>
    <row r="21" spans="1:9" s="1582" customFormat="1" ht="19.5" customHeight="1">
      <c r="A21" s="3557"/>
      <c r="B21" s="3557"/>
      <c r="C21" s="1124" t="s">
        <v>1454</v>
      </c>
      <c r="D21" s="1125"/>
      <c r="E21" s="1147">
        <v>0.8</v>
      </c>
      <c r="F21" s="1126" t="s">
        <v>1455</v>
      </c>
      <c r="G21" s="1127"/>
      <c r="H21" s="1098"/>
      <c r="I21" s="1098"/>
    </row>
    <row r="22" spans="1:9" s="1582" customFormat="1" ht="19.5" customHeight="1">
      <c r="A22" s="3557"/>
      <c r="B22" s="3557"/>
      <c r="C22" s="1124" t="s">
        <v>1456</v>
      </c>
      <c r="D22" s="1125"/>
      <c r="E22" s="1147">
        <v>0.5</v>
      </c>
      <c r="F22" s="1126"/>
      <c r="G22" s="1127"/>
      <c r="H22" s="1098"/>
      <c r="I22" s="1098"/>
    </row>
    <row r="23" spans="1:9" s="1582" customFormat="1" ht="19.5" customHeight="1">
      <c r="A23" s="3557" t="s">
        <v>1029</v>
      </c>
      <c r="B23" s="1147" t="s">
        <v>1446</v>
      </c>
      <c r="C23" s="1124" t="s">
        <v>1457</v>
      </c>
      <c r="D23" s="1125"/>
      <c r="E23" s="1147">
        <v>1</v>
      </c>
      <c r="F23" s="1126" t="s">
        <v>1458</v>
      </c>
      <c r="G23" s="1127"/>
      <c r="H23" s="1098"/>
      <c r="I23" s="1098"/>
    </row>
    <row r="24" spans="1:9" s="1582" customFormat="1" ht="19.5" customHeight="1">
      <c r="A24" s="3557"/>
      <c r="B24" s="3557" t="s">
        <v>1449</v>
      </c>
      <c r="C24" s="1124" t="s">
        <v>1459</v>
      </c>
      <c r="D24" s="1125"/>
      <c r="E24" s="1147">
        <v>0.5</v>
      </c>
      <c r="F24" s="1126"/>
      <c r="G24" s="1127"/>
      <c r="H24" s="1098"/>
      <c r="I24" s="1098"/>
    </row>
    <row r="25" spans="1:9" s="1582" customFormat="1" ht="19.5" customHeight="1">
      <c r="A25" s="3557"/>
      <c r="B25" s="3557"/>
      <c r="C25" s="1124" t="s">
        <v>1460</v>
      </c>
      <c r="D25" s="1125"/>
      <c r="E25" s="1147">
        <v>1.1000000000000001</v>
      </c>
      <c r="F25" s="1126"/>
      <c r="G25" s="1127"/>
      <c r="H25" s="1098"/>
      <c r="I25" s="1098"/>
    </row>
    <row r="26" spans="1:9" s="1582" customFormat="1" ht="19.5" customHeight="1">
      <c r="A26" s="3557"/>
      <c r="B26" s="3557"/>
      <c r="C26" s="1124" t="s">
        <v>1461</v>
      </c>
      <c r="D26" s="1125"/>
      <c r="E26" s="1147">
        <v>1.1000000000000001</v>
      </c>
      <c r="F26" s="1126"/>
      <c r="G26" s="1127"/>
      <c r="H26" s="1098"/>
      <c r="I26" s="1098"/>
    </row>
    <row r="27" spans="1:9" s="1582" customFormat="1" ht="19.5" customHeight="1">
      <c r="A27" s="3557"/>
      <c r="B27" s="3557"/>
      <c r="C27" s="1124" t="s">
        <v>1462</v>
      </c>
      <c r="D27" s="1125"/>
      <c r="E27" s="1147">
        <v>0.9</v>
      </c>
      <c r="F27" s="1126" t="s">
        <v>1463</v>
      </c>
      <c r="G27" s="1127"/>
      <c r="H27" s="1098"/>
      <c r="I27" s="1098"/>
    </row>
    <row r="28" spans="1:9" s="1582" customFormat="1" ht="19.5" customHeight="1">
      <c r="A28" s="3557"/>
      <c r="B28" s="3557"/>
      <c r="C28" s="1124" t="s">
        <v>1464</v>
      </c>
      <c r="D28" s="1125"/>
      <c r="E28" s="1147">
        <v>0.9</v>
      </c>
      <c r="F28" s="1126" t="s">
        <v>1465</v>
      </c>
      <c r="G28" s="1127"/>
      <c r="H28" s="1098"/>
      <c r="I28" s="1098"/>
    </row>
    <row r="29" spans="1:9" s="1582" customFormat="1" ht="19.5" customHeight="1">
      <c r="A29" s="3557"/>
      <c r="B29" s="3557"/>
      <c r="C29" s="1124" t="s">
        <v>1466</v>
      </c>
      <c r="D29" s="1125"/>
      <c r="E29" s="1147">
        <v>0.9</v>
      </c>
      <c r="F29" s="1126" t="s">
        <v>1467</v>
      </c>
      <c r="G29" s="1127"/>
      <c r="H29" s="1098"/>
      <c r="I29" s="1098"/>
    </row>
    <row r="30" spans="1:9" s="1582" customFormat="1" ht="19.5" customHeight="1">
      <c r="A30" s="3557"/>
      <c r="B30" s="3557"/>
      <c r="C30" s="1124" t="s">
        <v>1468</v>
      </c>
      <c r="D30" s="1125"/>
      <c r="E30" s="1147">
        <v>0.9</v>
      </c>
      <c r="F30" s="1126" t="s">
        <v>1469</v>
      </c>
      <c r="G30" s="1127"/>
      <c r="H30" s="1098"/>
      <c r="I30" s="1098"/>
    </row>
    <row r="31" spans="1:9" s="1582" customFormat="1" ht="19.5" customHeight="1">
      <c r="A31" s="3557"/>
      <c r="B31" s="3557"/>
      <c r="C31" s="1124" t="s">
        <v>1470</v>
      </c>
      <c r="D31" s="1125"/>
      <c r="E31" s="1147">
        <v>0.8</v>
      </c>
      <c r="F31" s="1126" t="s">
        <v>1471</v>
      </c>
      <c r="G31" s="1127"/>
      <c r="H31" s="1098"/>
      <c r="I31" s="1098"/>
    </row>
    <row r="32" spans="1:9" s="1582" customFormat="1" ht="19.5" customHeight="1">
      <c r="A32" s="3557"/>
      <c r="B32" s="3557"/>
      <c r="C32" s="1124" t="s">
        <v>1472</v>
      </c>
      <c r="D32" s="1125"/>
      <c r="E32" s="1147">
        <v>0.8</v>
      </c>
      <c r="F32" s="1126" t="s">
        <v>1473</v>
      </c>
      <c r="G32" s="1127"/>
      <c r="H32" s="1098"/>
      <c r="I32" s="1098"/>
    </row>
    <row r="33" spans="1:9" s="1582" customFormat="1" ht="19.5" customHeight="1">
      <c r="A33" s="3557" t="s">
        <v>1474</v>
      </c>
      <c r="B33" s="1147" t="s">
        <v>1446</v>
      </c>
      <c r="C33" s="1124" t="s">
        <v>1475</v>
      </c>
      <c r="D33" s="1125"/>
      <c r="E33" s="1147">
        <v>1</v>
      </c>
      <c r="F33" s="1126" t="s">
        <v>1476</v>
      </c>
      <c r="G33" s="1127"/>
      <c r="H33" s="1098"/>
      <c r="I33" s="1098"/>
    </row>
    <row r="34" spans="1:9" s="1582" customFormat="1" ht="19.5" customHeight="1">
      <c r="A34" s="3557"/>
      <c r="B34" s="1147" t="s">
        <v>1449</v>
      </c>
      <c r="C34" s="1124" t="s">
        <v>1477</v>
      </c>
      <c r="D34" s="1125"/>
      <c r="E34" s="1147">
        <v>1.5</v>
      </c>
      <c r="F34" s="1126" t="s">
        <v>1478</v>
      </c>
      <c r="G34" s="1127"/>
      <c r="H34" s="1098"/>
      <c r="I34" s="1098"/>
    </row>
    <row r="35" spans="1:9" s="1582" customFormat="1" ht="19.5" customHeight="1">
      <c r="A35" s="3557" t="s">
        <v>1432</v>
      </c>
      <c r="B35" s="1147" t="s">
        <v>1446</v>
      </c>
      <c r="C35" s="1124" t="s">
        <v>1479</v>
      </c>
      <c r="D35" s="1125"/>
      <c r="E35" s="1147">
        <v>1</v>
      </c>
      <c r="F35" s="1126" t="s">
        <v>1480</v>
      </c>
      <c r="G35" s="1127"/>
      <c r="H35" s="1098"/>
      <c r="I35" s="1098"/>
    </row>
    <row r="36" spans="1:9" s="1582" customFormat="1" ht="19.5" customHeight="1">
      <c r="A36" s="3557"/>
      <c r="B36" s="3557" t="s">
        <v>1449</v>
      </c>
      <c r="C36" s="1124" t="s">
        <v>1481</v>
      </c>
      <c r="D36" s="1125"/>
      <c r="E36" s="1147">
        <v>1</v>
      </c>
      <c r="F36" s="1126" t="s">
        <v>1482</v>
      </c>
      <c r="G36" s="1127"/>
      <c r="H36" s="1098"/>
      <c r="I36" s="1098"/>
    </row>
    <row r="37" spans="1:9" s="1582" customFormat="1" ht="19.5" customHeight="1">
      <c r="A37" s="3557"/>
      <c r="B37" s="3557"/>
      <c r="C37" s="1124" t="s">
        <v>1483</v>
      </c>
      <c r="D37" s="1125"/>
      <c r="E37" s="1147">
        <v>1.5</v>
      </c>
      <c r="F37" s="1126" t="s">
        <v>1484</v>
      </c>
      <c r="G37" s="1127"/>
      <c r="H37" s="1098"/>
      <c r="I37" s="1098"/>
    </row>
    <row r="38" spans="1:9" s="1582" customFormat="1" ht="19.5" customHeight="1">
      <c r="A38" s="3557"/>
      <c r="B38" s="3557"/>
      <c r="C38" s="1124" t="s">
        <v>1485</v>
      </c>
      <c r="D38" s="1125"/>
      <c r="E38" s="1147">
        <v>1</v>
      </c>
      <c r="F38" s="1126" t="s">
        <v>1486</v>
      </c>
      <c r="G38" s="1127"/>
      <c r="H38" s="1098"/>
      <c r="I38" s="1098"/>
    </row>
    <row r="39" spans="1:9" s="1582" customFormat="1" ht="19.5" customHeight="1">
      <c r="A39" s="3557"/>
      <c r="B39" s="3557"/>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557" t="s">
        <v>1501</v>
      </c>
      <c r="C61" s="1061" t="s">
        <v>1502</v>
      </c>
      <c r="D61" s="1061" t="s">
        <v>1503</v>
      </c>
      <c r="E61" s="1132">
        <v>0.5</v>
      </c>
      <c r="F61" s="1147">
        <v>80</v>
      </c>
      <c r="H61" s="1098">
        <f>SUMIF(C59:C119,基准地价!C8,E59:E119)</f>
        <v>0</v>
      </c>
    </row>
    <row r="62" spans="1:8" s="1098" customFormat="1" ht="24">
      <c r="A62" s="1147">
        <v>2</v>
      </c>
      <c r="B62" s="3557"/>
      <c r="C62" s="1061" t="s">
        <v>1504</v>
      </c>
      <c r="D62" s="1061" t="s">
        <v>1505</v>
      </c>
      <c r="E62" s="1132">
        <v>0.5</v>
      </c>
      <c r="F62" s="1147">
        <v>80</v>
      </c>
    </row>
    <row r="63" spans="1:8" s="1098" customFormat="1" ht="36">
      <c r="A63" s="1147">
        <v>3</v>
      </c>
      <c r="B63" s="3557"/>
      <c r="C63" s="1061" t="s">
        <v>1506</v>
      </c>
      <c r="D63" s="1061" t="s">
        <v>1507</v>
      </c>
      <c r="E63" s="1132">
        <v>0.5</v>
      </c>
      <c r="F63" s="1147">
        <v>80</v>
      </c>
    </row>
    <row r="64" spans="1:8" s="1098" customFormat="1" ht="36">
      <c r="A64" s="1147">
        <v>4</v>
      </c>
      <c r="B64" s="3557"/>
      <c r="C64" s="1061" t="s">
        <v>1508</v>
      </c>
      <c r="D64" s="1061" t="s">
        <v>1509</v>
      </c>
      <c r="E64" s="1132">
        <v>0.4</v>
      </c>
      <c r="F64" s="1147">
        <v>60</v>
      </c>
    </row>
    <row r="65" spans="1:6" s="1098" customFormat="1" ht="36">
      <c r="A65" s="1147">
        <v>5</v>
      </c>
      <c r="B65" s="3557"/>
      <c r="C65" s="1061" t="s">
        <v>1510</v>
      </c>
      <c r="D65" s="1061" t="s">
        <v>1511</v>
      </c>
      <c r="E65" s="1132">
        <v>0.2</v>
      </c>
      <c r="F65" s="1147">
        <v>30</v>
      </c>
    </row>
    <row r="66" spans="1:6" s="1098" customFormat="1" ht="36">
      <c r="A66" s="1147">
        <v>6</v>
      </c>
      <c r="B66" s="3557"/>
      <c r="C66" s="1061" t="s">
        <v>1512</v>
      </c>
      <c r="D66" s="1061" t="s">
        <v>1513</v>
      </c>
      <c r="E66" s="1132">
        <v>0.3</v>
      </c>
      <c r="F66" s="1147">
        <v>50</v>
      </c>
    </row>
    <row r="67" spans="1:6" s="1098" customFormat="1" ht="36">
      <c r="A67" s="1147">
        <v>7</v>
      </c>
      <c r="B67" s="3557"/>
      <c r="C67" s="1061" t="s">
        <v>1514</v>
      </c>
      <c r="D67" s="1061" t="s">
        <v>1515</v>
      </c>
      <c r="E67" s="1132">
        <v>0.2</v>
      </c>
      <c r="F67" s="1147">
        <v>30</v>
      </c>
    </row>
    <row r="68" spans="1:6" s="1098" customFormat="1" ht="36">
      <c r="A68" s="1147">
        <v>8</v>
      </c>
      <c r="B68" s="3557"/>
      <c r="C68" s="1061" t="s">
        <v>1516</v>
      </c>
      <c r="D68" s="1061" t="s">
        <v>1517</v>
      </c>
      <c r="E68" s="1132">
        <v>0.2</v>
      </c>
      <c r="F68" s="1147">
        <v>30</v>
      </c>
    </row>
    <row r="69" spans="1:6" s="1098" customFormat="1" ht="36">
      <c r="A69" s="1147">
        <v>9</v>
      </c>
      <c r="B69" s="3557"/>
      <c r="C69" s="1061" t="s">
        <v>1518</v>
      </c>
      <c r="D69" s="1061" t="s">
        <v>1519</v>
      </c>
      <c r="E69" s="1132">
        <v>0.2</v>
      </c>
      <c r="F69" s="1147">
        <v>30</v>
      </c>
    </row>
    <row r="70" spans="1:6" s="1098" customFormat="1" ht="48">
      <c r="A70" s="1147">
        <v>10</v>
      </c>
      <c r="B70" s="3557"/>
      <c r="C70" s="1061" t="s">
        <v>1520</v>
      </c>
      <c r="D70" s="1061" t="s">
        <v>1521</v>
      </c>
      <c r="E70" s="1132">
        <v>0.2</v>
      </c>
      <c r="F70" s="1147">
        <v>30</v>
      </c>
    </row>
    <row r="71" spans="1:6" s="1098" customFormat="1" ht="48">
      <c r="A71" s="1147">
        <v>11</v>
      </c>
      <c r="B71" s="3557"/>
      <c r="C71" s="1061" t="s">
        <v>1522</v>
      </c>
      <c r="D71" s="1061" t="s">
        <v>1523</v>
      </c>
      <c r="E71" s="1132">
        <v>0.2</v>
      </c>
      <c r="F71" s="1147">
        <v>30</v>
      </c>
    </row>
    <row r="72" spans="1:6" s="1098" customFormat="1" ht="36">
      <c r="A72" s="1147">
        <v>12</v>
      </c>
      <c r="B72" s="3557"/>
      <c r="C72" s="1061" t="s">
        <v>1524</v>
      </c>
      <c r="D72" s="1061" t="s">
        <v>1525</v>
      </c>
      <c r="E72" s="1132">
        <v>0.5</v>
      </c>
      <c r="F72" s="1147">
        <v>80</v>
      </c>
    </row>
    <row r="73" spans="1:6" s="1098" customFormat="1" ht="24">
      <c r="A73" s="1147">
        <v>13</v>
      </c>
      <c r="B73" s="3557"/>
      <c r="C73" s="1061" t="s">
        <v>1526</v>
      </c>
      <c r="D73" s="1061" t="s">
        <v>1527</v>
      </c>
      <c r="E73" s="1132">
        <v>0.4</v>
      </c>
      <c r="F73" s="1147">
        <v>60</v>
      </c>
    </row>
    <row r="74" spans="1:6" s="1098" customFormat="1" ht="24">
      <c r="A74" s="1147">
        <v>14</v>
      </c>
      <c r="B74" s="3557"/>
      <c r="C74" s="1061" t="s">
        <v>1528</v>
      </c>
      <c r="D74" s="1061" t="s">
        <v>1529</v>
      </c>
      <c r="E74" s="1132">
        <v>0.2</v>
      </c>
      <c r="F74" s="1147">
        <v>30</v>
      </c>
    </row>
    <row r="75" spans="1:6" s="1098" customFormat="1" ht="24">
      <c r="A75" s="1147">
        <v>15</v>
      </c>
      <c r="B75" s="3557"/>
      <c r="C75" s="1061" t="s">
        <v>1530</v>
      </c>
      <c r="D75" s="1061" t="s">
        <v>1531</v>
      </c>
      <c r="E75" s="1132">
        <v>0.2</v>
      </c>
      <c r="F75" s="1147">
        <v>30</v>
      </c>
    </row>
    <row r="76" spans="1:6" s="1098" customFormat="1" ht="24">
      <c r="A76" s="1147">
        <v>16</v>
      </c>
      <c r="B76" s="3557" t="s">
        <v>1532</v>
      </c>
      <c r="C76" s="1061" t="s">
        <v>1533</v>
      </c>
      <c r="D76" s="1061" t="s">
        <v>1534</v>
      </c>
      <c r="E76" s="1132">
        <v>0.5</v>
      </c>
      <c r="F76" s="1147">
        <v>80</v>
      </c>
    </row>
    <row r="77" spans="1:6" s="1098" customFormat="1" ht="24">
      <c r="A77" s="1147">
        <v>17</v>
      </c>
      <c r="B77" s="3557"/>
      <c r="C77" s="1061" t="s">
        <v>1535</v>
      </c>
      <c r="D77" s="1061" t="s">
        <v>1536</v>
      </c>
      <c r="E77" s="1132">
        <v>0.5</v>
      </c>
      <c r="F77" s="1147">
        <v>80</v>
      </c>
    </row>
    <row r="78" spans="1:6" s="1098" customFormat="1" ht="24">
      <c r="A78" s="1147">
        <v>18</v>
      </c>
      <c r="B78" s="3557"/>
      <c r="C78" s="1061" t="s">
        <v>1537</v>
      </c>
      <c r="D78" s="1061" t="s">
        <v>1538</v>
      </c>
      <c r="E78" s="1132">
        <v>0.2</v>
      </c>
      <c r="F78" s="1147">
        <v>30</v>
      </c>
    </row>
    <row r="79" spans="1:6" s="1098" customFormat="1" ht="24">
      <c r="A79" s="1147">
        <v>19</v>
      </c>
      <c r="B79" s="3557"/>
      <c r="C79" s="1061" t="s">
        <v>1539</v>
      </c>
      <c r="D79" s="1061" t="s">
        <v>1540</v>
      </c>
      <c r="E79" s="1132">
        <v>0.5</v>
      </c>
      <c r="F79" s="1147">
        <v>80</v>
      </c>
    </row>
    <row r="80" spans="1:6" s="1098" customFormat="1" ht="36">
      <c r="A80" s="1147">
        <v>20</v>
      </c>
      <c r="B80" s="3557"/>
      <c r="C80" s="1061" t="s">
        <v>1541</v>
      </c>
      <c r="D80" s="1061" t="s">
        <v>1542</v>
      </c>
      <c r="E80" s="1132">
        <v>0.2</v>
      </c>
      <c r="F80" s="1147">
        <v>30</v>
      </c>
    </row>
    <row r="81" spans="1:6" s="1098" customFormat="1" ht="36">
      <c r="A81" s="1147">
        <v>21</v>
      </c>
      <c r="B81" s="3557"/>
      <c r="C81" s="1061" t="s">
        <v>1543</v>
      </c>
      <c r="D81" s="1061" t="s">
        <v>1544</v>
      </c>
      <c r="E81" s="1132">
        <v>0.2</v>
      </c>
      <c r="F81" s="1147">
        <v>30</v>
      </c>
    </row>
    <row r="82" spans="1:6" s="1098" customFormat="1" ht="48">
      <c r="A82" s="1147">
        <v>22</v>
      </c>
      <c r="B82" s="3557"/>
      <c r="C82" s="1061" t="s">
        <v>1545</v>
      </c>
      <c r="D82" s="1061" t="s">
        <v>1546</v>
      </c>
      <c r="E82" s="1132">
        <v>0.2</v>
      </c>
      <c r="F82" s="1147">
        <v>30</v>
      </c>
    </row>
    <row r="83" spans="1:6" s="1098" customFormat="1" ht="48">
      <c r="A83" s="1147">
        <v>23</v>
      </c>
      <c r="B83" s="3557"/>
      <c r="C83" s="1061" t="s">
        <v>1547</v>
      </c>
      <c r="D83" s="1061" t="s">
        <v>1548</v>
      </c>
      <c r="E83" s="1132">
        <v>0.2</v>
      </c>
      <c r="F83" s="1147">
        <v>30</v>
      </c>
    </row>
    <row r="84" spans="1:6" s="1098" customFormat="1" ht="36">
      <c r="A84" s="1147">
        <v>24</v>
      </c>
      <c r="B84" s="3557"/>
      <c r="C84" s="1061" t="s">
        <v>1549</v>
      </c>
      <c r="D84" s="1061" t="s">
        <v>1550</v>
      </c>
      <c r="E84" s="1132">
        <v>0.2</v>
      </c>
      <c r="F84" s="1147">
        <v>30</v>
      </c>
    </row>
    <row r="85" spans="1:6" s="1098" customFormat="1" ht="36">
      <c r="A85" s="1147">
        <v>25</v>
      </c>
      <c r="B85" s="3557"/>
      <c r="C85" s="1061" t="s">
        <v>1551</v>
      </c>
      <c r="D85" s="1061" t="s">
        <v>1552</v>
      </c>
      <c r="E85" s="1132">
        <v>0.5</v>
      </c>
      <c r="F85" s="1147">
        <v>80</v>
      </c>
    </row>
    <row r="86" spans="1:6" s="1098" customFormat="1" ht="36">
      <c r="A86" s="1147">
        <v>26</v>
      </c>
      <c r="B86" s="3557"/>
      <c r="C86" s="1061" t="s">
        <v>1553</v>
      </c>
      <c r="D86" s="1061" t="s">
        <v>1554</v>
      </c>
      <c r="E86" s="1132">
        <v>0.2</v>
      </c>
      <c r="F86" s="1147">
        <v>30</v>
      </c>
    </row>
    <row r="87" spans="1:6" s="1098" customFormat="1" ht="36">
      <c r="A87" s="1147">
        <v>27</v>
      </c>
      <c r="B87" s="3557"/>
      <c r="C87" s="1061" t="s">
        <v>1555</v>
      </c>
      <c r="D87" s="1061" t="s">
        <v>1556</v>
      </c>
      <c r="E87" s="1132">
        <v>0.2</v>
      </c>
      <c r="F87" s="1147">
        <v>30</v>
      </c>
    </row>
    <row r="88" spans="1:6" s="1098" customFormat="1" ht="36">
      <c r="A88" s="1147">
        <v>28</v>
      </c>
      <c r="B88" s="3557"/>
      <c r="C88" s="1061" t="s">
        <v>1557</v>
      </c>
      <c r="D88" s="1061" t="s">
        <v>1558</v>
      </c>
      <c r="E88" s="1132">
        <v>0.2</v>
      </c>
      <c r="F88" s="1147">
        <v>30</v>
      </c>
    </row>
    <row r="89" spans="1:6" s="1098" customFormat="1" ht="24">
      <c r="A89" s="1147">
        <v>29</v>
      </c>
      <c r="B89" s="3557"/>
      <c r="C89" s="1061" t="s">
        <v>1559</v>
      </c>
      <c r="D89" s="1061" t="s">
        <v>1560</v>
      </c>
      <c r="E89" s="1132">
        <v>0.2</v>
      </c>
      <c r="F89" s="1147">
        <v>30</v>
      </c>
    </row>
    <row r="90" spans="1:6" s="1098" customFormat="1" ht="24">
      <c r="A90" s="1147">
        <v>30</v>
      </c>
      <c r="B90" s="3557"/>
      <c r="C90" s="1061" t="s">
        <v>1561</v>
      </c>
      <c r="D90" s="1061" t="s">
        <v>1562</v>
      </c>
      <c r="E90" s="1132">
        <v>0.2</v>
      </c>
      <c r="F90" s="1147">
        <v>30</v>
      </c>
    </row>
    <row r="91" spans="1:6" s="1098" customFormat="1" ht="36">
      <c r="A91" s="1147">
        <v>31</v>
      </c>
      <c r="B91" s="3557"/>
      <c r="C91" s="1061" t="s">
        <v>1563</v>
      </c>
      <c r="D91" s="1061" t="s">
        <v>1564</v>
      </c>
      <c r="E91" s="1132">
        <v>0.2</v>
      </c>
      <c r="F91" s="1147">
        <v>30</v>
      </c>
    </row>
    <row r="92" spans="1:6" s="1098" customFormat="1" ht="24">
      <c r="A92" s="1147">
        <v>32</v>
      </c>
      <c r="B92" s="3557" t="s">
        <v>1565</v>
      </c>
      <c r="C92" s="1147" t="s">
        <v>1566</v>
      </c>
      <c r="D92" s="1061" t="s">
        <v>1567</v>
      </c>
      <c r="E92" s="1132">
        <v>0.2</v>
      </c>
      <c r="F92" s="1147">
        <v>30</v>
      </c>
    </row>
    <row r="93" spans="1:6" s="1098" customFormat="1" ht="36">
      <c r="A93" s="1147">
        <v>33</v>
      </c>
      <c r="B93" s="3557"/>
      <c r="C93" s="1147" t="s">
        <v>1568</v>
      </c>
      <c r="D93" s="1061" t="s">
        <v>1569</v>
      </c>
      <c r="E93" s="1132">
        <v>0.2</v>
      </c>
      <c r="F93" s="1147">
        <v>30</v>
      </c>
    </row>
    <row r="94" spans="1:6" s="1098" customFormat="1" ht="48">
      <c r="A94" s="1147">
        <v>34</v>
      </c>
      <c r="B94" s="3557"/>
      <c r="C94" s="1147" t="s">
        <v>1570</v>
      </c>
      <c r="D94" s="1061" t="s">
        <v>1571</v>
      </c>
      <c r="E94" s="1132">
        <v>0.2</v>
      </c>
      <c r="F94" s="1147">
        <v>30</v>
      </c>
    </row>
    <row r="95" spans="1:6" s="1098" customFormat="1" ht="36">
      <c r="A95" s="1147">
        <v>35</v>
      </c>
      <c r="B95" s="3557"/>
      <c r="C95" s="1147" t="s">
        <v>1572</v>
      </c>
      <c r="D95" s="1061" t="s">
        <v>1573</v>
      </c>
      <c r="E95" s="1132">
        <v>0.2</v>
      </c>
      <c r="F95" s="1147">
        <v>30</v>
      </c>
    </row>
    <row r="96" spans="1:6" s="1098" customFormat="1" ht="48">
      <c r="A96" s="1147">
        <v>36</v>
      </c>
      <c r="B96" s="3557"/>
      <c r="C96" s="1061" t="s">
        <v>1574</v>
      </c>
      <c r="D96" s="1061" t="s">
        <v>1575</v>
      </c>
      <c r="E96" s="1132">
        <v>0.2</v>
      </c>
      <c r="F96" s="1147">
        <v>30</v>
      </c>
    </row>
    <row r="97" spans="1:6" s="1098" customFormat="1" ht="36">
      <c r="A97" s="1147">
        <v>37</v>
      </c>
      <c r="B97" s="3557"/>
      <c r="C97" s="1147" t="s">
        <v>1576</v>
      </c>
      <c r="D97" s="1061" t="s">
        <v>1577</v>
      </c>
      <c r="E97" s="1132">
        <v>0.2</v>
      </c>
      <c r="F97" s="1147">
        <v>30</v>
      </c>
    </row>
    <row r="98" spans="1:6" s="1098" customFormat="1" ht="36">
      <c r="A98" s="1147">
        <v>38</v>
      </c>
      <c r="B98" s="3557"/>
      <c r="C98" s="1147" t="s">
        <v>1578</v>
      </c>
      <c r="D98" s="1061" t="s">
        <v>1579</v>
      </c>
      <c r="E98" s="1132">
        <v>0.2</v>
      </c>
      <c r="F98" s="1147">
        <v>30</v>
      </c>
    </row>
    <row r="99" spans="1:6" s="1098" customFormat="1" ht="36">
      <c r="A99" s="1147">
        <v>39</v>
      </c>
      <c r="B99" s="3557" t="s">
        <v>1580</v>
      </c>
      <c r="C99" s="1147" t="s">
        <v>1581</v>
      </c>
      <c r="D99" s="1061" t="s">
        <v>1582</v>
      </c>
      <c r="E99" s="1132">
        <v>0.3</v>
      </c>
      <c r="F99" s="1147">
        <v>50</v>
      </c>
    </row>
    <row r="100" spans="1:6" s="1098" customFormat="1" ht="24">
      <c r="A100" s="1147">
        <v>40</v>
      </c>
      <c r="B100" s="3557"/>
      <c r="C100" s="1147" t="s">
        <v>1583</v>
      </c>
      <c r="D100" s="1061" t="s">
        <v>1584</v>
      </c>
      <c r="E100" s="1132">
        <v>0.2</v>
      </c>
      <c r="F100" s="1147">
        <v>30</v>
      </c>
    </row>
    <row r="101" spans="1:6" s="1098" customFormat="1" ht="36">
      <c r="A101" s="1147">
        <v>41</v>
      </c>
      <c r="B101" s="3557"/>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557" t="s">
        <v>1595</v>
      </c>
      <c r="C105" s="1147" t="s">
        <v>1596</v>
      </c>
      <c r="D105" s="1061" t="s">
        <v>1597</v>
      </c>
      <c r="E105" s="1132">
        <v>0.2</v>
      </c>
      <c r="F105" s="1147">
        <v>30</v>
      </c>
    </row>
    <row r="106" spans="1:6" s="1098" customFormat="1" ht="36">
      <c r="A106" s="1147">
        <v>46</v>
      </c>
      <c r="B106" s="3557"/>
      <c r="C106" s="1147" t="s">
        <v>1598</v>
      </c>
      <c r="D106" s="1061" t="s">
        <v>1599</v>
      </c>
      <c r="E106" s="1132">
        <v>0.2</v>
      </c>
      <c r="F106" s="1147">
        <v>30</v>
      </c>
    </row>
    <row r="107" spans="1:6" s="1098" customFormat="1" ht="36">
      <c r="A107" s="1147">
        <v>47</v>
      </c>
      <c r="B107" s="3557" t="s">
        <v>1600</v>
      </c>
      <c r="C107" s="1147" t="s">
        <v>1601</v>
      </c>
      <c r="D107" s="1061" t="s">
        <v>1602</v>
      </c>
      <c r="E107" s="1132">
        <v>0.3</v>
      </c>
      <c r="F107" s="1147">
        <v>50</v>
      </c>
    </row>
    <row r="108" spans="1:6" s="1098" customFormat="1" ht="36">
      <c r="A108" s="1147">
        <v>48</v>
      </c>
      <c r="B108" s="3557"/>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557" t="s">
        <v>1611</v>
      </c>
      <c r="C111" s="1147" t="s">
        <v>1612</v>
      </c>
      <c r="D111" s="1061" t="s">
        <v>1613</v>
      </c>
      <c r="E111" s="1132">
        <v>0.2</v>
      </c>
      <c r="F111" s="1147">
        <v>30</v>
      </c>
    </row>
    <row r="112" spans="1:6" s="1098" customFormat="1" ht="24">
      <c r="A112" s="1147">
        <v>52</v>
      </c>
      <c r="B112" s="3557"/>
      <c r="C112" s="1147" t="s">
        <v>1614</v>
      </c>
      <c r="D112" s="1061" t="s">
        <v>1615</v>
      </c>
      <c r="E112" s="1132">
        <v>0.2</v>
      </c>
      <c r="F112" s="1147">
        <v>30</v>
      </c>
    </row>
    <row r="113" spans="1:14" s="1098" customFormat="1" ht="24">
      <c r="A113" s="1147">
        <v>53</v>
      </c>
      <c r="B113" s="3557"/>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557" t="s">
        <v>1624</v>
      </c>
      <c r="C116" s="1147" t="s">
        <v>1625</v>
      </c>
      <c r="D116" s="1061" t="s">
        <v>1626</v>
      </c>
      <c r="E116" s="1132">
        <v>0.2</v>
      </c>
      <c r="F116" s="1147">
        <v>30</v>
      </c>
    </row>
    <row r="117" spans="1:14" ht="36">
      <c r="A117" s="1147">
        <v>57</v>
      </c>
      <c r="B117" s="3557"/>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556" t="s">
        <v>1633</v>
      </c>
      <c r="B121" s="3556"/>
      <c r="C121" s="3556"/>
      <c r="D121" s="3556"/>
      <c r="E121" s="3556"/>
      <c r="F121" s="3556"/>
      <c r="G121" s="3556"/>
      <c r="H121" s="3556"/>
      <c r="I121" s="3556"/>
      <c r="J121" s="355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27" t="s">
        <v>1039</v>
      </c>
      <c r="B1" s="3627"/>
      <c r="C1" s="3627"/>
      <c r="D1" s="3627"/>
      <c r="E1" s="3627"/>
      <c r="F1" s="362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28" t="s">
        <v>1052</v>
      </c>
      <c r="B2" s="3628"/>
      <c r="C2" s="3628"/>
      <c r="D2" s="3628"/>
      <c r="E2" s="3628"/>
      <c r="F2" s="362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2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3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3350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631" t="s">
        <v>2079</v>
      </c>
      <c r="B1" s="3631"/>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H1" zoomScale="80" zoomScaleNormal="80" workbookViewId="0">
      <selection activeCell="AA6" sqref="AA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34" t="s">
        <v>2576</v>
      </c>
      <c r="C1" s="3634"/>
      <c r="D1" s="3634"/>
      <c r="E1" s="3634"/>
      <c r="F1" s="3634"/>
      <c r="G1" s="3633" t="s">
        <v>2577</v>
      </c>
      <c r="H1" s="3633"/>
      <c r="I1" s="3633"/>
      <c r="J1" s="3633"/>
      <c r="K1" s="3633"/>
      <c r="L1" s="3633"/>
      <c r="N1" s="3633" t="s">
        <v>2578</v>
      </c>
      <c r="O1" s="3633"/>
      <c r="P1" s="3633"/>
      <c r="Q1" s="3633"/>
      <c r="R1" s="2616"/>
      <c r="S1" s="3633" t="s">
        <v>2579</v>
      </c>
      <c r="T1" s="3633"/>
      <c r="U1" s="3633"/>
      <c r="V1" s="3633"/>
      <c r="X1" s="3632" t="s">
        <v>2639</v>
      </c>
      <c r="Y1" s="3633"/>
      <c r="Z1" s="3633"/>
      <c r="AA1" s="3633"/>
      <c r="AB1" s="3633"/>
      <c r="AD1" s="3632" t="s">
        <v>2643</v>
      </c>
      <c r="AE1" s="3633"/>
      <c r="AF1" s="3633"/>
      <c r="AG1" s="3633"/>
      <c r="AH1" s="3633"/>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2997</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ROUND(IF(项目基本情况!B7="出让",SUMPRODUCT(PRODUCT(1+P6:P$28)),SUMPRODUCT(PRODUCT(1+P6:P$27))),4)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3339" customFormat="1" ht="13.5" thickBot="1">
      <c r="A6" s="3326" t="s">
        <v>2996</v>
      </c>
      <c r="B6" s="3327">
        <f t="shared" ref="B6" si="13">B7*(1+N6)</f>
        <v>477.19997390765138</v>
      </c>
      <c r="C6" s="3327">
        <f t="shared" ref="C6" si="14">C7*(1+O6)</f>
        <v>351.84874729536665</v>
      </c>
      <c r="D6" s="3327">
        <f t="shared" ref="D6" si="15">C6</f>
        <v>351.84874729536665</v>
      </c>
      <c r="E6" s="3327">
        <f t="shared" ref="E6" si="16">E7*(1+P6)</f>
        <v>682.29768951465201</v>
      </c>
      <c r="F6" s="3327">
        <f t="shared" ref="F6" si="17">F7*(1+Q6)</f>
        <v>315.26985675409043</v>
      </c>
      <c r="G6" s="3328">
        <v>2019</v>
      </c>
      <c r="H6" s="3329">
        <v>3</v>
      </c>
      <c r="I6" s="3329">
        <v>0.61</v>
      </c>
      <c r="J6" s="3329">
        <v>0.67</v>
      </c>
      <c r="K6" s="3329">
        <v>0.6</v>
      </c>
      <c r="L6" s="3330">
        <v>1.03</v>
      </c>
      <c r="M6" s="3331"/>
      <c r="N6" s="3332">
        <f t="shared" ref="N6" si="18">I6/100</f>
        <v>6.0999999999999995E-3</v>
      </c>
      <c r="O6" s="3333">
        <f t="shared" ref="O6" si="19">J6/100</f>
        <v>6.7000000000000002E-3</v>
      </c>
      <c r="P6" s="3333">
        <f t="shared" ref="P6" si="20">K6/100</f>
        <v>6.0000000000000001E-3</v>
      </c>
      <c r="Q6" s="3333">
        <f t="shared" ref="Q6" si="21">L6/100</f>
        <v>1.03E-2</v>
      </c>
      <c r="R6" s="3334"/>
      <c r="S6" s="3335"/>
      <c r="T6" s="3336"/>
      <c r="U6" s="3336"/>
      <c r="V6" s="3336"/>
      <c r="W6" s="3331"/>
      <c r="X6" s="3337">
        <f>ROUND(IF(项目基本情况!B8="出让",SUMPRODUCT(PRODUCT(1+N6:N$28)),SUMPRODUCT(PRODUCT(1+N6:N$27))),4)</f>
        <v>1.5976999999999999</v>
      </c>
      <c r="Y6" s="3337">
        <f>ROUND(IF(项目基本情况!B8="出让",SUMPRODUCT(PRODUCT(1+O6:O$28)),SUMPRODUCT(PRODUCT(1+O6:O$27))),4)</f>
        <v>1.3969</v>
      </c>
      <c r="Z6" s="3337">
        <f t="shared" ref="Z6" si="22">Y6</f>
        <v>1.3969</v>
      </c>
      <c r="AA6" s="3337">
        <f>ROUND(IF(项目基本情况!B8="出让",SUMPRODUCT(PRODUCT(1+P6:P$28)),SUMPRODUCT(PRODUCT(1+P6:P$27))),4)</f>
        <v>1.6662999999999999</v>
      </c>
      <c r="AB6" s="3337">
        <f>ROUND(IF(项目基本情况!B8="出让",SUMPRODUCT(PRODUCT(1+Q6:Q$28)),SUMPRODUCT(PRODUCT(1+Q6:Q$27))),4)</f>
        <v>1.3898999999999999</v>
      </c>
      <c r="AC6" s="3331"/>
      <c r="AD6" s="3338">
        <f>ROUND(AVERAGE(I6:I$28)/100,4)</f>
        <v>2.07E-2</v>
      </c>
      <c r="AE6" s="3338">
        <f>ROUND(AVERAGE(J6:J$28)/100,4)</f>
        <v>1.47E-2</v>
      </c>
      <c r="AF6" s="3338">
        <f t="shared" ref="AF6" si="23">AE6</f>
        <v>1.47E-2</v>
      </c>
      <c r="AG6" s="3338">
        <f>ROUND(AVERAGE(K6:K$28)/100,4)</f>
        <v>2.2599999999999999E-2</v>
      </c>
      <c r="AH6" s="3338">
        <f>ROUND(AVERAGE(L6:L$28)/100,4)</f>
        <v>1.44E-2</v>
      </c>
    </row>
    <row r="7" spans="1:34" s="2722" customFormat="1">
      <c r="A7" s="2617" t="s">
        <v>2994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1.5880000000000001</v>
      </c>
      <c r="Y7" s="2715">
        <f>ROUND(IF(项目基本情况!B8="出让",SUMPRODUCT(PRODUCT(1+O7:O$28)),SUMPRODUCT(PRODUCT(1+O7:O$27))),4)</f>
        <v>1.3875999999999999</v>
      </c>
      <c r="Z7" s="2715">
        <f t="shared" ref="Z7" si="33">Y7</f>
        <v>1.3875999999999999</v>
      </c>
      <c r="AA7" s="2715">
        <f>ROUND(IF(项目基本情况!B8="出让",SUMPRODUCT(PRODUCT(1+P7:P$28)),SUMPRODUCT(PRODUCT(1+P7:P$27))),4)</f>
        <v>1.6563000000000001</v>
      </c>
      <c r="AB7" s="2715">
        <f>ROUND(IF(项目基本情况!B8="出让",SUMPRODUCT(PRODUCT(1+Q7:Q$28)),SUMPRODUCT(PRODUCT(1+Q7:Q$27))),4)</f>
        <v>1.3756999999999999</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2992</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1.5641</v>
      </c>
      <c r="Y8" s="2715">
        <f>ROUND(IF(项目基本情况!B8="出让",SUMPRODUCT(PRODUCT(1+O8:O$28)),SUMPRODUCT(PRODUCT(1+O8:O$27))),4)</f>
        <v>1.3736999999999999</v>
      </c>
      <c r="Z8" s="2715">
        <f t="shared" ref="Z8" si="43">Y8</f>
        <v>1.3736999999999999</v>
      </c>
      <c r="AA8" s="2715">
        <f>ROUND(IF(项目基本情况!B8="出让",SUMPRODUCT(PRODUCT(1+P8:P$28)),SUMPRODUCT(PRODUCT(1+P8:P$27))),4)</f>
        <v>1.6298999999999999</v>
      </c>
      <c r="AB8" s="2715">
        <f>ROUND(IF(项目基本情况!B8="出让",SUMPRODUCT(PRODUCT(1+Q8:Q$28)),SUMPRODUCT(PRODUCT(1+Q8:Q$27))),4)</f>
        <v>1.3588</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2989</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636">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2979</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636"/>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2980</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636"/>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2976</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642"/>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2967</v>
      </c>
      <c r="B13" s="3095">
        <v>439</v>
      </c>
      <c r="C13" s="3095">
        <v>327</v>
      </c>
      <c r="D13" s="3095">
        <f t="shared" si="76"/>
        <v>327</v>
      </c>
      <c r="E13" s="3095">
        <v>627</v>
      </c>
      <c r="F13" s="3096">
        <v>283</v>
      </c>
      <c r="G13" s="3641">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2971</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636"/>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2581</v>
      </c>
      <c r="B15" s="2630">
        <f t="shared" si="88"/>
        <v>419.31181600000002</v>
      </c>
      <c r="C15" s="2630">
        <f t="shared" si="88"/>
        <v>313.95436800000004</v>
      </c>
      <c r="D15" s="2630">
        <f t="shared" si="76"/>
        <v>313.95436800000004</v>
      </c>
      <c r="E15" s="2630">
        <f t="shared" si="89"/>
        <v>596.63028431999999</v>
      </c>
      <c r="F15" s="2630">
        <f t="shared" si="89"/>
        <v>274.74220703999998</v>
      </c>
      <c r="G15" s="3636"/>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2582</v>
      </c>
      <c r="B16" s="2630">
        <f t="shared" si="88"/>
        <v>405.524</v>
      </c>
      <c r="C16" s="2630">
        <f t="shared" si="88"/>
        <v>307.79840000000002</v>
      </c>
      <c r="D16" s="2630">
        <f t="shared" si="76"/>
        <v>307.79840000000002</v>
      </c>
      <c r="E16" s="2630">
        <f t="shared" si="89"/>
        <v>574.67759999999998</v>
      </c>
      <c r="F16" s="2630">
        <f t="shared" si="89"/>
        <v>270.20280000000002</v>
      </c>
      <c r="G16" s="3642"/>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641">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636"/>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636"/>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637"/>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635">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636"/>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636"/>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637"/>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635">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636"/>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636"/>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637"/>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2640</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2583</v>
      </c>
      <c r="B29" s="2622">
        <v>299</v>
      </c>
      <c r="C29" s="2622">
        <v>252</v>
      </c>
      <c r="D29" s="2622">
        <f t="shared" si="98"/>
        <v>252</v>
      </c>
      <c r="E29" s="2622">
        <v>409</v>
      </c>
      <c r="F29" s="2623">
        <v>227</v>
      </c>
      <c r="G29" s="3638">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2584</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639"/>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2585</v>
      </c>
      <c r="B31" s="2630">
        <f t="shared" si="107"/>
        <v>288.2649053828776</v>
      </c>
      <c r="C31" s="2630">
        <f t="shared" si="107"/>
        <v>243.64564425013293</v>
      </c>
      <c r="D31" s="2630">
        <f t="shared" si="98"/>
        <v>243.64564425013293</v>
      </c>
      <c r="E31" s="2630">
        <f t="shared" si="108"/>
        <v>393.31080825986544</v>
      </c>
      <c r="F31" s="2630">
        <f t="shared" si="108"/>
        <v>223.07903790551154</v>
      </c>
      <c r="G31" s="3639"/>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2586</v>
      </c>
      <c r="B32" s="2630">
        <f t="shared" si="107"/>
        <v>282.50186729015837</v>
      </c>
      <c r="C32" s="2630">
        <f t="shared" si="107"/>
        <v>238.09796174155468</v>
      </c>
      <c r="D32" s="2630">
        <f t="shared" si="98"/>
        <v>238.09796174155468</v>
      </c>
      <c r="E32" s="2630">
        <f t="shared" si="108"/>
        <v>385.33438646014054</v>
      </c>
      <c r="F32" s="2630">
        <f t="shared" si="108"/>
        <v>221.55034055567739</v>
      </c>
      <c r="G32" s="3640"/>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2587</v>
      </c>
      <c r="B33" s="2660">
        <v>278</v>
      </c>
      <c r="C33" s="2660">
        <v>234</v>
      </c>
      <c r="D33" s="2660">
        <f t="shared" si="98"/>
        <v>234</v>
      </c>
      <c r="E33" s="2660">
        <v>379</v>
      </c>
      <c r="F33" s="2661">
        <v>220</v>
      </c>
      <c r="G33" s="3635">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2588</v>
      </c>
      <c r="B34" s="2630">
        <f>B33/(1+N33)</f>
        <v>275.49301357645425</v>
      </c>
      <c r="C34" s="2630">
        <f>C33/(1+O33)</f>
        <v>232.41954707985698</v>
      </c>
      <c r="D34" s="2630">
        <f t="shared" si="98"/>
        <v>232.41954707985698</v>
      </c>
      <c r="E34" s="2630">
        <f t="shared" ref="E34:F36" si="109">E33/(1+P33)</f>
        <v>375.32184591008121</v>
      </c>
      <c r="F34" s="2630">
        <f t="shared" si="109"/>
        <v>218.03766105054513</v>
      </c>
      <c r="G34" s="3636"/>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2589</v>
      </c>
      <c r="B35" s="2630">
        <f>B34/(1+N34)</f>
        <v>275.24529281292263</v>
      </c>
      <c r="C35" s="2630">
        <f>C34/(1+O34)</f>
        <v>231.74747938962707</v>
      </c>
      <c r="D35" s="2630">
        <f t="shared" si="98"/>
        <v>231.74747938962707</v>
      </c>
      <c r="E35" s="2630">
        <f t="shared" si="109"/>
        <v>375.35938184826603</v>
      </c>
      <c r="F35" s="2630">
        <f t="shared" si="109"/>
        <v>216.78033510692495</v>
      </c>
      <c r="G35" s="3636"/>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2590</v>
      </c>
      <c r="B36" s="2630">
        <f>B35/(1+N35)</f>
        <v>275.19025476197027</v>
      </c>
      <c r="C36" s="2662">
        <v>232</v>
      </c>
      <c r="D36" s="2662">
        <f t="shared" si="98"/>
        <v>232</v>
      </c>
      <c r="E36" s="2630">
        <f t="shared" si="109"/>
        <v>375.65990977608692</v>
      </c>
      <c r="F36" s="2630">
        <f t="shared" si="109"/>
        <v>214.12518283971252</v>
      </c>
      <c r="G36" s="3637"/>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2591</v>
      </c>
      <c r="B37" s="2622">
        <v>275</v>
      </c>
      <c r="C37" s="2622">
        <v>232</v>
      </c>
      <c r="D37" s="2622">
        <f t="shared" si="98"/>
        <v>232</v>
      </c>
      <c r="E37" s="2622">
        <v>376</v>
      </c>
      <c r="F37" s="2623">
        <v>213</v>
      </c>
      <c r="G37" s="3635">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2592</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636">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2593</v>
      </c>
      <c r="B39" s="2630">
        <f t="shared" si="110"/>
        <v>275.19335084830601</v>
      </c>
      <c r="C39" s="2630">
        <f t="shared" si="110"/>
        <v>230.18088050139744</v>
      </c>
      <c r="D39" s="2630">
        <f t="shared" si="98"/>
        <v>230.18088050139744</v>
      </c>
      <c r="E39" s="2630">
        <f t="shared" si="111"/>
        <v>377.58482925212331</v>
      </c>
      <c r="F39" s="2630">
        <f t="shared" si="111"/>
        <v>210.90687997847917</v>
      </c>
      <c r="G39" s="3636">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2594</v>
      </c>
      <c r="B40" s="2630">
        <f t="shared" si="110"/>
        <v>276.29854502841971</v>
      </c>
      <c r="C40" s="2630">
        <f t="shared" si="110"/>
        <v>229.79023709833027</v>
      </c>
      <c r="D40" s="2630">
        <f t="shared" si="98"/>
        <v>229.79023709833027</v>
      </c>
      <c r="E40" s="2630">
        <f t="shared" si="111"/>
        <v>379.78759731655936</v>
      </c>
      <c r="F40" s="2630">
        <f t="shared" si="111"/>
        <v>211.32953905659235</v>
      </c>
      <c r="G40" s="3637">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2595</v>
      </c>
      <c r="B41" s="2622">
        <v>269</v>
      </c>
      <c r="C41" s="2622">
        <v>221</v>
      </c>
      <c r="D41" s="2622">
        <f t="shared" si="98"/>
        <v>221</v>
      </c>
      <c r="E41" s="2622">
        <v>373</v>
      </c>
      <c r="F41" s="2623">
        <v>196</v>
      </c>
      <c r="G41" s="3635">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2596</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636">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2597</v>
      </c>
      <c r="B43" s="2630">
        <f t="shared" si="112"/>
        <v>242.95398227588385</v>
      </c>
      <c r="C43" s="2630">
        <f t="shared" si="112"/>
        <v>199.59137053614126</v>
      </c>
      <c r="D43" s="2630">
        <f t="shared" si="98"/>
        <v>199.59137053614126</v>
      </c>
      <c r="E43" s="2630">
        <f t="shared" si="113"/>
        <v>335.92189522342125</v>
      </c>
      <c r="F43" s="2630">
        <f t="shared" si="113"/>
        <v>183.10139991109489</v>
      </c>
      <c r="G43" s="3636">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2598</v>
      </c>
      <c r="B44" s="2630">
        <f t="shared" si="112"/>
        <v>232.06990378821649</v>
      </c>
      <c r="C44" s="2630">
        <f t="shared" si="112"/>
        <v>192.74878854286936</v>
      </c>
      <c r="D44" s="2630">
        <f t="shared" si="98"/>
        <v>192.74878854286936</v>
      </c>
      <c r="E44" s="2630">
        <f t="shared" si="113"/>
        <v>319.71247284992984</v>
      </c>
      <c r="F44" s="2630">
        <f t="shared" si="113"/>
        <v>175.67053622862409</v>
      </c>
      <c r="G44" s="3637">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2599</v>
      </c>
      <c r="B45" s="2622">
        <v>220</v>
      </c>
      <c r="C45" s="2622">
        <v>187</v>
      </c>
      <c r="D45" s="2622">
        <f t="shared" si="98"/>
        <v>187</v>
      </c>
      <c r="E45" s="2622">
        <v>301</v>
      </c>
      <c r="F45" s="2623">
        <v>168</v>
      </c>
      <c r="G45" s="3635">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2600</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636">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2601</v>
      </c>
      <c r="B47" s="2630">
        <f t="shared" si="114"/>
        <v>210.630522469011</v>
      </c>
      <c r="C47" s="2630">
        <f t="shared" si="114"/>
        <v>181.69567812247232</v>
      </c>
      <c r="D47" s="2630">
        <f t="shared" si="98"/>
        <v>181.69567812247232</v>
      </c>
      <c r="E47" s="2630">
        <f t="shared" si="115"/>
        <v>286.13517466736738</v>
      </c>
      <c r="F47" s="2630">
        <f t="shared" si="115"/>
        <v>165.47535084591149</v>
      </c>
      <c r="G47" s="3636">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2602</v>
      </c>
      <c r="B48" s="2630">
        <f t="shared" si="114"/>
        <v>208.83454537875372</v>
      </c>
      <c r="C48" s="2630">
        <f t="shared" si="114"/>
        <v>183.77230517090351</v>
      </c>
      <c r="D48" s="2630">
        <f t="shared" si="98"/>
        <v>183.77230517090351</v>
      </c>
      <c r="E48" s="2630">
        <f t="shared" si="115"/>
        <v>281.10342338870947</v>
      </c>
      <c r="F48" s="2630">
        <f t="shared" si="115"/>
        <v>168.97309388942256</v>
      </c>
      <c r="G48" s="3637">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2603</v>
      </c>
      <c r="B49" s="2660">
        <v>214</v>
      </c>
      <c r="C49" s="2660">
        <v>188</v>
      </c>
      <c r="D49" s="2660">
        <f t="shared" si="98"/>
        <v>188</v>
      </c>
      <c r="E49" s="2660">
        <v>289</v>
      </c>
      <c r="F49" s="2661">
        <v>166</v>
      </c>
      <c r="G49" s="3635">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2604</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636">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2605</v>
      </c>
      <c r="B51" s="2630">
        <f t="shared" si="116"/>
        <v>206.31694671589116</v>
      </c>
      <c r="C51" s="2630">
        <f t="shared" si="116"/>
        <v>183.61041121036101</v>
      </c>
      <c r="D51" s="2630">
        <f t="shared" si="98"/>
        <v>183.61041121036101</v>
      </c>
      <c r="E51" s="2630">
        <f t="shared" si="117"/>
        <v>276.66850301795557</v>
      </c>
      <c r="F51" s="2630">
        <f t="shared" si="117"/>
        <v>165.1360938278614</v>
      </c>
      <c r="G51" s="3636">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2606</v>
      </c>
      <c r="B52" s="2663">
        <f t="shared" si="116"/>
        <v>196.62341248059772</v>
      </c>
      <c r="C52" s="2663">
        <f t="shared" si="116"/>
        <v>170.99125648199012</v>
      </c>
      <c r="D52" s="2663">
        <f t="shared" si="98"/>
        <v>170.99125648199012</v>
      </c>
      <c r="E52" s="2663">
        <f t="shared" si="117"/>
        <v>266.07857570490052</v>
      </c>
      <c r="F52" s="2663">
        <f t="shared" si="117"/>
        <v>154.53499328828505</v>
      </c>
      <c r="G52" s="3637">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2607</v>
      </c>
      <c r="B53" s="2622">
        <v>188</v>
      </c>
      <c r="C53" s="2622">
        <v>165</v>
      </c>
      <c r="D53" s="2622">
        <f t="shared" si="98"/>
        <v>165</v>
      </c>
      <c r="E53" s="2622">
        <v>254</v>
      </c>
      <c r="F53" s="2623">
        <v>148</v>
      </c>
      <c r="G53" s="3635">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2608</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636">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2609</v>
      </c>
      <c r="B55" s="2630">
        <f t="shared" si="120"/>
        <v>168.82017748715555</v>
      </c>
      <c r="C55" s="2630">
        <f t="shared" si="120"/>
        <v>148.06267029972753</v>
      </c>
      <c r="D55" s="2630">
        <f t="shared" si="98"/>
        <v>148.06267029972753</v>
      </c>
      <c r="E55" s="2630">
        <f t="shared" si="121"/>
        <v>216.46288379323747</v>
      </c>
      <c r="F55" s="2630">
        <f t="shared" si="121"/>
        <v>134.23529411764704</v>
      </c>
      <c r="G55" s="3636">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2610</v>
      </c>
      <c r="B56" s="2630">
        <f t="shared" si="120"/>
        <v>163.84913591779542</v>
      </c>
      <c r="C56" s="2630">
        <f t="shared" si="120"/>
        <v>145.0283378746594</v>
      </c>
      <c r="D56" s="2630">
        <f t="shared" si="98"/>
        <v>145.0283378746594</v>
      </c>
      <c r="E56" s="2630">
        <f t="shared" si="121"/>
        <v>204.95180722891567</v>
      </c>
      <c r="F56" s="2630">
        <f t="shared" si="121"/>
        <v>125.95920303605313</v>
      </c>
      <c r="G56" s="3637">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2611</v>
      </c>
      <c r="B57" s="2644">
        <v>159</v>
      </c>
      <c r="C57" s="2644">
        <v>141</v>
      </c>
      <c r="D57" s="2644">
        <f t="shared" si="98"/>
        <v>141</v>
      </c>
      <c r="E57" s="2644">
        <v>195</v>
      </c>
      <c r="F57" s="2645">
        <v>122</v>
      </c>
      <c r="G57" s="3635">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2612</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636">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2613</v>
      </c>
      <c r="B59" s="2630">
        <f t="shared" si="124"/>
        <v>146.57412060301507</v>
      </c>
      <c r="C59" s="2630">
        <f t="shared" si="124"/>
        <v>136.46831955922866</v>
      </c>
      <c r="D59" s="2630">
        <f t="shared" si="98"/>
        <v>136.46831955922866</v>
      </c>
      <c r="E59" s="2630">
        <f t="shared" si="125"/>
        <v>166.73864894795128</v>
      </c>
      <c r="F59" s="2630">
        <f t="shared" si="125"/>
        <v>115.05882352941177</v>
      </c>
      <c r="G59" s="3636">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2614</v>
      </c>
      <c r="B60" s="2630">
        <f t="shared" si="124"/>
        <v>144.04145728643215</v>
      </c>
      <c r="C60" s="2630">
        <f t="shared" si="124"/>
        <v>136.12396694214877</v>
      </c>
      <c r="D60" s="2630">
        <f t="shared" si="98"/>
        <v>136.12396694214877</v>
      </c>
      <c r="E60" s="2630">
        <f t="shared" si="125"/>
        <v>158.32225913621264</v>
      </c>
      <c r="F60" s="2630">
        <f t="shared" si="125"/>
        <v>114.04278074866311</v>
      </c>
      <c r="G60" s="3637">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2615</v>
      </c>
      <c r="B61" s="2644">
        <v>138</v>
      </c>
      <c r="C61" s="2644">
        <v>131</v>
      </c>
      <c r="D61" s="2644">
        <f t="shared" si="98"/>
        <v>131</v>
      </c>
      <c r="E61" s="2644">
        <v>155</v>
      </c>
      <c r="F61" s="2645">
        <v>114</v>
      </c>
      <c r="G61" s="3635">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2616</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636">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2617</v>
      </c>
      <c r="B63" s="2630">
        <f t="shared" si="128"/>
        <v>124.29032258064517</v>
      </c>
      <c r="C63" s="2630">
        <f t="shared" si="128"/>
        <v>123.8968609865471</v>
      </c>
      <c r="D63" s="2630">
        <f t="shared" si="98"/>
        <v>123.8968609865471</v>
      </c>
      <c r="E63" s="2630">
        <f t="shared" si="129"/>
        <v>138.00507614213197</v>
      </c>
      <c r="F63" s="2630">
        <f t="shared" si="129"/>
        <v>107.96106557377048</v>
      </c>
      <c r="G63" s="3636">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2618</v>
      </c>
      <c r="B64" s="2630">
        <f t="shared" si="128"/>
        <v>122.57204301075269</v>
      </c>
      <c r="C64" s="2630">
        <f t="shared" si="128"/>
        <v>123.4932735426009</v>
      </c>
      <c r="D64" s="2630">
        <f t="shared" si="98"/>
        <v>123.4932735426009</v>
      </c>
      <c r="E64" s="2630">
        <f t="shared" si="129"/>
        <v>129.82233502538071</v>
      </c>
      <c r="F64" s="2630">
        <f t="shared" si="129"/>
        <v>107.39446721311475</v>
      </c>
      <c r="G64" s="3637">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2619</v>
      </c>
      <c r="B65" s="2660">
        <v>121</v>
      </c>
      <c r="C65" s="2660">
        <v>122</v>
      </c>
      <c r="D65" s="2660">
        <f t="shared" si="98"/>
        <v>122</v>
      </c>
      <c r="E65" s="2660">
        <v>124</v>
      </c>
      <c r="F65" s="2661">
        <v>107</v>
      </c>
      <c r="G65" s="3635">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2620</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636">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2621</v>
      </c>
      <c r="B67" s="2630">
        <f t="shared" si="132"/>
        <v>116.99099099099099</v>
      </c>
      <c r="C67" s="2630">
        <f t="shared" si="132"/>
        <v>118.84848484848486</v>
      </c>
      <c r="D67" s="2630">
        <f t="shared" si="98"/>
        <v>118.84848484848486</v>
      </c>
      <c r="E67" s="2630">
        <f t="shared" si="133"/>
        <v>117.60960960960961</v>
      </c>
      <c r="F67" s="2630">
        <f t="shared" si="133"/>
        <v>104</v>
      </c>
      <c r="G67" s="3636">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2622</v>
      </c>
      <c r="B68" s="2663">
        <f t="shared" si="132"/>
        <v>112.48648648648648</v>
      </c>
      <c r="C68" s="2663">
        <f t="shared" si="132"/>
        <v>115.21212121212122</v>
      </c>
      <c r="D68" s="2663">
        <f t="shared" si="98"/>
        <v>115.21212121212122</v>
      </c>
      <c r="E68" s="2663">
        <f t="shared" si="133"/>
        <v>110.4024024024024</v>
      </c>
      <c r="F68" s="2663">
        <f t="shared" si="133"/>
        <v>104</v>
      </c>
      <c r="G68" s="3637">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2623</v>
      </c>
      <c r="B69" s="2681">
        <v>111</v>
      </c>
      <c r="C69" s="2681">
        <v>114</v>
      </c>
      <c r="D69" s="2681">
        <f t="shared" si="98"/>
        <v>114</v>
      </c>
      <c r="E69" s="2681">
        <v>108</v>
      </c>
      <c r="F69" s="2682">
        <v>104</v>
      </c>
      <c r="G69" s="3635">
        <v>2003</v>
      </c>
      <c r="H69" s="2671">
        <v>4</v>
      </c>
      <c r="I69" s="2683"/>
      <c r="J69" s="2683"/>
      <c r="K69" s="2683"/>
      <c r="L69" s="2683"/>
      <c r="N69" s="2684"/>
      <c r="O69" s="2683"/>
      <c r="P69" s="2683"/>
      <c r="Q69" s="2683"/>
      <c r="S69" s="2684"/>
      <c r="T69" s="2683"/>
      <c r="U69" s="2683"/>
      <c r="V69" s="2683"/>
      <c r="X69" s="2675"/>
      <c r="Y69" s="2675"/>
      <c r="Z69" s="2675"/>
    </row>
    <row r="70" spans="1:26">
      <c r="A70" s="2617" t="s">
        <v>2624</v>
      </c>
      <c r="B70" s="2685">
        <f t="shared" ref="B70:C72" si="134">B71+(B$69-B$73)/4</f>
        <v>109.75</v>
      </c>
      <c r="C70" s="2685">
        <f t="shared" si="134"/>
        <v>112.25</v>
      </c>
      <c r="D70" s="2685">
        <f t="shared" si="98"/>
        <v>112.25</v>
      </c>
      <c r="E70" s="2685">
        <f t="shared" ref="E70:F72" si="135">E71+(E$69-E$73)/4</f>
        <v>107.25</v>
      </c>
      <c r="F70" s="2685">
        <f t="shared" si="135"/>
        <v>103.5</v>
      </c>
      <c r="G70" s="3636">
        <v>2003</v>
      </c>
      <c r="H70" s="2641">
        <v>3</v>
      </c>
      <c r="I70" s="2683"/>
      <c r="J70" s="2683"/>
      <c r="K70" s="2683"/>
      <c r="L70" s="2683"/>
      <c r="X70" s="2675"/>
      <c r="Y70" s="2675"/>
      <c r="Z70" s="2675"/>
    </row>
    <row r="71" spans="1:26">
      <c r="A71" s="2617" t="s">
        <v>2625</v>
      </c>
      <c r="B71" s="2685">
        <f t="shared" si="134"/>
        <v>108.5</v>
      </c>
      <c r="C71" s="2685">
        <f t="shared" si="134"/>
        <v>110.5</v>
      </c>
      <c r="D71" s="2685">
        <f t="shared" si="98"/>
        <v>110.5</v>
      </c>
      <c r="E71" s="2685">
        <f t="shared" si="135"/>
        <v>106.5</v>
      </c>
      <c r="F71" s="2685">
        <f t="shared" si="135"/>
        <v>103</v>
      </c>
      <c r="G71" s="3636">
        <v>2003</v>
      </c>
      <c r="H71" s="2621">
        <v>2</v>
      </c>
      <c r="I71" s="2683"/>
      <c r="J71" s="2683"/>
      <c r="K71" s="2683"/>
      <c r="L71" s="2683"/>
      <c r="X71" s="2675"/>
      <c r="Y71" s="2675"/>
      <c r="Z71" s="2675"/>
    </row>
    <row r="72" spans="1:26" ht="13.5" thickBot="1">
      <c r="A72" s="2617" t="s">
        <v>2626</v>
      </c>
      <c r="B72" s="2685">
        <f t="shared" si="134"/>
        <v>107.25</v>
      </c>
      <c r="C72" s="2685">
        <f t="shared" si="134"/>
        <v>108.75</v>
      </c>
      <c r="D72" s="2685">
        <f t="shared" si="98"/>
        <v>108.75</v>
      </c>
      <c r="E72" s="2685">
        <f t="shared" si="135"/>
        <v>105.75</v>
      </c>
      <c r="F72" s="2685">
        <f t="shared" si="135"/>
        <v>102.5</v>
      </c>
      <c r="G72" s="3637">
        <v>2003</v>
      </c>
      <c r="H72" s="2686">
        <v>1</v>
      </c>
      <c r="I72" s="2683"/>
      <c r="J72" s="2683"/>
      <c r="K72" s="2683"/>
      <c r="L72" s="2683"/>
      <c r="S72" s="2625"/>
      <c r="T72" s="2626"/>
      <c r="U72" s="2626"/>
      <c r="X72" s="2675"/>
      <c r="Y72" s="2675"/>
      <c r="Z72" s="2675"/>
    </row>
    <row r="73" spans="1:26" ht="13.5" thickBot="1">
      <c r="A73" s="2617" t="s">
        <v>2627</v>
      </c>
      <c r="B73" s="2687">
        <v>106</v>
      </c>
      <c r="C73" s="2687">
        <v>107</v>
      </c>
      <c r="D73" s="2687">
        <f t="shared" si="98"/>
        <v>107</v>
      </c>
      <c r="E73" s="2687">
        <v>105</v>
      </c>
      <c r="F73" s="2688">
        <v>102</v>
      </c>
      <c r="G73" s="3635">
        <v>2002</v>
      </c>
      <c r="H73" s="2636">
        <v>4</v>
      </c>
      <c r="I73" s="2683"/>
      <c r="J73" s="2683"/>
      <c r="K73" s="2683"/>
      <c r="L73" s="2683"/>
      <c r="N73" s="2684"/>
      <c r="O73" s="2683"/>
      <c r="P73" s="2683"/>
      <c r="Q73" s="2683"/>
      <c r="S73" s="2684"/>
      <c r="T73" s="2683"/>
      <c r="U73" s="2683"/>
      <c r="V73" s="2683"/>
      <c r="X73" s="2675"/>
      <c r="Y73" s="2675"/>
      <c r="Z73" s="2675"/>
    </row>
    <row r="74" spans="1:26">
      <c r="A74" s="2617" t="s">
        <v>2628</v>
      </c>
      <c r="B74" s="2685">
        <f t="shared" ref="B74:C76" si="136">B75+(B$73-B$77)/4</f>
        <v>105</v>
      </c>
      <c r="C74" s="2685">
        <f t="shared" si="136"/>
        <v>106</v>
      </c>
      <c r="D74" s="2685">
        <f t="shared" si="98"/>
        <v>106</v>
      </c>
      <c r="E74" s="2685">
        <f t="shared" ref="E74:F76" si="137">E75+(E$73-E$77)/4</f>
        <v>104.5</v>
      </c>
      <c r="F74" s="2685">
        <f t="shared" si="137"/>
        <v>101.5</v>
      </c>
      <c r="G74" s="3636">
        <v>2002</v>
      </c>
      <c r="H74" s="2641">
        <v>3</v>
      </c>
      <c r="I74" s="2683"/>
      <c r="J74" s="2683"/>
      <c r="K74" s="2683"/>
      <c r="L74" s="2683"/>
      <c r="X74" s="2675"/>
      <c r="Y74" s="2675"/>
      <c r="Z74" s="2675"/>
    </row>
    <row r="75" spans="1:26">
      <c r="A75" s="2617" t="s">
        <v>2629</v>
      </c>
      <c r="B75" s="2685">
        <f t="shared" si="136"/>
        <v>104</v>
      </c>
      <c r="C75" s="2685">
        <f t="shared" si="136"/>
        <v>105</v>
      </c>
      <c r="D75" s="2685">
        <f t="shared" si="98"/>
        <v>105</v>
      </c>
      <c r="E75" s="2685">
        <f t="shared" si="137"/>
        <v>104</v>
      </c>
      <c r="F75" s="2685">
        <f t="shared" si="137"/>
        <v>101</v>
      </c>
      <c r="G75" s="3636">
        <v>2002</v>
      </c>
      <c r="H75" s="2621">
        <v>2</v>
      </c>
      <c r="I75" s="2683"/>
      <c r="J75" s="2683"/>
      <c r="K75" s="2683"/>
      <c r="L75" s="2683"/>
      <c r="X75" s="2675"/>
      <c r="Y75" s="2675"/>
      <c r="Z75" s="2675"/>
    </row>
    <row r="76" spans="1:26" s="2652" customFormat="1" ht="13.5" thickBot="1">
      <c r="A76" s="2648" t="s">
        <v>2630</v>
      </c>
      <c r="B76" s="2689">
        <f t="shared" si="136"/>
        <v>103</v>
      </c>
      <c r="C76" s="2689">
        <f t="shared" si="136"/>
        <v>104</v>
      </c>
      <c r="D76" s="2689">
        <f t="shared" si="98"/>
        <v>104</v>
      </c>
      <c r="E76" s="2689">
        <f t="shared" si="137"/>
        <v>103.5</v>
      </c>
      <c r="F76" s="2689">
        <f t="shared" si="137"/>
        <v>100.5</v>
      </c>
      <c r="G76" s="3637">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2631</v>
      </c>
      <c r="G79" s="2699"/>
      <c r="N79" s="2699"/>
      <c r="S79" s="2699"/>
    </row>
    <row r="80" spans="1:26" s="2698" customFormat="1">
      <c r="A80" s="2698" t="s">
        <v>2632</v>
      </c>
      <c r="G80" s="2699"/>
      <c r="N80" s="2699"/>
      <c r="S80" s="2699"/>
    </row>
    <row r="81" spans="1:22" s="2698" customFormat="1">
      <c r="A81" s="2698" t="s">
        <v>2633</v>
      </c>
      <c r="G81" s="2699"/>
      <c r="I81" s="2700"/>
      <c r="J81" s="2700"/>
      <c r="K81" s="2700"/>
      <c r="L81" s="2700"/>
      <c r="N81" s="2701"/>
      <c r="O81" s="2700"/>
      <c r="P81" s="2700"/>
      <c r="Q81" s="2700"/>
      <c r="S81" s="2701"/>
      <c r="T81" s="2700"/>
      <c r="U81" s="2700"/>
      <c r="V81" s="2700"/>
    </row>
    <row r="82" spans="1:22" s="2698" customFormat="1">
      <c r="A82" s="2698" t="s">
        <v>2634</v>
      </c>
      <c r="G82" s="2699"/>
      <c r="N82" s="2699"/>
      <c r="S82" s="2699"/>
    </row>
    <row r="89" spans="1:22" ht="13.5" thickBot="1"/>
    <row r="90" spans="1:22">
      <c r="G90" s="2624"/>
      <c r="S90" s="2702" t="s">
        <v>2635</v>
      </c>
      <c r="T90" s="2703" t="s">
        <v>2636</v>
      </c>
      <c r="U90" s="2703" t="s">
        <v>2637</v>
      </c>
      <c r="V90" s="2703" t="s">
        <v>2638</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1"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70937</v>
      </c>
      <c r="C2" s="3056" t="s">
        <v>2945</v>
      </c>
      <c r="D2" s="3055"/>
      <c r="E2" s="3055"/>
      <c r="F2" s="3055"/>
    </row>
    <row r="3" spans="1:6" ht="14.25">
      <c r="A3" s="3056" t="s">
        <v>2977</v>
      </c>
      <c r="B3" s="3057">
        <f ca="1">ROUND(B2*10000/E3,0)</f>
        <v>5879</v>
      </c>
      <c r="C3" s="3056" t="s">
        <v>2078</v>
      </c>
      <c r="D3" s="3056" t="s">
        <v>2946</v>
      </c>
      <c r="E3" s="3057">
        <f ca="1">SUMIF(E7:E14,"&lt;&gt;#ref!",E7:E14)</f>
        <v>120662</v>
      </c>
      <c r="F3" s="3055"/>
    </row>
    <row r="4" spans="1:6" ht="14.25">
      <c r="A4" s="3056" t="s">
        <v>2953</v>
      </c>
      <c r="B4" s="3057">
        <f ca="1">ROUND(B2*10000/E4,0)</f>
        <v>10993</v>
      </c>
      <c r="C4" s="3056" t="s">
        <v>2078</v>
      </c>
      <c r="D4" s="3056" t="s">
        <v>2954</v>
      </c>
      <c r="E4" s="3057">
        <f ca="1">SUMIF(F7:F14,"&lt;&gt;#ref!",F7:F14)</f>
        <v>64531.281999999999</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7" t="s">
        <v>2951</v>
      </c>
      <c r="B7" s="3060">
        <f ca="1">SUMIF(INDIRECT("'"&amp;A7&amp;"'"&amp;"!A:A"),"总价",INDIRECT("'"&amp;A7&amp;"'"&amp;"!B:B"))</f>
        <v>70937</v>
      </c>
      <c r="C7" s="3056" t="s">
        <v>2945</v>
      </c>
      <c r="D7" s="1864"/>
      <c r="E7" s="3061">
        <f ca="1">SUMIF(INDIRECT("'"&amp;A7&amp;"'"&amp;"!C:C"),"建筑面积",INDIRECT("'"&amp;A7&amp;"'"&amp;"!D:D"))</f>
        <v>120662</v>
      </c>
      <c r="F7" s="3061">
        <f ca="1">SUMIF(INDIRECT("'"&amp;A7&amp;"'"&amp;"!E:E"),"土地面积",INDIRECT("'"&amp;A7&amp;"'"&amp;"!F:F"))</f>
        <v>64531.281999999999</v>
      </c>
    </row>
    <row r="8" spans="1:6" ht="14.25">
      <c r="A8" s="257"/>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7"/>
      <c r="B9" s="3060" t="e">
        <f t="shared" ca="1" si="0"/>
        <v>#REF!</v>
      </c>
      <c r="C9" s="3056" t="s">
        <v>2945</v>
      </c>
      <c r="D9" s="1864"/>
      <c r="E9" s="3061" t="e">
        <f t="shared" ca="1" si="1"/>
        <v>#REF!</v>
      </c>
      <c r="F9" s="3061" t="e">
        <f t="shared" ca="1" si="2"/>
        <v>#REF!</v>
      </c>
    </row>
    <row r="10" spans="1:6" ht="14.25">
      <c r="A10" s="257"/>
      <c r="B10" s="3060" t="e">
        <f t="shared" ca="1" si="0"/>
        <v>#REF!</v>
      </c>
      <c r="C10" s="3056" t="s">
        <v>2945</v>
      </c>
      <c r="D10" s="1864"/>
      <c r="E10" s="3061" t="e">
        <f t="shared" ca="1" si="1"/>
        <v>#REF!</v>
      </c>
      <c r="F10" s="3061" t="e">
        <f t="shared" ca="1" si="2"/>
        <v>#REF!</v>
      </c>
    </row>
    <row r="11" spans="1:6" ht="14.25">
      <c r="A11" s="257"/>
      <c r="B11" s="3060" t="e">
        <f t="shared" ca="1" si="0"/>
        <v>#REF!</v>
      </c>
      <c r="C11" s="3056" t="s">
        <v>2945</v>
      </c>
      <c r="D11" s="1864"/>
      <c r="E11" s="3061" t="e">
        <f t="shared" ca="1" si="1"/>
        <v>#REF!</v>
      </c>
      <c r="F11" s="3061" t="e">
        <f t="shared" ca="1" si="2"/>
        <v>#REF!</v>
      </c>
    </row>
    <row r="12" spans="1:6" ht="14.25">
      <c r="A12" s="257"/>
      <c r="B12" s="3060" t="e">
        <f t="shared" ca="1" si="0"/>
        <v>#REF!</v>
      </c>
      <c r="C12" s="3056" t="s">
        <v>2945</v>
      </c>
      <c r="D12" s="1864"/>
      <c r="E12" s="3061" t="e">
        <f t="shared" ca="1" si="1"/>
        <v>#REF!</v>
      </c>
      <c r="F12" s="3061" t="e">
        <f t="shared" ca="1" si="2"/>
        <v>#REF!</v>
      </c>
    </row>
    <row r="13" spans="1:6" ht="14.25">
      <c r="A13" s="257"/>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628</v>
      </c>
      <c r="B1" s="735"/>
      <c r="C1" s="770"/>
      <c r="D1" s="2033"/>
      <c r="E1" s="2349" t="s">
        <v>2374</v>
      </c>
      <c r="F1" s="2350">
        <f ca="1">J54</f>
        <v>0</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2">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3" t="s">
        <v>695</v>
      </c>
      <c r="I3" s="2040"/>
      <c r="J3" s="2040"/>
      <c r="K3" s="2041"/>
      <c r="L3" s="2040"/>
      <c r="M3" s="2040"/>
    </row>
    <row r="4" spans="1:25" ht="18" customHeight="1">
      <c r="A4" s="1629" t="s">
        <v>696</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697</v>
      </c>
      <c r="D5" s="2038"/>
      <c r="E5" s="2039"/>
      <c r="F5" s="2039"/>
      <c r="G5" s="1574"/>
      <c r="H5" s="773"/>
      <c r="I5" s="2040"/>
      <c r="J5" s="2040"/>
      <c r="K5" s="2041"/>
      <c r="L5" s="2040"/>
      <c r="M5" s="2040"/>
    </row>
    <row r="6" spans="1:25" ht="18" customHeight="1">
      <c r="A6" s="1811" t="s">
        <v>698</v>
      </c>
      <c r="B6" s="1803" t="s">
        <v>699</v>
      </c>
      <c r="C6" s="1803" t="s">
        <v>632</v>
      </c>
      <c r="D6" s="1803" t="s">
        <v>633</v>
      </c>
      <c r="E6" s="776" t="s">
        <v>634</v>
      </c>
      <c r="F6" s="777"/>
      <c r="G6" s="1576"/>
      <c r="H6" s="1811" t="s">
        <v>630</v>
      </c>
      <c r="I6" s="1803" t="s">
        <v>631</v>
      </c>
      <c r="J6" s="1803" t="s">
        <v>632</v>
      </c>
      <c r="K6" s="1803" t="s">
        <v>633</v>
      </c>
      <c r="L6" s="776" t="s">
        <v>634</v>
      </c>
      <c r="M6" s="777"/>
    </row>
    <row r="7" spans="1:25" ht="18" customHeight="1">
      <c r="A7" s="778">
        <v>1</v>
      </c>
      <c r="B7" s="779" t="s">
        <v>2458</v>
      </c>
      <c r="C7" s="52">
        <f ca="1">C8+C12+C14</f>
        <v>0</v>
      </c>
      <c r="D7" s="2458" t="s">
        <v>2461</v>
      </c>
      <c r="E7" s="2452"/>
      <c r="F7" s="2453"/>
      <c r="G7" s="1576"/>
      <c r="H7" s="778">
        <v>1</v>
      </c>
      <c r="I7" s="779" t="s">
        <v>2458</v>
      </c>
      <c r="J7" s="52">
        <f ca="1">J8+J12+J14</f>
        <v>0</v>
      </c>
      <c r="K7" s="2458" t="s">
        <v>2461</v>
      </c>
      <c r="L7" s="2452"/>
      <c r="M7" s="2453"/>
    </row>
    <row r="8" spans="1:25" ht="18" customHeight="1">
      <c r="A8" s="1813" t="s">
        <v>1824</v>
      </c>
      <c r="B8" s="3644" t="s">
        <v>2463</v>
      </c>
      <c r="C8" s="1808">
        <f ca="1">ROUND(F8*F10*F9*(1-F11)/10000,0)</f>
        <v>0</v>
      </c>
      <c r="D8" s="1805" t="s">
        <v>2534</v>
      </c>
      <c r="E8" s="60" t="s">
        <v>637</v>
      </c>
      <c r="F8" s="782">
        <f ca="1">INDIRECT("'数据-取费表'!u"&amp;$G$1)</f>
        <v>0</v>
      </c>
      <c r="G8" s="1576"/>
      <c r="H8" s="2466" t="s">
        <v>1824</v>
      </c>
      <c r="I8" s="3644" t="s">
        <v>2463</v>
      </c>
      <c r="J8" s="780">
        <f ca="1">ROUND(M8*M10*M9*(1-M11)/10000,0)</f>
        <v>0</v>
      </c>
      <c r="K8" s="338" t="s">
        <v>2534</v>
      </c>
      <c r="L8" s="781" t="s">
        <v>1738</v>
      </c>
      <c r="M8" s="782">
        <f ca="1">INDIRECT("'数据-取费表'!z"&amp;$G$1)</f>
        <v>0</v>
      </c>
    </row>
    <row r="9" spans="1:25" ht="18" customHeight="1">
      <c r="A9" s="2462"/>
      <c r="B9" s="3645"/>
      <c r="C9" s="1809"/>
      <c r="D9" s="1806"/>
      <c r="E9" s="60" t="s">
        <v>638</v>
      </c>
      <c r="F9" s="782">
        <f ca="1">IF(INDIRECT("'数据-取费表'!ah"&amp;$G$1)="",INDIRECT("'数据-取费表'!k"&amp;$G$1),INDIRECT("'数据-取费表'!ah"&amp;$G$1))</f>
        <v>0</v>
      </c>
      <c r="G9" s="1576"/>
      <c r="H9" s="2451"/>
      <c r="I9" s="3645"/>
      <c r="J9" s="785"/>
      <c r="K9" s="786"/>
      <c r="L9" s="781" t="s">
        <v>1739</v>
      </c>
      <c r="M9" s="782">
        <f ca="1">F9</f>
        <v>0</v>
      </c>
    </row>
    <row r="10" spans="1:25" ht="18" customHeight="1">
      <c r="A10" s="2455"/>
      <c r="B10" s="3646"/>
      <c r="C10" s="1809"/>
      <c r="D10" s="1806"/>
      <c r="E10" s="60" t="s">
        <v>639</v>
      </c>
      <c r="F10" s="782">
        <f ca="1">INDIRECT("'数据-取费表'!ai"&amp;$G$1)</f>
        <v>365</v>
      </c>
      <c r="G10" s="1576"/>
      <c r="H10" s="2451"/>
      <c r="I10" s="3646"/>
      <c r="J10" s="785"/>
      <c r="K10" s="786"/>
      <c r="L10" s="781" t="s">
        <v>1740</v>
      </c>
      <c r="M10" s="782">
        <f ca="1">INDIRECT("'数据-取费表'!ai"&amp;$G$1)</f>
        <v>365</v>
      </c>
    </row>
    <row r="11" spans="1:25" ht="18" customHeight="1">
      <c r="A11" s="783"/>
      <c r="B11" s="3647"/>
      <c r="C11" s="1809"/>
      <c r="D11" s="1806"/>
      <c r="E11" s="60" t="s">
        <v>640</v>
      </c>
      <c r="F11" s="791">
        <f ca="1">INDIRECT("'数据-取费表'!w"&amp;$G$1)</f>
        <v>0</v>
      </c>
      <c r="G11" s="1576"/>
      <c r="H11" s="2467"/>
      <c r="I11" s="3646"/>
      <c r="J11" s="785"/>
      <c r="K11" s="786"/>
      <c r="L11" s="792" t="s">
        <v>1741</v>
      </c>
      <c r="M11" s="793">
        <f ca="1">INDIRECT("'数据-取费表'!ab"&amp;$G$1)</f>
        <v>0</v>
      </c>
    </row>
    <row r="12" spans="1:25" ht="18" customHeight="1">
      <c r="A12" s="1813" t="s">
        <v>1825</v>
      </c>
      <c r="B12" s="2456" t="s">
        <v>2459</v>
      </c>
      <c r="C12" s="796">
        <f ca="1">ROUND(IF(F12="押一",C8/12*F13,IF(F12="押二",C8/12*2*F13,IF(F12="押三",C8/12*3*F13,C13*F13))),0)</f>
        <v>0</v>
      </c>
      <c r="D12" s="2463" t="s">
        <v>2974</v>
      </c>
      <c r="E12" s="2460" t="s">
        <v>2464</v>
      </c>
      <c r="F12" s="2583"/>
      <c r="G12" s="1576"/>
      <c r="H12" s="2523" t="s">
        <v>1825</v>
      </c>
      <c r="I12" s="2528" t="s">
        <v>2459</v>
      </c>
      <c r="J12" s="780">
        <f ca="1">ROUND(IF(M12="押一",J8/12*M13,IF(M12="押二",J8/12*2*M13,IF(M12="押三",J8/12*3*M13,J13*M13))),0)</f>
        <v>0</v>
      </c>
      <c r="K12" s="2463" t="s">
        <v>2974</v>
      </c>
      <c r="L12" s="2460" t="s">
        <v>2464</v>
      </c>
      <c r="M12" s="2583"/>
    </row>
    <row r="13" spans="1:25" ht="18" customHeight="1">
      <c r="A13" s="787"/>
      <c r="B13" s="2457" t="s">
        <v>2573</v>
      </c>
      <c r="C13" s="2461"/>
      <c r="D13" s="786"/>
      <c r="E13" s="2460" t="s">
        <v>2456</v>
      </c>
      <c r="F13" s="793">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89">
        <f ca="1">ROUND(C31*F15,0)</f>
        <v>0</v>
      </c>
      <c r="D15" s="1817" t="s">
        <v>642</v>
      </c>
      <c r="E15" s="792" t="s">
        <v>643</v>
      </c>
      <c r="F15" s="797">
        <f ca="1">INDIRECT("'数据-取费表'!y"&amp;$G$1)</f>
        <v>1</v>
      </c>
      <c r="G15" s="1576"/>
      <c r="H15" s="1812" t="s">
        <v>1826</v>
      </c>
      <c r="I15" s="1810" t="s">
        <v>644</v>
      </c>
      <c r="J15" s="1802">
        <f ca="1">ROUND(J16*J17,0)</f>
        <v>0</v>
      </c>
      <c r="K15" s="1804" t="s">
        <v>642</v>
      </c>
      <c r="L15" s="798"/>
      <c r="M15" s="799"/>
    </row>
    <row r="16" spans="1:25" ht="18" customHeight="1">
      <c r="A16" s="800" t="s">
        <v>1875</v>
      </c>
      <c r="B16" s="781" t="s">
        <v>645</v>
      </c>
      <c r="C16" s="801">
        <f ca="1">INDIRECT("'数据-取费表'!m"&amp;$G$1)+INDIRECT("'数据-取费表'!t"&amp;$G$1)</f>
        <v>0</v>
      </c>
      <c r="D16" s="1962" t="s">
        <v>646</v>
      </c>
      <c r="E16" s="1963"/>
      <c r="F16" s="802"/>
      <c r="G16" s="1576"/>
      <c r="H16" s="800" t="s">
        <v>2069</v>
      </c>
      <c r="I16" s="2214" t="s">
        <v>2824</v>
      </c>
      <c r="J16" s="52">
        <f ca="1">C31</f>
        <v>0</v>
      </c>
      <c r="K16" s="25"/>
      <c r="L16" s="798"/>
      <c r="M16" s="799"/>
    </row>
    <row r="17" spans="1:25" s="2047" customFormat="1" ht="18" customHeight="1">
      <c r="A17" s="800" t="s">
        <v>1849</v>
      </c>
      <c r="B17" s="781" t="s">
        <v>647</v>
      </c>
      <c r="C17" s="52">
        <f ca="1">ROUND(C16*F17,0)</f>
        <v>0</v>
      </c>
      <c r="D17" s="803" t="s">
        <v>648</v>
      </c>
      <c r="E17" s="803" t="s">
        <v>649</v>
      </c>
      <c r="F17" s="804">
        <f>'数据-取费表'!B33</f>
        <v>0.05</v>
      </c>
      <c r="G17" s="1577"/>
      <c r="H17" s="800" t="s">
        <v>2070</v>
      </c>
      <c r="I17" s="781" t="s">
        <v>643</v>
      </c>
      <c r="J17" s="805">
        <f ca="1">INDIRECT("'数据-取费表'!ad"&amp;$G$1)</f>
        <v>0</v>
      </c>
      <c r="K17" s="25"/>
      <c r="L17" s="798"/>
      <c r="M17" s="799"/>
      <c r="N17" s="2046"/>
      <c r="O17" s="2046"/>
      <c r="P17" s="2046"/>
      <c r="Q17" s="2046"/>
      <c r="R17" s="2046"/>
      <c r="S17" s="2046"/>
      <c r="T17" s="2046"/>
      <c r="U17" s="2046"/>
      <c r="V17" s="2046"/>
      <c r="W17" s="2046"/>
      <c r="X17" s="2046"/>
      <c r="Y17" s="2046"/>
    </row>
    <row r="18" spans="1:25" ht="18" customHeight="1">
      <c r="A18" s="800" t="s">
        <v>1850</v>
      </c>
      <c r="B18" s="781" t="s">
        <v>650</v>
      </c>
      <c r="C18" s="52">
        <f ca="1">ROUND(INDIRECT("'数据-取费表'!m"&amp;$G$1)*F18,0)</f>
        <v>0</v>
      </c>
      <c r="D18" s="781" t="s">
        <v>648</v>
      </c>
      <c r="E18" s="781" t="s">
        <v>649</v>
      </c>
      <c r="F18" s="806">
        <f ca="1">IF(INDIRECT("'数据-取费表'!c"&amp;$G$1)="住宅",'数据-取费表'!B34,0)</f>
        <v>0</v>
      </c>
      <c r="G18" s="1576"/>
      <c r="H18" s="794" t="s">
        <v>1827</v>
      </c>
      <c r="I18" s="795" t="s">
        <v>651</v>
      </c>
      <c r="J18" s="796">
        <f ca="1">ROUND(J19+J24+J25+J26,0)</f>
        <v>0</v>
      </c>
      <c r="K18" s="25" t="s">
        <v>652</v>
      </c>
      <c r="L18" s="1965"/>
      <c r="M18" s="55"/>
    </row>
    <row r="19" spans="1:25" s="2047" customFormat="1" ht="18" customHeight="1">
      <c r="A19" s="800" t="s">
        <v>1851</v>
      </c>
      <c r="B19" s="781" t="s">
        <v>653</v>
      </c>
      <c r="C19" s="52">
        <f ca="1">ROUND(F19*(INDIRECT("'数据-取费表'!k"&amp;$G$1)+INDIRECT("'数据-取费表'!S"&amp;$G$1))/10000,0)</f>
        <v>0</v>
      </c>
      <c r="D19" s="781" t="s">
        <v>654</v>
      </c>
      <c r="E19" s="781" t="s">
        <v>655</v>
      </c>
      <c r="F19" s="55">
        <f>'数据-取费表'!B35</f>
        <v>300</v>
      </c>
      <c r="G19" s="1577"/>
      <c r="H19" s="800" t="s">
        <v>2069</v>
      </c>
      <c r="I19" s="781" t="s">
        <v>656</v>
      </c>
      <c r="J19" s="52">
        <f ca="1">ROUND(IF(项目基本情况!B11="自然人",J8*M19/(1+'数据-取费表'!C42),J20+J21+J22),0)</f>
        <v>0</v>
      </c>
      <c r="K19" s="1962" t="s">
        <v>657</v>
      </c>
      <c r="L19" s="1960" t="s">
        <v>658</v>
      </c>
      <c r="M19" s="807">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0" t="s">
        <v>1852</v>
      </c>
      <c r="B20" s="781" t="s">
        <v>659</v>
      </c>
      <c r="C20" s="52">
        <f ca="1">ROUND(C16*F20,0)</f>
        <v>0</v>
      </c>
      <c r="D20" s="781" t="s">
        <v>648</v>
      </c>
      <c r="E20" s="781" t="s">
        <v>649</v>
      </c>
      <c r="F20" s="806">
        <f>'数据-取费表'!B36</f>
        <v>1.4999999999999999E-2</v>
      </c>
      <c r="G20" s="1577"/>
      <c r="H20" s="800" t="s">
        <v>1831</v>
      </c>
      <c r="I20" s="781" t="s">
        <v>660</v>
      </c>
      <c r="J20" s="52">
        <f ca="1">ROUND(J8*M20/(1+'数据-取费表'!C42),1)</f>
        <v>0</v>
      </c>
      <c r="K20" s="1960" t="s">
        <v>661</v>
      </c>
      <c r="L20" s="781" t="s">
        <v>649</v>
      </c>
      <c r="M20" s="806">
        <f>'数据-取费表'!B41</f>
        <v>5.5000000000000007E-2</v>
      </c>
      <c r="N20" s="2046"/>
      <c r="O20" s="2046"/>
      <c r="P20" s="2046"/>
      <c r="Q20" s="2046"/>
      <c r="R20" s="2046"/>
      <c r="S20" s="2046"/>
      <c r="T20" s="2046"/>
      <c r="U20" s="2046"/>
      <c r="V20" s="2046"/>
      <c r="W20" s="2046"/>
      <c r="X20" s="2046"/>
      <c r="Y20" s="2046"/>
    </row>
    <row r="21" spans="1:25" ht="18" customHeight="1">
      <c r="A21" s="800" t="s">
        <v>1876</v>
      </c>
      <c r="B21" s="781" t="s">
        <v>662</v>
      </c>
      <c r="C21" s="52">
        <f ca="1">SUM(C16:C20)</f>
        <v>0</v>
      </c>
      <c r="D21" s="258" t="s">
        <v>663</v>
      </c>
      <c r="E21" s="1965"/>
      <c r="F21" s="55"/>
      <c r="G21" s="1576"/>
      <c r="H21" s="1813" t="s">
        <v>1849</v>
      </c>
      <c r="I21" s="781" t="s">
        <v>664</v>
      </c>
      <c r="J21" s="52">
        <f ca="1">IF(K21="按租金收入计税",ROUND(J8*M21/(1+'数据-取费表'!C42),1),ROUND(C31*F35*0.7,1))</f>
        <v>0</v>
      </c>
      <c r="K21" s="808" t="s">
        <v>665</v>
      </c>
      <c r="L21" s="781" t="s">
        <v>649</v>
      </c>
      <c r="M21" s="806">
        <f>IF(K21="按租金收入计税",'数据-取费表'!B51,'数据-取费表'!B50)</f>
        <v>1.2E-2</v>
      </c>
    </row>
    <row r="22" spans="1:25" s="2047" customFormat="1" ht="18" customHeight="1">
      <c r="A22" s="800" t="s">
        <v>1877</v>
      </c>
      <c r="B22" s="781" t="s">
        <v>666</v>
      </c>
      <c r="C22" s="52">
        <f ca="1">ROUND(C21*F22,0)</f>
        <v>0</v>
      </c>
      <c r="D22" s="809" t="s">
        <v>667</v>
      </c>
      <c r="E22" s="781" t="s">
        <v>649</v>
      </c>
      <c r="F22" s="806">
        <f>'数据-取费表'!B37</f>
        <v>0.03</v>
      </c>
      <c r="G22" s="1577"/>
      <c r="H22" s="1815" t="s">
        <v>1850</v>
      </c>
      <c r="I22" s="1805" t="s">
        <v>668</v>
      </c>
      <c r="J22" s="53">
        <f ca="1">ROUND(M22*M23/10000,0)</f>
        <v>0</v>
      </c>
      <c r="K22" s="811" t="s">
        <v>669</v>
      </c>
      <c r="L22" s="781" t="s">
        <v>670</v>
      </c>
      <c r="M22" s="637">
        <f>'数据-取费表'!B52</f>
        <v>0</v>
      </c>
      <c r="N22" s="2046"/>
      <c r="O22" s="2046"/>
      <c r="P22" s="2046"/>
      <c r="Q22" s="2046"/>
      <c r="R22" s="2046"/>
      <c r="S22" s="2046"/>
      <c r="T22" s="2046"/>
      <c r="U22" s="2046"/>
      <c r="V22" s="2046"/>
      <c r="W22" s="2046"/>
      <c r="X22" s="2046"/>
      <c r="Y22" s="2046"/>
    </row>
    <row r="23" spans="1:25" s="2047" customFormat="1" ht="18" customHeight="1">
      <c r="A23" s="800" t="s">
        <v>1878</v>
      </c>
      <c r="B23" s="781" t="s">
        <v>671</v>
      </c>
      <c r="C23" s="52" t="s">
        <v>1</v>
      </c>
      <c r="D23" s="809" t="s">
        <v>672</v>
      </c>
      <c r="E23" s="781" t="s">
        <v>673</v>
      </c>
      <c r="F23" s="806">
        <f>'数据-取费表'!B38</f>
        <v>0.15</v>
      </c>
      <c r="G23" s="1577"/>
      <c r="H23" s="1816"/>
      <c r="I23" s="1807"/>
      <c r="J23" s="68"/>
      <c r="K23" s="813"/>
      <c r="L23" s="781" t="s">
        <v>674</v>
      </c>
      <c r="M23" s="782">
        <f ca="1">INDIRECT("'数据-取费表'!r"&amp;$G$1)</f>
        <v>0</v>
      </c>
      <c r="N23" s="2046"/>
      <c r="O23" s="2046"/>
      <c r="P23" s="2046"/>
      <c r="Q23" s="2046"/>
      <c r="R23" s="2046"/>
      <c r="S23" s="2046"/>
      <c r="T23" s="2046"/>
      <c r="U23" s="2046"/>
      <c r="V23" s="2046"/>
      <c r="W23" s="2046"/>
      <c r="X23" s="2046"/>
      <c r="Y23" s="2046"/>
    </row>
    <row r="24" spans="1:25" ht="18" customHeight="1">
      <c r="A24" s="800" t="s">
        <v>1879</v>
      </c>
      <c r="B24" s="781" t="s">
        <v>675</v>
      </c>
      <c r="C24" s="52"/>
      <c r="D24" s="2534" t="str">
        <f>IF(F25&lt;=1,"单利计息。","复利计息。")&amp;"建造成本、管理费用、销售费用产生的利息。"</f>
        <v>复利计息。建造成本、管理费用、销售费用产生的利息。</v>
      </c>
      <c r="E24" s="1965"/>
      <c r="F24" s="55"/>
      <c r="G24" s="1576"/>
      <c r="H24" s="1814" t="s">
        <v>2070</v>
      </c>
      <c r="I24" s="781" t="s">
        <v>676</v>
      </c>
      <c r="J24" s="52">
        <f ca="1">ROUND(J16*M24,0)</f>
        <v>0</v>
      </c>
      <c r="K24" s="1960" t="s">
        <v>677</v>
      </c>
      <c r="L24" s="781" t="s">
        <v>649</v>
      </c>
      <c r="M24" s="814">
        <f ca="1">INDIRECT("'数据-取费表'!Ak"&amp;$G$1)</f>
        <v>0.01</v>
      </c>
    </row>
    <row r="25" spans="1:25" s="2047" customFormat="1" ht="18" customHeight="1">
      <c r="A25" s="800" t="s">
        <v>1875</v>
      </c>
      <c r="B25" s="781" t="s">
        <v>2437</v>
      </c>
      <c r="C25" s="52">
        <f ca="1">ROUND(IF('数据-取费表'!B22&lt;=1,(C21+C22)*F26*F25/2,(C21+C22)*(POWER((1+F26),F25/2)-1)),0)</f>
        <v>0</v>
      </c>
      <c r="D25" s="2533" t="str">
        <f>IF(F25&lt;=1,"(建造成本+管理费用)×利率×(建设周期÷2)","(建造成本+管理费用)×((1+利率)^(建设周期÷2)-1)")</f>
        <v>(建造成本+管理费用)×((1+利率)^(建设周期÷2)-1)</v>
      </c>
      <c r="E25" s="781" t="s">
        <v>678</v>
      </c>
      <c r="F25" s="637">
        <f>'数据-取费表'!B20</f>
        <v>2.5</v>
      </c>
      <c r="G25" s="1577"/>
      <c r="H25" s="800" t="s">
        <v>1878</v>
      </c>
      <c r="I25" s="781" t="s">
        <v>679</v>
      </c>
      <c r="J25" s="52">
        <f ca="1">ROUND(J15*M25,0)</f>
        <v>0</v>
      </c>
      <c r="K25" s="1960" t="s">
        <v>680</v>
      </c>
      <c r="L25" s="781" t="s">
        <v>649</v>
      </c>
      <c r="M25" s="815">
        <f ca="1">INDIRECT("'数据-取费表'!Al"&amp;$G$1)</f>
        <v>1E-3</v>
      </c>
      <c r="N25" s="2046"/>
      <c r="O25" s="2046"/>
      <c r="P25" s="2046"/>
      <c r="Q25" s="2046"/>
      <c r="R25" s="2046"/>
      <c r="S25" s="2046"/>
      <c r="T25" s="2046"/>
      <c r="U25" s="2046"/>
      <c r="V25" s="2046"/>
      <c r="W25" s="2046"/>
      <c r="X25" s="2046"/>
      <c r="Y25" s="2046"/>
    </row>
    <row r="26" spans="1:25" s="2047" customFormat="1" ht="18" customHeight="1">
      <c r="A26" s="800" t="s">
        <v>1849</v>
      </c>
      <c r="B26" s="781" t="s">
        <v>681</v>
      </c>
      <c r="C26" s="52">
        <f ca="1">ROUND(IF('数据-取费表'!B22&lt;=1,F23*F26*F25/2,F23*(POWER((1+F26),F25/2)-1)),4)</f>
        <v>8.9999999999999993E-3</v>
      </c>
      <c r="D26" s="2533" t="str">
        <f>IF(F25&lt;=1,"销售费用×利率×(建设周期÷2)","销售费用×((1+利率)^(建设周期÷2)-1)")</f>
        <v>销售费用×((1+利率)^(建设周期÷2)-1)</v>
      </c>
      <c r="E26" s="781" t="s">
        <v>682</v>
      </c>
      <c r="F26" s="816">
        <f ca="1">'数据-取费表'!B40</f>
        <v>4.7500000000000001E-2</v>
      </c>
      <c r="G26" s="1577"/>
      <c r="H26" s="800" t="s">
        <v>1879</v>
      </c>
      <c r="I26" s="781" t="s">
        <v>666</v>
      </c>
      <c r="J26" s="52">
        <f ca="1">ROUND(J7*M26,0)</f>
        <v>0</v>
      </c>
      <c r="K26" s="1960" t="s">
        <v>683</v>
      </c>
      <c r="L26" s="781" t="s">
        <v>649</v>
      </c>
      <c r="M26" s="791">
        <f ca="1">INDIRECT("'数据-取费表'!Am"&amp;$G$1)</f>
        <v>0.01</v>
      </c>
      <c r="N26" s="2046"/>
      <c r="O26" s="2046"/>
      <c r="P26" s="2046"/>
      <c r="Q26" s="2046"/>
      <c r="R26" s="2046"/>
      <c r="S26" s="2046"/>
      <c r="T26" s="2046"/>
      <c r="U26" s="2046"/>
      <c r="V26" s="2046"/>
      <c r="W26" s="2046"/>
      <c r="X26" s="2046"/>
      <c r="Y26" s="2046"/>
    </row>
    <row r="27" spans="1:25" ht="18" customHeight="1">
      <c r="A27" s="800" t="s">
        <v>1881</v>
      </c>
      <c r="B27" s="781" t="s">
        <v>684</v>
      </c>
      <c r="C27" s="52"/>
      <c r="D27" s="258" t="s">
        <v>685</v>
      </c>
      <c r="E27" s="1965"/>
      <c r="F27" s="55"/>
      <c r="G27" s="1576"/>
      <c r="H27" s="794" t="s">
        <v>1828</v>
      </c>
      <c r="I27" s="2961" t="s">
        <v>2821</v>
      </c>
      <c r="J27" s="796">
        <f ca="1">J7-J18</f>
        <v>0</v>
      </c>
      <c r="K27" s="1962" t="s">
        <v>700</v>
      </c>
      <c r="L27" s="1964"/>
      <c r="M27" s="817"/>
    </row>
    <row r="28" spans="1:25" ht="18" customHeight="1">
      <c r="A28" s="800" t="s">
        <v>1875</v>
      </c>
      <c r="B28" s="781" t="s">
        <v>2438</v>
      </c>
      <c r="C28" s="52">
        <f ca="1">ROUND((C21+C22)*F28,0)</f>
        <v>0</v>
      </c>
      <c r="D28" s="809" t="s">
        <v>701</v>
      </c>
      <c r="E28" s="792" t="s">
        <v>702</v>
      </c>
      <c r="F28" s="791">
        <f ca="1">INDIRECT("'数据-取费表'!q"&amp;$G$1)</f>
        <v>0.25</v>
      </c>
      <c r="G28" s="1576"/>
      <c r="H28" s="778" t="s">
        <v>1837</v>
      </c>
      <c r="I28" s="779" t="s">
        <v>703</v>
      </c>
      <c r="J28" s="780">
        <f ca="1">IF(J7&lt;&gt;0,ROUND(J27*(1-((1+M30)/(1+M28))^M29)/(M28-M30),0),0)</f>
        <v>0</v>
      </c>
      <c r="K28" s="811" t="s">
        <v>704</v>
      </c>
      <c r="L28" s="781" t="s">
        <v>705</v>
      </c>
      <c r="M28" s="791">
        <f ca="1">INDIRECT("'数据-取费表'!I"&amp;$G$1)</f>
        <v>4.4999999999999998E-2</v>
      </c>
    </row>
    <row r="29" spans="1:25" ht="18" customHeight="1">
      <c r="A29" s="800" t="s">
        <v>1849</v>
      </c>
      <c r="B29" s="781" t="s">
        <v>686</v>
      </c>
      <c r="C29" s="52">
        <f ca="1">ROUND(F23*F28,4)</f>
        <v>3.7499999999999999E-2</v>
      </c>
      <c r="D29" s="809" t="s">
        <v>706</v>
      </c>
      <c r="E29" s="803"/>
      <c r="F29" s="804"/>
      <c r="G29" s="1576"/>
      <c r="H29" s="783"/>
      <c r="I29" s="784"/>
      <c r="J29" s="785"/>
      <c r="K29" s="818" t="s">
        <v>707</v>
      </c>
      <c r="L29" s="781" t="s">
        <v>708</v>
      </c>
      <c r="M29" s="819">
        <f ca="1">INDIRECT("'数据-取费表'!ag"&amp;$G$1)</f>
        <v>0</v>
      </c>
    </row>
    <row r="30" spans="1:25" s="2047" customFormat="1" ht="18" customHeight="1">
      <c r="A30" s="800" t="s">
        <v>1882</v>
      </c>
      <c r="B30" s="781" t="s">
        <v>687</v>
      </c>
      <c r="C30" s="52">
        <f>ROUND(F30/(1+'数据-取费表'!C42),4)</f>
        <v>5.2400000000000002E-2</v>
      </c>
      <c r="D30" s="809" t="s">
        <v>709</v>
      </c>
      <c r="E30" s="781" t="s">
        <v>649</v>
      </c>
      <c r="F30" s="806">
        <f>'数据-取费表'!B41</f>
        <v>5.5000000000000007E-2</v>
      </c>
      <c r="G30" s="1577"/>
      <c r="H30" s="787"/>
      <c r="I30" s="788"/>
      <c r="J30" s="789"/>
      <c r="K30" s="813"/>
      <c r="L30" s="781" t="s">
        <v>710</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7"/>
      <c r="H31" s="820" t="s">
        <v>1872</v>
      </c>
      <c r="I31" s="2962" t="s">
        <v>2823</v>
      </c>
      <c r="J31" s="822">
        <f ca="1">ROUND(J28/(1+F45)^F46,0)</f>
        <v>0</v>
      </c>
      <c r="K31" s="823" t="s">
        <v>688</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89">
        <f ca="1">ROUND(C33+C38+C39+C40,0)</f>
        <v>0</v>
      </c>
      <c r="D32" s="1804" t="s">
        <v>652</v>
      </c>
      <c r="E32" s="2449"/>
      <c r="F32" s="2453"/>
      <c r="G32" s="2045"/>
      <c r="H32" s="2048"/>
      <c r="I32" s="2049"/>
      <c r="J32" s="2050"/>
      <c r="K32" s="2051"/>
      <c r="L32" s="2052"/>
      <c r="M32" s="2053"/>
    </row>
    <row r="33" spans="1:18" ht="18" customHeight="1">
      <c r="A33" s="800" t="s">
        <v>1876</v>
      </c>
      <c r="B33" s="781" t="s">
        <v>656</v>
      </c>
      <c r="C33" s="52">
        <f ca="1">ROUND(IF(项目基本情况!B11="自然人",C8*F33/(1+'数据-取费表'!C42),C34+C35+C36),1)</f>
        <v>0</v>
      </c>
      <c r="D33" s="1962" t="s">
        <v>657</v>
      </c>
      <c r="E33" s="1960" t="s">
        <v>690</v>
      </c>
      <c r="F33" s="807">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0" t="s">
        <v>1875</v>
      </c>
      <c r="B34" s="781" t="s">
        <v>660</v>
      </c>
      <c r="C34" s="52">
        <f ca="1">ROUND(C8*F34/(1+'数据-取费表'!C42),1)</f>
        <v>0</v>
      </c>
      <c r="D34" s="1960" t="s">
        <v>661</v>
      </c>
      <c r="E34" s="781" t="s">
        <v>649</v>
      </c>
      <c r="F34" s="806">
        <f>'数据-取费表'!B41</f>
        <v>5.5000000000000007E-2</v>
      </c>
      <c r="G34" s="2045"/>
      <c r="H34" s="2054"/>
      <c r="I34" s="2055"/>
      <c r="J34" s="2056"/>
      <c r="K34" s="2057"/>
      <c r="L34" s="2058"/>
      <c r="M34" s="2059"/>
    </row>
    <row r="35" spans="1:18" ht="18" customHeight="1">
      <c r="A35" s="800" t="s">
        <v>1849</v>
      </c>
      <c r="B35" s="781" t="s">
        <v>664</v>
      </c>
      <c r="C35" s="52">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5"/>
      <c r="H35" s="2060"/>
      <c r="I35" s="2060"/>
      <c r="J35" s="2060"/>
      <c r="K35" s="2061"/>
      <c r="L35" s="2060"/>
      <c r="M35" s="2060"/>
    </row>
    <row r="36" spans="1:18" ht="18" customHeight="1">
      <c r="A36" s="810" t="s">
        <v>1880</v>
      </c>
      <c r="B36" s="338" t="s">
        <v>668</v>
      </c>
      <c r="C36" s="53">
        <f ca="1">ROUND(F36*F37/10000,1)</f>
        <v>0</v>
      </c>
      <c r="D36" s="811" t="s">
        <v>669</v>
      </c>
      <c r="E36" s="781" t="s">
        <v>670</v>
      </c>
      <c r="F36" s="637">
        <f>'数据-取费表'!B52</f>
        <v>0</v>
      </c>
      <c r="G36" s="2045"/>
      <c r="H36" s="2048"/>
      <c r="I36" s="3643"/>
      <c r="J36" s="2062"/>
      <c r="K36" s="2063"/>
      <c r="L36" s="2062"/>
      <c r="M36" s="2062"/>
    </row>
    <row r="37" spans="1:18" ht="18" customHeight="1">
      <c r="A37" s="812"/>
      <c r="B37" s="790"/>
      <c r="C37" s="68"/>
      <c r="D37" s="813"/>
      <c r="E37" s="781" t="s">
        <v>674</v>
      </c>
      <c r="F37" s="782">
        <f ca="1">INDIRECT("'数据-取费表'!r"&amp;$G$1)</f>
        <v>0</v>
      </c>
      <c r="G37" s="2045"/>
      <c r="H37" s="2048"/>
      <c r="I37" s="3643"/>
      <c r="J37" s="2060"/>
      <c r="K37" s="2061"/>
      <c r="L37" s="2060"/>
      <c r="M37" s="2060"/>
    </row>
    <row r="38" spans="1:18" ht="18" customHeight="1">
      <c r="A38" s="800" t="s">
        <v>1877</v>
      </c>
      <c r="B38" s="781" t="s">
        <v>676</v>
      </c>
      <c r="C38" s="52">
        <f ca="1">ROUND(C31*F38,1)</f>
        <v>0</v>
      </c>
      <c r="D38" s="1960" t="s">
        <v>691</v>
      </c>
      <c r="E38" s="781" t="s">
        <v>649</v>
      </c>
      <c r="F38" s="814">
        <f ca="1">INDIRECT("'数据-取费表'!Ak"&amp;$G$1)</f>
        <v>0.01</v>
      </c>
      <c r="G38" s="2045"/>
      <c r="H38" s="2060"/>
      <c r="I38" s="2064"/>
      <c r="J38" s="1971"/>
      <c r="K38" s="2065"/>
      <c r="L38" s="2060"/>
      <c r="M38" s="2060"/>
    </row>
    <row r="39" spans="1:18" ht="18" customHeight="1">
      <c r="A39" s="800" t="s">
        <v>1878</v>
      </c>
      <c r="B39" s="781" t="s">
        <v>679</v>
      </c>
      <c r="C39" s="52">
        <f ca="1">ROUND(C15*F39,1)</f>
        <v>0</v>
      </c>
      <c r="D39" s="1960" t="s">
        <v>680</v>
      </c>
      <c r="E39" s="781" t="s">
        <v>649</v>
      </c>
      <c r="F39" s="815">
        <f ca="1">INDIRECT("'数据-取费表'!Al"&amp;$G$1)</f>
        <v>1E-3</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0" t="s">
        <v>1876</v>
      </c>
      <c r="B42" s="832" t="s">
        <v>693</v>
      </c>
      <c r="C42" s="826">
        <f ca="1">C7-C32</f>
        <v>0</v>
      </c>
      <c r="D42" s="1962" t="s">
        <v>694</v>
      </c>
      <c r="E42" s="1964"/>
      <c r="F42" s="817"/>
      <c r="G42" s="2045"/>
      <c r="H42" s="2045"/>
      <c r="I42" s="2045"/>
      <c r="J42" s="2045"/>
      <c r="K42" s="2066"/>
      <c r="L42" s="2045"/>
      <c r="M42" s="2045"/>
    </row>
    <row r="43" spans="1:18" ht="18" customHeight="1">
      <c r="A43" s="800" t="s">
        <v>1877</v>
      </c>
      <c r="B43" s="832" t="s">
        <v>711</v>
      </c>
      <c r="C43" s="833">
        <f ca="1">ROUND(C15*F43,0)</f>
        <v>0</v>
      </c>
      <c r="D43" s="1349" t="s">
        <v>712</v>
      </c>
      <c r="E43" s="3072" t="s">
        <v>2962</v>
      </c>
      <c r="F43" s="3073">
        <f ca="1">INDIRECT("'数据-取费表'!j"&amp;$G$1)</f>
        <v>5.5E-2</v>
      </c>
      <c r="G43" s="2045"/>
      <c r="H43" s="2045"/>
      <c r="I43" s="2045"/>
      <c r="J43" s="2045"/>
      <c r="K43" s="2066"/>
      <c r="L43" s="2045"/>
      <c r="M43" s="2045"/>
    </row>
    <row r="44" spans="1:18" ht="18" customHeight="1">
      <c r="A44" s="800" t="s">
        <v>1878</v>
      </c>
      <c r="B44" s="832" t="s">
        <v>713</v>
      </c>
      <c r="C44" s="1350">
        <f ca="1">C42-C43</f>
        <v>0</v>
      </c>
      <c r="D44" s="460" t="s">
        <v>714</v>
      </c>
      <c r="E44" s="461"/>
      <c r="F44" s="462"/>
      <c r="G44" s="2045"/>
      <c r="H44" s="2045"/>
      <c r="I44" s="2045"/>
      <c r="J44" s="2045"/>
      <c r="K44" s="2066"/>
      <c r="L44" s="2045"/>
      <c r="M44" s="2045"/>
    </row>
    <row r="45" spans="1:18" ht="18" customHeight="1">
      <c r="A45" s="800" t="s">
        <v>1879</v>
      </c>
      <c r="B45" s="1349" t="s">
        <v>715</v>
      </c>
      <c r="C45" s="2988">
        <f ca="1">ROUND(-PV(F45,F46,C44,0),0)</f>
        <v>0</v>
      </c>
      <c r="D45" s="1351" t="s">
        <v>716</v>
      </c>
      <c r="E45" s="803" t="s">
        <v>717</v>
      </c>
      <c r="F45" s="827">
        <f ca="1">INDIRECT("'数据-取费表'!h"&amp;$G$1)</f>
        <v>4.4999999999999998E-2</v>
      </c>
      <c r="G45" s="2045"/>
      <c r="H45" s="2045"/>
      <c r="I45" s="2045"/>
      <c r="J45" s="2045"/>
      <c r="K45" s="2066"/>
      <c r="L45" s="2045"/>
      <c r="M45" s="2045"/>
    </row>
    <row r="46" spans="1:18" ht="18" customHeight="1" thickBot="1">
      <c r="A46" s="828"/>
      <c r="B46" s="1352"/>
      <c r="C46" s="1353"/>
      <c r="D46" s="1354"/>
      <c r="E46" s="3074" t="s">
        <v>2965</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6" t="e">
        <f ca="1">IF(M48="住宅",0,IF(L49&gt;J52,L61,J61))</f>
        <v>#DIV/0!</v>
      </c>
      <c r="O47" s="2356" t="s">
        <v>2410</v>
      </c>
      <c r="P47" s="1576"/>
      <c r="Q47" s="1587"/>
      <c r="R47" s="1576"/>
    </row>
    <row r="48" spans="1:18" s="2042" customFormat="1" ht="18" customHeight="1" thickBot="1">
      <c r="A48" s="2067"/>
      <c r="C48" s="2070"/>
      <c r="D48" s="2071"/>
      <c r="E48" s="2071"/>
      <c r="F48" s="2072"/>
      <c r="G48" s="2073"/>
      <c r="I48" s="3097" t="s">
        <v>2344</v>
      </c>
      <c r="J48" s="2343"/>
      <c r="K48" s="3103" t="s">
        <v>2349</v>
      </c>
      <c r="L48" s="3107">
        <f ca="1">INDIRECT("'数据-取费表'!d"&amp;$G$1)</f>
        <v>40</v>
      </c>
      <c r="M48" s="3071"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6" t="s">
        <v>2345</v>
      </c>
      <c r="J49" s="2344"/>
      <c r="K49" s="3104" t="s">
        <v>2351</v>
      </c>
      <c r="L49" s="1891">
        <f ca="1">INDIRECT("'数据-取费表'!f"&amp;$G$1)</f>
        <v>39.99</v>
      </c>
      <c r="O49" s="2360" t="s">
        <v>2379</v>
      </c>
      <c r="P49" s="2361" t="s">
        <v>2405</v>
      </c>
      <c r="Q49" s="2362">
        <f ca="1">C41+J31</f>
        <v>0</v>
      </c>
      <c r="R49" s="2361" t="s">
        <v>2380</v>
      </c>
    </row>
    <row r="50" spans="1:18" s="2042" customFormat="1" ht="18" customHeight="1" thickBot="1">
      <c r="A50" s="2067"/>
      <c r="D50" s="2077"/>
      <c r="E50" s="2077"/>
      <c r="F50" s="2071"/>
      <c r="G50" s="2078"/>
      <c r="H50" s="2076"/>
      <c r="I50" s="3076" t="s">
        <v>2346</v>
      </c>
      <c r="J50" s="2345"/>
      <c r="K50" s="3105"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6" t="s">
        <v>2347</v>
      </c>
      <c r="J51" s="3101">
        <f>SUMPRODUCT((I64:I66=J48)*(J63:L63=J49)*(J64:L66))</f>
        <v>0</v>
      </c>
      <c r="K51" s="3105" t="s">
        <v>2353</v>
      </c>
      <c r="L51" s="2346"/>
      <c r="O51" s="2363" t="s">
        <v>2383</v>
      </c>
      <c r="P51" s="2361" t="s">
        <v>2407</v>
      </c>
      <c r="Q51" s="2362">
        <f ca="1">C31</f>
        <v>0</v>
      </c>
      <c r="R51" s="2361" t="s">
        <v>2380</v>
      </c>
    </row>
    <row r="52" spans="1:18" s="2042" customFormat="1" ht="18" customHeight="1" thickBot="1">
      <c r="A52" s="2079"/>
      <c r="F52" s="2068"/>
      <c r="I52" s="3098" t="s">
        <v>2348</v>
      </c>
      <c r="J52" s="3102">
        <f>IF(J50="",J51,J50+J51-YEAR('数据-取费表'!B3))</f>
        <v>0</v>
      </c>
      <c r="K52" s="3076" t="s">
        <v>2354</v>
      </c>
      <c r="L52" s="3108">
        <f ca="1">ROUND(-PV(INDIRECT("'数据-取费表'!h"&amp;$G$1),L49,(C40-C14*J36),0),0)</f>
        <v>0</v>
      </c>
      <c r="O52" s="2363" t="s">
        <v>2384</v>
      </c>
      <c r="P52" s="2361" t="s">
        <v>2385</v>
      </c>
      <c r="Q52" s="2364" t="e">
        <f ca="1">J59</f>
        <v>#VALUE!</v>
      </c>
      <c r="R52" s="2365"/>
    </row>
    <row r="53" spans="1:18" s="2042" customFormat="1" ht="18" customHeight="1" thickBot="1">
      <c r="A53" s="2079"/>
      <c r="F53" s="2068"/>
      <c r="I53" s="3099" t="s">
        <v>2421</v>
      </c>
      <c r="J53" s="2347"/>
      <c r="K53" s="3099" t="s">
        <v>2420</v>
      </c>
      <c r="L53" s="2347"/>
      <c r="O53" s="2363" t="s">
        <v>2386</v>
      </c>
      <c r="P53" s="2361" t="s">
        <v>2387</v>
      </c>
      <c r="Q53" s="2364">
        <f>J53</f>
        <v>0</v>
      </c>
      <c r="R53" s="2365"/>
    </row>
    <row r="54" spans="1:18" s="2042" customFormat="1" ht="29.25" thickBot="1">
      <c r="A54" s="2079"/>
      <c r="I54" s="3100" t="s">
        <v>2978</v>
      </c>
      <c r="J54" s="3179">
        <f ca="1">IF(M48="住宅",MAX(J52,L49-'数据-取费表'!B20),MIN(J52,L49-'数据-取费表'!B20))</f>
        <v>0</v>
      </c>
      <c r="K54" s="3648"/>
      <c r="L54" s="3649"/>
      <c r="O54" s="2363" t="s">
        <v>2388</v>
      </c>
      <c r="P54" s="2361" t="s">
        <v>2389</v>
      </c>
      <c r="Q54" s="2362">
        <f ca="1">J54</f>
        <v>0</v>
      </c>
      <c r="R54" s="2361" t="s">
        <v>2390</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2391</v>
      </c>
      <c r="P55" s="2361" t="s">
        <v>2408</v>
      </c>
      <c r="Q55" s="2362">
        <f ca="1">Q49+Q50</f>
        <v>0</v>
      </c>
      <c r="R55" s="2365" t="s">
        <v>2392</v>
      </c>
    </row>
    <row r="56" spans="1:18" s="2042" customFormat="1" ht="16.5" thickBot="1">
      <c r="A56" s="2079"/>
      <c r="B56" s="2080"/>
      <c r="C56" s="2080"/>
      <c r="I56" s="3111" t="s">
        <v>2355</v>
      </c>
      <c r="J56" s="3051" t="e">
        <f ca="1">ROUND(IF(J48="钢混",J58/J51,1-(1-2%)*(J51-J58)/J51),3)</f>
        <v>#VALUE!</v>
      </c>
      <c r="K56" s="3112" t="s">
        <v>2356</v>
      </c>
      <c r="L56" s="2348"/>
      <c r="O56" s="2366" t="s">
        <v>2411</v>
      </c>
      <c r="P56" s="1576"/>
      <c r="Q56" s="1587"/>
      <c r="R56" s="1576"/>
    </row>
    <row r="57" spans="1:18" s="2042" customFormat="1" ht="43.5" thickBot="1">
      <c r="A57" s="2079"/>
      <c r="B57" s="2080"/>
      <c r="C57" s="2080"/>
      <c r="I57" s="3113" t="s">
        <v>2357</v>
      </c>
      <c r="J57" s="3123" t="s">
        <v>1678</v>
      </c>
      <c r="K57" s="3076" t="s">
        <v>2362</v>
      </c>
      <c r="L57" s="1891">
        <f ca="1">IF(L49&lt;J52,"——",L49-J52)</f>
        <v>39.99</v>
      </c>
      <c r="O57" s="2357" t="s">
        <v>2375</v>
      </c>
      <c r="P57" s="2358" t="s">
        <v>2376</v>
      </c>
      <c r="Q57" s="2359" t="s">
        <v>2377</v>
      </c>
      <c r="R57" s="2358" t="s">
        <v>2378</v>
      </c>
    </row>
    <row r="58" spans="1:18" s="2042" customFormat="1" ht="29.25" thickBot="1">
      <c r="A58" s="2079"/>
      <c r="B58" s="2080"/>
      <c r="C58" s="2080"/>
      <c r="I58" s="3114" t="s">
        <v>2358</v>
      </c>
      <c r="J58" s="3115" t="str">
        <f ca="1">IF(OR(M48="住宅",J52&lt;L49,J57="是"),"——",J52-L49)</f>
        <v>——</v>
      </c>
      <c r="K58" s="3076"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4" t="s">
        <v>2359</v>
      </c>
      <c r="J59" s="3052" t="e">
        <f ca="1">IF(J56&lt;0.4,0.4,J56)</f>
        <v>#VALUE!</v>
      </c>
      <c r="K59" s="3076"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4" t="s">
        <v>2360</v>
      </c>
      <c r="J60" s="3115" t="str">
        <f ca="1">IF(OR(M48="住宅",J52&lt;L49,J57="是"),"——",ROUND(C30*J59,0))</f>
        <v>——</v>
      </c>
      <c r="K60" s="3076"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6" t="s">
        <v>2361</v>
      </c>
      <c r="J61" s="3117" t="str">
        <f ca="1">IF(OR(M48="住宅",J52&lt;L49,J57="是"),"0",ROUND(J60/(1+J53)^J54,0))</f>
        <v>0</v>
      </c>
      <c r="K61" s="3118" t="s">
        <v>2366</v>
      </c>
      <c r="L61" s="3117"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9" t="s">
        <v>2367</v>
      </c>
      <c r="J63" s="3120" t="s">
        <v>2368</v>
      </c>
      <c r="K63" s="3120" t="s">
        <v>2369</v>
      </c>
      <c r="L63" s="3120" t="s">
        <v>2350</v>
      </c>
      <c r="M63" s="3121" t="s">
        <v>2943</v>
      </c>
      <c r="O63" s="2363" t="s">
        <v>2388</v>
      </c>
      <c r="P63" s="2361" t="s">
        <v>2396</v>
      </c>
      <c r="Q63" s="2362">
        <f ca="1">L60</f>
        <v>0</v>
      </c>
      <c r="R63" s="2365" t="s">
        <v>2397</v>
      </c>
    </row>
    <row r="64" spans="1:18" s="2042" customFormat="1" ht="15.75" thickBot="1">
      <c r="A64" s="2079"/>
      <c r="B64" s="2080"/>
      <c r="C64" s="2080"/>
      <c r="I64" s="3119" t="s">
        <v>2370</v>
      </c>
      <c r="J64" s="3120">
        <v>70</v>
      </c>
      <c r="K64" s="3120">
        <v>50</v>
      </c>
      <c r="L64" s="3120">
        <v>80</v>
      </c>
      <c r="M64" s="3122">
        <v>0.02</v>
      </c>
      <c r="O64" s="2360" t="s">
        <v>2391</v>
      </c>
      <c r="P64" s="2361" t="s">
        <v>2408</v>
      </c>
      <c r="Q64" s="2362" t="e">
        <f ca="1">Q58+Q59</f>
        <v>#DIV/0!</v>
      </c>
      <c r="R64" s="2365" t="s">
        <v>2392</v>
      </c>
    </row>
    <row r="65" spans="1:18" s="2042" customFormat="1" ht="16.5" thickBot="1">
      <c r="A65" s="2079"/>
      <c r="B65" s="2080"/>
      <c r="C65" s="2080"/>
      <c r="I65" s="3119" t="s">
        <v>2371</v>
      </c>
      <c r="J65" s="3120">
        <v>50</v>
      </c>
      <c r="K65" s="3120">
        <v>35</v>
      </c>
      <c r="L65" s="3120">
        <v>60</v>
      </c>
      <c r="M65" s="843">
        <v>0</v>
      </c>
      <c r="O65" s="2366" t="s">
        <v>2415</v>
      </c>
      <c r="P65" s="1576"/>
      <c r="Q65" s="1587"/>
      <c r="R65" s="1576"/>
    </row>
    <row r="66" spans="1:18" s="2042" customFormat="1" ht="15.75" thickBot="1">
      <c r="A66" s="2079"/>
      <c r="B66" s="2080"/>
      <c r="C66" s="2080"/>
      <c r="I66" s="3119" t="s">
        <v>2372</v>
      </c>
      <c r="J66" s="3120">
        <v>40</v>
      </c>
      <c r="K66" s="3120">
        <v>30</v>
      </c>
      <c r="L66" s="3120">
        <v>50</v>
      </c>
      <c r="M66" s="3122">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5.5E-2</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1725</v>
      </c>
      <c r="B1" s="735"/>
      <c r="C1" s="770"/>
      <c r="D1" s="3075" t="s">
        <v>952</v>
      </c>
      <c r="E1" s="2349" t="s">
        <v>2374</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1726</v>
      </c>
      <c r="B2" s="772" t="e">
        <f ca="1">C40+J29+L46</f>
        <v>#DIV/0!</v>
      </c>
      <c r="C2" s="2040"/>
      <c r="D2" s="2038"/>
      <c r="E2" s="2039"/>
      <c r="F2" s="2039"/>
      <c r="G2" s="1574"/>
      <c r="H2" s="2040"/>
      <c r="I2" s="2040"/>
      <c r="J2" s="2040"/>
      <c r="K2" s="2041"/>
      <c r="L2" s="2040"/>
      <c r="M2" s="2040"/>
    </row>
    <row r="3" spans="1:33" ht="18" customHeight="1" thickBot="1">
      <c r="A3" s="830" t="s">
        <v>1727</v>
      </c>
      <c r="B3" s="831">
        <f ca="1">IF(ISERROR(B2*10000/F43),0,ROUND(B2*10000/F43,0))</f>
        <v>0</v>
      </c>
      <c r="C3" s="2040"/>
      <c r="D3" s="2038"/>
      <c r="E3" s="2039"/>
      <c r="F3" s="2039"/>
      <c r="G3" s="1574"/>
      <c r="H3" s="773" t="s">
        <v>695</v>
      </c>
      <c r="I3" s="1356"/>
      <c r="J3" s="1356"/>
      <c r="K3" s="1575"/>
      <c r="L3" s="1356"/>
      <c r="M3" s="1356"/>
    </row>
    <row r="4" spans="1:33" ht="18" customHeight="1">
      <c r="A4" s="774" t="s">
        <v>1728</v>
      </c>
      <c r="B4" s="775" t="s">
        <v>1729</v>
      </c>
      <c r="C4" s="775" t="s">
        <v>1730</v>
      </c>
      <c r="D4" s="775" t="s">
        <v>633</v>
      </c>
      <c r="E4" s="776" t="s">
        <v>1731</v>
      </c>
      <c r="F4" s="777"/>
      <c r="G4" s="1576"/>
      <c r="H4" s="774" t="s">
        <v>1732</v>
      </c>
      <c r="I4" s="775" t="s">
        <v>1733</v>
      </c>
      <c r="J4" s="775" t="s">
        <v>1734</v>
      </c>
      <c r="K4" s="775" t="s">
        <v>1735</v>
      </c>
      <c r="L4" s="776" t="s">
        <v>1736</v>
      </c>
      <c r="M4" s="777"/>
    </row>
    <row r="5" spans="1:33" ht="18" customHeight="1">
      <c r="A5" s="778">
        <v>1</v>
      </c>
      <c r="B5" s="779" t="s">
        <v>2458</v>
      </c>
      <c r="C5" s="54">
        <f ca="1">C6+C10+C12</f>
        <v>0</v>
      </c>
      <c r="D5" s="2458" t="s">
        <v>2461</v>
      </c>
      <c r="E5" s="2452"/>
      <c r="F5" s="2453"/>
      <c r="G5" s="1576"/>
      <c r="H5" s="778">
        <v>1</v>
      </c>
      <c r="I5" s="779" t="s">
        <v>2458</v>
      </c>
      <c r="J5" s="54">
        <f ca="1">J6+J10+J12</f>
        <v>0</v>
      </c>
      <c r="K5" s="2458" t="s">
        <v>2461</v>
      </c>
      <c r="L5" s="2452"/>
      <c r="M5" s="2453"/>
    </row>
    <row r="6" spans="1:33" ht="18" customHeight="1">
      <c r="A6" s="1813" t="s">
        <v>1824</v>
      </c>
      <c r="B6" s="3644" t="s">
        <v>2463</v>
      </c>
      <c r="C6" s="780">
        <f ca="1">ROUND(F6*F8*F7*(1-F9)/10000,0)</f>
        <v>0</v>
      </c>
      <c r="D6" s="2459" t="s">
        <v>2462</v>
      </c>
      <c r="E6" s="781" t="s">
        <v>1738</v>
      </c>
      <c r="F6" s="782">
        <f ca="1">INDIRECT("'数据-取费表'!u"&amp;$G$1)</f>
        <v>0</v>
      </c>
      <c r="G6" s="1576"/>
      <c r="H6" s="2466" t="s">
        <v>2468</v>
      </c>
      <c r="I6" s="3644" t="s">
        <v>2463</v>
      </c>
      <c r="J6" s="780">
        <f ca="1">ROUND(M6*M8*M7*(1-M9)/10000,0)</f>
        <v>0</v>
      </c>
      <c r="K6" s="338" t="s">
        <v>1737</v>
      </c>
      <c r="L6" s="781" t="s">
        <v>1738</v>
      </c>
      <c r="M6" s="782">
        <f ca="1">INDIRECT("'数据-取费表'!z"&amp;$G$1)</f>
        <v>0</v>
      </c>
    </row>
    <row r="7" spans="1:33" ht="18" customHeight="1">
      <c r="A7" s="2462"/>
      <c r="B7" s="3645"/>
      <c r="C7" s="785"/>
      <c r="D7" s="786"/>
      <c r="E7" s="781" t="s">
        <v>1739</v>
      </c>
      <c r="F7" s="782">
        <f ca="1">IF(INDIRECT("'数据-取费表'!ah"&amp;$G$1)="",INDIRECT("'数据-取费表'!k"&amp;$G$1),INDIRECT("'数据-取费表'!ah"&amp;$G$1))</f>
        <v>0</v>
      </c>
      <c r="G7" s="1576"/>
      <c r="H7" s="2451"/>
      <c r="I7" s="3645"/>
      <c r="J7" s="785"/>
      <c r="K7" s="786"/>
      <c r="L7" s="781" t="s">
        <v>1739</v>
      </c>
      <c r="M7" s="782">
        <f ca="1">F7</f>
        <v>0</v>
      </c>
    </row>
    <row r="8" spans="1:33" ht="18" customHeight="1">
      <c r="A8" s="2455"/>
      <c r="B8" s="3646"/>
      <c r="C8" s="785"/>
      <c r="D8" s="786"/>
      <c r="E8" s="781" t="s">
        <v>1740</v>
      </c>
      <c r="F8" s="782">
        <f ca="1">INDIRECT("'数据-取费表'!ai"&amp;$G$1)</f>
        <v>365</v>
      </c>
      <c r="G8" s="1576"/>
      <c r="H8" s="2451"/>
      <c r="I8" s="3646"/>
      <c r="J8" s="785"/>
      <c r="K8" s="786"/>
      <c r="L8" s="781" t="s">
        <v>1740</v>
      </c>
      <c r="M8" s="782">
        <f ca="1">INDIRECT("'数据-取费表'!ai"&amp;$G$1)</f>
        <v>365</v>
      </c>
    </row>
    <row r="9" spans="1:33" ht="18" customHeight="1">
      <c r="A9" s="783"/>
      <c r="B9" s="3647"/>
      <c r="C9" s="785"/>
      <c r="D9" s="786"/>
      <c r="E9" s="781" t="s">
        <v>1741</v>
      </c>
      <c r="F9" s="791">
        <f ca="1">INDIRECT("'数据-取费表'!w"&amp;$G$1)</f>
        <v>0</v>
      </c>
      <c r="G9" s="1576"/>
      <c r="H9" s="2467"/>
      <c r="I9" s="3646"/>
      <c r="J9" s="785"/>
      <c r="K9" s="786"/>
      <c r="L9" s="792" t="s">
        <v>1741</v>
      </c>
      <c r="M9" s="793">
        <f ca="1">INDIRECT("'数据-取费表'!ab"&amp;$G$1)</f>
        <v>0</v>
      </c>
    </row>
    <row r="10" spans="1:33" ht="18" customHeight="1">
      <c r="A10" s="1813" t="s">
        <v>2466</v>
      </c>
      <c r="B10" s="2456" t="s">
        <v>2459</v>
      </c>
      <c r="C10" s="796">
        <f ca="1">ROUND(IF(F10="押一",C6/12*F11,IF(F10="押二",C6/12*2*F11,IF(F10="押三",C6/12*3*F11,C11*F11))),0)</f>
        <v>0</v>
      </c>
      <c r="D10" s="2463" t="s">
        <v>2974</v>
      </c>
      <c r="E10" s="2460" t="s">
        <v>2464</v>
      </c>
      <c r="F10" s="2583"/>
      <c r="G10" s="1576"/>
      <c r="H10" s="2523" t="s">
        <v>2469</v>
      </c>
      <c r="I10" s="2528" t="s">
        <v>2459</v>
      </c>
      <c r="J10" s="780">
        <f ca="1">ROUND(IF(M10="押一",J6/12*M11,IF(M10="押二",J6/12*2*M11,IF(M10="押三",J6/12*3*M11,J11*M11))),0)</f>
        <v>0</v>
      </c>
      <c r="K10" s="2463" t="s">
        <v>2974</v>
      </c>
      <c r="L10" s="2460" t="s">
        <v>2464</v>
      </c>
      <c r="M10" s="2583"/>
    </row>
    <row r="11" spans="1:33" ht="18" customHeight="1">
      <c r="A11" s="787"/>
      <c r="B11" s="2457" t="s">
        <v>2573</v>
      </c>
      <c r="C11" s="2461"/>
      <c r="D11" s="786"/>
      <c r="E11" s="2460" t="s">
        <v>2465</v>
      </c>
      <c r="F11" s="793">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89">
        <f ca="1">ROUND(C29*F13,0)</f>
        <v>0</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1" t="s">
        <v>645</v>
      </c>
      <c r="C14" s="801">
        <f ca="1">INDIRECT("'数据-取费表'!m"&amp;$G$1)+INDIRECT("'数据-取费表'!t"&amp;$G$1)</f>
        <v>0</v>
      </c>
      <c r="D14" s="1962" t="s">
        <v>1745</v>
      </c>
      <c r="E14" s="1963"/>
      <c r="F14" s="802"/>
      <c r="G14" s="1576"/>
      <c r="H14" s="1632" t="s">
        <v>1830</v>
      </c>
      <c r="I14" s="2214" t="s">
        <v>2825</v>
      </c>
      <c r="J14" s="52">
        <f ca="1">C29</f>
        <v>0</v>
      </c>
      <c r="K14" s="25"/>
      <c r="L14" s="798"/>
      <c r="M14" s="799"/>
    </row>
    <row r="15" spans="1:33" s="2047" customFormat="1" ht="18" customHeight="1" thickBot="1">
      <c r="A15" s="1631" t="s">
        <v>1885</v>
      </c>
      <c r="B15" s="781" t="s">
        <v>647</v>
      </c>
      <c r="C15" s="52">
        <f ca="1">ROUND(C14*F15,0)</f>
        <v>0</v>
      </c>
      <c r="D15" s="803" t="s">
        <v>1746</v>
      </c>
      <c r="E15" s="803" t="s">
        <v>1747</v>
      </c>
      <c r="F15" s="804">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1" t="s">
        <v>650</v>
      </c>
      <c r="C16" s="52">
        <f ca="1">ROUND(INDIRECT("'数据-取费表'!m"&amp;$G$1)*F16,0)</f>
        <v>0</v>
      </c>
      <c r="D16" s="781" t="s">
        <v>1746</v>
      </c>
      <c r="E16" s="781" t="s">
        <v>1747</v>
      </c>
      <c r="F16" s="806">
        <f ca="1">IF(INDIRECT("'数据-取费表'!c"&amp;$G$1)="住宅",'数据-取费表'!B34,0)</f>
        <v>0</v>
      </c>
      <c r="G16" s="1576"/>
      <c r="H16" s="1812" t="s">
        <v>1748</v>
      </c>
      <c r="I16" s="1810" t="s">
        <v>1749</v>
      </c>
      <c r="J16" s="789">
        <f ca="1">ROUND(J17+J22+J23+J24,0)</f>
        <v>0</v>
      </c>
      <c r="K16" s="1804" t="s">
        <v>1750</v>
      </c>
      <c r="L16" s="2448"/>
      <c r="M16" s="2453"/>
    </row>
    <row r="17" spans="1:33" s="2047" customFormat="1" ht="18" customHeight="1">
      <c r="A17" s="1631" t="s">
        <v>1887</v>
      </c>
      <c r="B17" s="781" t="s">
        <v>653</v>
      </c>
      <c r="C17" s="52">
        <f ca="1">ROUND(F17*(F43+INDIRECT("'数据-取费表'!S"&amp;$G$1))/10000,0)</f>
        <v>0</v>
      </c>
      <c r="D17" s="781" t="s">
        <v>1751</v>
      </c>
      <c r="E17" s="781" t="s">
        <v>1752</v>
      </c>
      <c r="F17" s="55">
        <f>'数据-取费表'!B35</f>
        <v>300</v>
      </c>
      <c r="G17" s="1577"/>
      <c r="H17" s="1632" t="s">
        <v>1830</v>
      </c>
      <c r="I17" s="781" t="s">
        <v>656</v>
      </c>
      <c r="J17" s="52">
        <f ca="1">ROUND(IF(项目基本情况!B11="自然人",J6*M17/(1+'数据-取费表'!C42),J18+J19+J20),0)</f>
        <v>0</v>
      </c>
      <c r="K17" s="2447" t="s">
        <v>1753</v>
      </c>
      <c r="L17" s="2446" t="s">
        <v>1754</v>
      </c>
      <c r="M17" s="807">
        <f ca="1">IF(项目基本情况!B11="企业","",IF(INDIRECT("'数据-取费表'!c"&amp;$G$1)="住宅",5%,IF(M6*M7*M8/12/(1+'数据-取费表'!C42)&gt;20000,12%,7%)))</f>
        <v>7.0000000000000007E-2</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1" t="s">
        <v>659</v>
      </c>
      <c r="C18" s="52">
        <f ca="1">ROUND(C14*F18,0)</f>
        <v>0</v>
      </c>
      <c r="D18" s="781" t="s">
        <v>1746</v>
      </c>
      <c r="E18" s="781" t="s">
        <v>1747</v>
      </c>
      <c r="F18" s="806">
        <f>'数据-取费表'!B36</f>
        <v>1.4999999999999999E-2</v>
      </c>
      <c r="G18" s="1577"/>
      <c r="H18" s="1631" t="s">
        <v>1884</v>
      </c>
      <c r="I18" s="781" t="s">
        <v>1755</v>
      </c>
      <c r="J18" s="52">
        <f ca="1">ROUND(J6*M18/(1+'数据-取费表'!C42),1)</f>
        <v>0</v>
      </c>
      <c r="K18" s="2446" t="s">
        <v>1756</v>
      </c>
      <c r="L18" s="781" t="s">
        <v>1747</v>
      </c>
      <c r="M18" s="806">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1" t="s">
        <v>662</v>
      </c>
      <c r="C19" s="52">
        <f ca="1">SUM(C14:C18)</f>
        <v>0</v>
      </c>
      <c r="D19" s="258" t="s">
        <v>1757</v>
      </c>
      <c r="E19" s="1965"/>
      <c r="F19" s="55"/>
      <c r="G19" s="1576"/>
      <c r="H19" s="1631" t="s">
        <v>1885</v>
      </c>
      <c r="I19" s="781" t="s">
        <v>1758</v>
      </c>
      <c r="J19" s="52">
        <f ca="1">IF(K19="按租金收入计税",ROUND(J6*M19/(1+'数据-取费表'!C42),1),ROUND(C29*F33*0.7,1))</f>
        <v>0</v>
      </c>
      <c r="K19" s="808" t="s">
        <v>665</v>
      </c>
      <c r="L19" s="781" t="s">
        <v>1747</v>
      </c>
      <c r="M19" s="806">
        <f>IF(K19="按租金收入计税",'数据-取费表'!B51,'数据-取费表'!B50)</f>
        <v>1.2E-2</v>
      </c>
    </row>
    <row r="20" spans="1:33" s="2047" customFormat="1" ht="18" customHeight="1">
      <c r="A20" s="1632" t="s">
        <v>1889</v>
      </c>
      <c r="B20" s="781" t="s">
        <v>666</v>
      </c>
      <c r="C20" s="52">
        <f ca="1">ROUND(C19*F20,0)</f>
        <v>0</v>
      </c>
      <c r="D20" s="809" t="s">
        <v>1759</v>
      </c>
      <c r="E20" s="781" t="s">
        <v>1747</v>
      </c>
      <c r="F20" s="806">
        <f>'数据-取费表'!B37</f>
        <v>0.03</v>
      </c>
      <c r="G20" s="1577"/>
      <c r="H20" s="1634" t="s">
        <v>1880</v>
      </c>
      <c r="I20" s="338" t="s">
        <v>1760</v>
      </c>
      <c r="J20" s="53">
        <f ca="1">ROUND(M20*M21/10000,0)</f>
        <v>0</v>
      </c>
      <c r="K20" s="811" t="s">
        <v>1761</v>
      </c>
      <c r="L20" s="781" t="s">
        <v>1762</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1" t="s">
        <v>1763</v>
      </c>
      <c r="C21" s="52" t="s">
        <v>1764</v>
      </c>
      <c r="D21" s="809" t="s">
        <v>2298</v>
      </c>
      <c r="E21" s="781" t="s">
        <v>1765</v>
      </c>
      <c r="F21" s="806">
        <f>'数据-取费表'!B38</f>
        <v>0.15</v>
      </c>
      <c r="G21" s="1577"/>
      <c r="H21" s="2468"/>
      <c r="I21" s="790"/>
      <c r="J21" s="68"/>
      <c r="K21" s="813"/>
      <c r="L21" s="781" t="s">
        <v>1766</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1" t="s">
        <v>1767</v>
      </c>
      <c r="C22" s="52"/>
      <c r="D22" s="2534" t="str">
        <f>IF(F23&lt;=1,"单利计息。","复利计息。")&amp;"建造成本、管理费用、销售费用产生的利息。"</f>
        <v>复利计息。建造成本、管理费用、销售费用产生的利息。</v>
      </c>
      <c r="E22" s="1965"/>
      <c r="F22" s="55"/>
      <c r="G22" s="1576"/>
      <c r="H22" s="1632" t="s">
        <v>1889</v>
      </c>
      <c r="I22" s="781" t="s">
        <v>1768</v>
      </c>
      <c r="J22" s="52">
        <f ca="1">ROUND(J14*M22,0)</f>
        <v>0</v>
      </c>
      <c r="K22" s="2446" t="s">
        <v>1769</v>
      </c>
      <c r="L22" s="781" t="s">
        <v>1747</v>
      </c>
      <c r="M22" s="814">
        <f ca="1">INDIRECT("'数据-取费表'!Ak"&amp;$G$1)</f>
        <v>0.01</v>
      </c>
    </row>
    <row r="23" spans="1:33" s="2047" customFormat="1" ht="18" customHeight="1">
      <c r="A23" s="1631" t="s">
        <v>1831</v>
      </c>
      <c r="B23" s="781" t="s">
        <v>2535</v>
      </c>
      <c r="C23" s="52">
        <f ca="1">ROUND(IF('数据-取费表'!B22&lt;=1,(C19+C20)*F24*F23/2,(C19+C20)*(POWER((1+F24),F23/2)-1)),0)</f>
        <v>0</v>
      </c>
      <c r="D23" s="2533" t="str">
        <f>IF(F23&lt;=1,"(建造成本+管理费用)×利率×(建设周期÷2)","(建造成本+管理费用)×((1+利率)^(建设周期÷2)-1)")</f>
        <v>(建造成本+管理费用)×((1+利率)^(建设周期÷2)-1)</v>
      </c>
      <c r="E23" s="781" t="s">
        <v>1770</v>
      </c>
      <c r="F23" s="637">
        <f>'数据-取费表'!B20</f>
        <v>2.5</v>
      </c>
      <c r="G23" s="1577"/>
      <c r="H23" s="1632" t="s">
        <v>1890</v>
      </c>
      <c r="I23" s="781" t="s">
        <v>679</v>
      </c>
      <c r="J23" s="52">
        <f ca="1">ROUND(J13*M23,0)</f>
        <v>0</v>
      </c>
      <c r="K23" s="2446" t="s">
        <v>1771</v>
      </c>
      <c r="L23" s="781" t="s">
        <v>1747</v>
      </c>
      <c r="M23" s="815">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1" t="s">
        <v>1772</v>
      </c>
      <c r="C24" s="52">
        <f ca="1">ROUND(IF('数据-取费表'!B22&lt;=1,F21*F24*F23/2,F21*(POWER((1+F24),F23/2)-1)),4)</f>
        <v>8.9999999999999993E-3</v>
      </c>
      <c r="D24" s="2533" t="str">
        <f>IF(F23&lt;=1,"销售费用×利率×(建设周期÷2)","销售费用×((1+利率)^(建设周期÷2)-1)")</f>
        <v>销售费用×((1+利率)^(建设周期÷2)-1)</v>
      </c>
      <c r="E24" s="781" t="s">
        <v>1773</v>
      </c>
      <c r="F24" s="816">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1" t="s">
        <v>684</v>
      </c>
      <c r="C25" s="52"/>
      <c r="D25" s="258" t="s">
        <v>1775</v>
      </c>
      <c r="E25" s="1965"/>
      <c r="F25" s="55"/>
      <c r="G25" s="1576"/>
      <c r="H25" s="1812" t="s">
        <v>1776</v>
      </c>
      <c r="I25" s="2960" t="s">
        <v>2821</v>
      </c>
      <c r="J25" s="789">
        <f ca="1">J5-J16</f>
        <v>0</v>
      </c>
      <c r="K25" s="2510" t="s">
        <v>1777</v>
      </c>
      <c r="L25" s="2511"/>
      <c r="M25" s="2512"/>
    </row>
    <row r="26" spans="1:33" ht="18" customHeight="1">
      <c r="A26" s="1631" t="s">
        <v>1831</v>
      </c>
      <c r="B26" s="781" t="s">
        <v>2438</v>
      </c>
      <c r="C26" s="52">
        <f ca="1">ROUND((C19+C20)*F26,0)</f>
        <v>0</v>
      </c>
      <c r="D26" s="809" t="s">
        <v>1778</v>
      </c>
      <c r="E26" s="792" t="s">
        <v>1779</v>
      </c>
      <c r="F26" s="791">
        <f ca="1">INDIRECT("'数据-取费表'!q"&amp;$G$1)</f>
        <v>0.25</v>
      </c>
      <c r="G26" s="1576"/>
      <c r="H26" s="2464" t="s">
        <v>1780</v>
      </c>
      <c r="I26" s="2215" t="s">
        <v>2826</v>
      </c>
      <c r="J26" s="780">
        <f ca="1">IF(J5&lt;&gt;0,ROUND(J25*(1-((1+M28)/(1+M26))^M27)/(M26-M28),0),0)</f>
        <v>0</v>
      </c>
      <c r="K26" s="811" t="s">
        <v>1781</v>
      </c>
      <c r="L26" s="781" t="s">
        <v>2419</v>
      </c>
      <c r="M26" s="791">
        <f ca="1">INDIRECT("'数据-取费表'!I"&amp;$G$1)</f>
        <v>4.4999999999999998E-2</v>
      </c>
    </row>
    <row r="27" spans="1:33" ht="18" customHeight="1">
      <c r="A27" s="1631" t="s">
        <v>1832</v>
      </c>
      <c r="B27" s="781" t="s">
        <v>686</v>
      </c>
      <c r="C27" s="52">
        <f ca="1">ROUND(F21*F26,4)</f>
        <v>3.7499999999999999E-2</v>
      </c>
      <c r="D27" s="809" t="s">
        <v>1782</v>
      </c>
      <c r="E27" s="803"/>
      <c r="F27" s="804"/>
      <c r="G27" s="1576"/>
      <c r="H27" s="2465"/>
      <c r="I27" s="784"/>
      <c r="J27" s="785"/>
      <c r="K27" s="818" t="s">
        <v>1783</v>
      </c>
      <c r="L27" s="781" t="s">
        <v>1784</v>
      </c>
      <c r="M27" s="819">
        <f ca="1">INDIRECT("'数据-取费表'!ag"&amp;$G$1)</f>
        <v>0</v>
      </c>
    </row>
    <row r="28" spans="1:33" s="2047" customFormat="1" ht="18" customHeight="1">
      <c r="A28" s="1633" t="s">
        <v>1841</v>
      </c>
      <c r="B28" s="781" t="s">
        <v>687</v>
      </c>
      <c r="C28" s="52">
        <f>ROUND(F28/(1+'数据-取费表'!C42),4)</f>
        <v>5.2400000000000002E-2</v>
      </c>
      <c r="D28" s="809" t="s">
        <v>2299</v>
      </c>
      <c r="E28" s="781" t="s">
        <v>1785</v>
      </c>
      <c r="F28" s="806">
        <f>'数据-取费表'!B41</f>
        <v>5.5000000000000007E-2</v>
      </c>
      <c r="G28" s="1577"/>
      <c r="H28" s="1812"/>
      <c r="I28" s="788"/>
      <c r="J28" s="789"/>
      <c r="K28" s="813"/>
      <c r="L28" s="781" t="s">
        <v>1786</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0</v>
      </c>
      <c r="D29" s="2507"/>
      <c r="E29" s="2508"/>
      <c r="F29" s="2509"/>
      <c r="G29" s="1577"/>
      <c r="H29" s="820" t="s">
        <v>1787</v>
      </c>
      <c r="I29" s="821" t="s">
        <v>1788</v>
      </c>
      <c r="J29" s="822">
        <f ca="1">ROUND(J26/(1+F40)^F41,0)</f>
        <v>0</v>
      </c>
      <c r="K29" s="823" t="s">
        <v>1789</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89">
        <f ca="1">ROUND(C31+C36+C37+C38,0)</f>
        <v>0</v>
      </c>
      <c r="D30" s="1804" t="s">
        <v>1791</v>
      </c>
      <c r="E30" s="2448"/>
      <c r="F30" s="2453"/>
      <c r="G30" s="2045"/>
      <c r="H30" s="2048"/>
      <c r="I30" s="2049"/>
      <c r="J30" s="2050"/>
      <c r="K30" s="2051"/>
      <c r="L30" s="2052"/>
      <c r="M30" s="2053"/>
    </row>
    <row r="31" spans="1:33" ht="18" customHeight="1">
      <c r="A31" s="1632" t="s">
        <v>1830</v>
      </c>
      <c r="B31" s="781" t="s">
        <v>656</v>
      </c>
      <c r="C31" s="52">
        <f ca="1">ROUND(IF(项目基本情况!B11="自然人",C6*F31/(1+'数据-取费表'!C42),C32+C33+C34),1)</f>
        <v>0</v>
      </c>
      <c r="D31" s="1962" t="s">
        <v>1792</v>
      </c>
      <c r="E31" s="1960" t="s">
        <v>1793</v>
      </c>
      <c r="F31" s="807">
        <f ca="1">IF(项目基本情况!B11="企业","",IF(INDIRECT("'数据-取费表'!c"&amp;$G$1)="住宅",5%,IF(F6*F7*F8/12/(1+'数据-取费表'!C42)&gt;20000,12%,7%)))</f>
        <v>7.0000000000000007E-2</v>
      </c>
      <c r="G31" s="2045"/>
      <c r="H31" s="2048"/>
      <c r="I31" s="2049"/>
      <c r="J31" s="2050"/>
      <c r="K31" s="2051"/>
      <c r="L31" s="2052"/>
      <c r="M31" s="2053"/>
    </row>
    <row r="32" spans="1:33" ht="18" customHeight="1">
      <c r="A32" s="1631" t="s">
        <v>1831</v>
      </c>
      <c r="B32" s="781" t="s">
        <v>1794</v>
      </c>
      <c r="C32" s="52">
        <f ca="1">ROUND(C6*F32/(1+'数据-取费表'!C42),1)</f>
        <v>0</v>
      </c>
      <c r="D32" s="1960" t="s">
        <v>1795</v>
      </c>
      <c r="E32" s="781" t="s">
        <v>1796</v>
      </c>
      <c r="F32" s="806">
        <f>'数据-取费表'!B41</f>
        <v>5.5000000000000007E-2</v>
      </c>
      <c r="G32" s="2045"/>
      <c r="H32" s="2054"/>
      <c r="I32" s="2055"/>
      <c r="J32" s="2056"/>
      <c r="K32" s="2057"/>
      <c r="L32" s="2058"/>
      <c r="M32" s="2059"/>
    </row>
    <row r="33" spans="1:18" ht="18" customHeight="1">
      <c r="A33" s="1631" t="s">
        <v>1832</v>
      </c>
      <c r="B33" s="781" t="s">
        <v>1797</v>
      </c>
      <c r="C33" s="52">
        <f ca="1">IF(D33="按租金收入计税",ROUND(C6*F33/(1+'数据-取费表'!C42),1),IF(D33="按房产原值计税",ROUND(C29*F33*0.7,1),INDIRECT("'数据-取费表'!Aj"&amp;$G$1)))</f>
        <v>0</v>
      </c>
      <c r="D33" s="808" t="s">
        <v>1680</v>
      </c>
      <c r="E33" s="781" t="s">
        <v>1796</v>
      </c>
      <c r="F33" s="806">
        <f>IF(D33="按租金收入计税",'数据-取费表'!B51,'数据-取费表'!B50)</f>
        <v>1.2E-2</v>
      </c>
      <c r="G33" s="2045"/>
      <c r="H33" s="2060"/>
      <c r="I33" s="2060"/>
      <c r="J33" s="2060"/>
      <c r="K33" s="2061"/>
      <c r="L33" s="2060"/>
      <c r="M33" s="2060"/>
    </row>
    <row r="34" spans="1:18" ht="18" customHeight="1">
      <c r="A34" s="1634" t="s">
        <v>1833</v>
      </c>
      <c r="B34" s="338" t="s">
        <v>1798</v>
      </c>
      <c r="C34" s="53">
        <f ca="1">ROUND(F34*F35/10000,1)</f>
        <v>0</v>
      </c>
      <c r="D34" s="811" t="s">
        <v>1799</v>
      </c>
      <c r="E34" s="781" t="s">
        <v>1800</v>
      </c>
      <c r="F34" s="637">
        <f>'数据-取费表'!B52</f>
        <v>0</v>
      </c>
      <c r="G34" s="2045"/>
      <c r="H34" s="2048"/>
      <c r="I34" s="832" t="s">
        <v>1813</v>
      </c>
      <c r="J34" s="833"/>
      <c r="K34" s="2063"/>
      <c r="L34" s="2062"/>
      <c r="M34" s="2062"/>
    </row>
    <row r="35" spans="1:18" ht="18" customHeight="1">
      <c r="A35" s="812"/>
      <c r="B35" s="790"/>
      <c r="C35" s="68"/>
      <c r="D35" s="813"/>
      <c r="E35" s="781" t="s">
        <v>1801</v>
      </c>
      <c r="F35" s="782">
        <f ca="1">INDIRECT("'数据-取费表'!r"&amp;$G$1)</f>
        <v>0</v>
      </c>
      <c r="G35" s="2045"/>
      <c r="H35" s="2048"/>
      <c r="I35" s="834" t="s">
        <v>1814</v>
      </c>
      <c r="J35" s="835">
        <f ca="1">ROUND(C13*J36,0)</f>
        <v>0</v>
      </c>
      <c r="K35" s="2061"/>
      <c r="L35" s="2060"/>
      <c r="M35" s="2060"/>
    </row>
    <row r="36" spans="1:18" ht="18" customHeight="1">
      <c r="A36" s="1632" t="s">
        <v>1889</v>
      </c>
      <c r="B36" s="781" t="s">
        <v>1802</v>
      </c>
      <c r="C36" s="52">
        <f ca="1">ROUND(C29*F36,1)</f>
        <v>0</v>
      </c>
      <c r="D36" s="1960" t="s">
        <v>1803</v>
      </c>
      <c r="E36" s="781" t="s">
        <v>1796</v>
      </c>
      <c r="F36" s="814">
        <f ca="1">INDIRECT("'数据-取费表'!Ak"&amp;$G$1)</f>
        <v>0.01</v>
      </c>
      <c r="G36" s="2045"/>
      <c r="H36" s="2060"/>
      <c r="I36" s="836" t="s">
        <v>1815</v>
      </c>
      <c r="J36" s="837">
        <f ca="1">INDIRECT("'数据-取费表'!j"&amp;$G$1)</f>
        <v>5.5E-2</v>
      </c>
      <c r="K36" s="2065"/>
      <c r="L36" s="2060"/>
      <c r="M36" s="2060"/>
    </row>
    <row r="37" spans="1:18" ht="18" customHeight="1">
      <c r="A37" s="1632" t="s">
        <v>1890</v>
      </c>
      <c r="B37" s="781" t="s">
        <v>679</v>
      </c>
      <c r="C37" s="52">
        <f ca="1">ROUND(C13*F37,1)</f>
        <v>0</v>
      </c>
      <c r="D37" s="1960" t="s">
        <v>1804</v>
      </c>
      <c r="E37" s="781" t="s">
        <v>1796</v>
      </c>
      <c r="F37" s="815">
        <f ca="1">INDIRECT("'数据-取费表'!Al"&amp;$G$1)</f>
        <v>1E-3</v>
      </c>
      <c r="G37" s="2045"/>
      <c r="H37" s="2060"/>
      <c r="I37" s="838" t="s">
        <v>1816</v>
      </c>
      <c r="J37" s="839"/>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0" t="s">
        <v>1817</v>
      </c>
      <c r="J38" s="841"/>
      <c r="K38" s="2066"/>
      <c r="L38" s="2060"/>
      <c r="M38" s="2060"/>
    </row>
    <row r="39" spans="1:18" ht="24.6" customHeight="1" thickTop="1">
      <c r="A39" s="1812" t="s">
        <v>1894</v>
      </c>
      <c r="B39" s="2960" t="s">
        <v>2821</v>
      </c>
      <c r="C39" s="789">
        <f ca="1">C5-C30</f>
        <v>0</v>
      </c>
      <c r="D39" s="2510" t="s">
        <v>1806</v>
      </c>
      <c r="E39" s="2511"/>
      <c r="F39" s="2512"/>
      <c r="G39" s="2045"/>
      <c r="H39" s="2060"/>
      <c r="I39" s="834" t="s">
        <v>1818</v>
      </c>
      <c r="J39" s="842" t="e">
        <f ca="1">ROUND(J35/C39,3)</f>
        <v>#DIV/0!</v>
      </c>
      <c r="K39" s="2066"/>
      <c r="L39" s="2060"/>
      <c r="M39" s="2060"/>
    </row>
    <row r="40" spans="1:18" ht="18" customHeight="1">
      <c r="A40" s="778" t="s">
        <v>1895</v>
      </c>
      <c r="B40" s="2215" t="s">
        <v>2301</v>
      </c>
      <c r="C40" s="780">
        <f ca="1">ROUND(C39*(1-((1+F42)/(1+F40))^F41)/(F40-F42),0)</f>
        <v>0</v>
      </c>
      <c r="D40" s="811" t="s">
        <v>1807</v>
      </c>
      <c r="E40" s="781" t="s">
        <v>2419</v>
      </c>
      <c r="F40" s="791">
        <f ca="1">INDIRECT("'数据-取费表'!I"&amp;$G$1)</f>
        <v>4.4999999999999998E-2</v>
      </c>
      <c r="G40" s="2045"/>
      <c r="H40" s="2045"/>
      <c r="I40" s="834" t="s">
        <v>1819</v>
      </c>
      <c r="J40" s="842" t="e">
        <f ca="1">1-J39</f>
        <v>#DIV/0!</v>
      </c>
      <c r="K40" s="2066"/>
      <c r="L40" s="2045"/>
      <c r="M40" s="2045"/>
    </row>
    <row r="41" spans="1:18" ht="18" customHeight="1">
      <c r="A41" s="783"/>
      <c r="B41" s="784"/>
      <c r="C41" s="785"/>
      <c r="D41" s="818" t="s">
        <v>1808</v>
      </c>
      <c r="E41" s="781" t="s">
        <v>2964</v>
      </c>
      <c r="F41" s="819">
        <f ca="1">IF(INDIRECT("'数据-取费表'!af"&amp;$G$1)=0,INDIRECT("'数据-取费表'!ae"&amp;$G$1),INDIRECT("'数据-取费表'!af"&amp;$G$1))</f>
        <v>0</v>
      </c>
      <c r="G41" s="2045"/>
      <c r="H41" s="1971"/>
      <c r="I41" s="840" t="s">
        <v>1820</v>
      </c>
      <c r="J41" s="843"/>
      <c r="K41" s="2065"/>
      <c r="L41" s="1971"/>
      <c r="M41" s="1971"/>
    </row>
    <row r="42" spans="1:18" ht="18" customHeight="1">
      <c r="A42" s="787"/>
      <c r="B42" s="788"/>
      <c r="C42" s="789"/>
      <c r="D42" s="813"/>
      <c r="E42" s="781" t="s">
        <v>1809</v>
      </c>
      <c r="F42" s="791">
        <f ca="1">INDIRECT("'数据-取费表'!v"&amp;$G$1)</f>
        <v>0</v>
      </c>
      <c r="G42" s="2045"/>
      <c r="H42" s="1971"/>
      <c r="I42" s="844" t="s">
        <v>1821</v>
      </c>
      <c r="J42" s="842" t="e">
        <f ca="1">ROUND(C13/C40,3)</f>
        <v>#DIV/0!</v>
      </c>
      <c r="K42" s="2065"/>
      <c r="L42" s="1971"/>
      <c r="M42" s="1971"/>
    </row>
    <row r="43" spans="1:18" ht="18" customHeight="1" thickBot="1">
      <c r="A43" s="820" t="s">
        <v>1787</v>
      </c>
      <c r="B43" s="821" t="s">
        <v>1810</v>
      </c>
      <c r="C43" s="822" t="e">
        <f ca="1">ROUND(C40*10000/F43,0)</f>
        <v>#DIV/0!</v>
      </c>
      <c r="D43" s="823" t="s">
        <v>1811</v>
      </c>
      <c r="E43" s="824" t="s">
        <v>1812</v>
      </c>
      <c r="F43" s="825">
        <f ca="1">INDIRECT("'数据-取费表'!k"&amp;$G$1)</f>
        <v>0</v>
      </c>
      <c r="G43" s="2045"/>
      <c r="H43" s="1971"/>
      <c r="I43" s="844" t="s">
        <v>1822</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6" t="e">
        <f ca="1">IF(OR(M47="住宅",D1="土地（套用方法）"),0,IF(L48&gt;J51,L60,J60))</f>
        <v>#DIV/0!</v>
      </c>
      <c r="O46" s="2356" t="s">
        <v>2410</v>
      </c>
      <c r="P46" s="1576"/>
      <c r="Q46" s="1587"/>
      <c r="R46" s="1576"/>
    </row>
    <row r="47" spans="1:18" s="2042" customFormat="1" ht="18" customHeight="1" thickBot="1">
      <c r="A47" s="2334">
        <v>1</v>
      </c>
      <c r="B47" s="2335" t="s">
        <v>635</v>
      </c>
      <c r="C47" s="2536">
        <f ca="1">C48+C52+C54</f>
        <v>0</v>
      </c>
      <c r="D47" s="2068"/>
      <c r="E47" s="2068"/>
      <c r="F47" s="2068"/>
      <c r="I47" s="3097" t="s">
        <v>2344</v>
      </c>
      <c r="J47" s="2343"/>
      <c r="K47" s="3103" t="s">
        <v>2349</v>
      </c>
      <c r="L47" s="3107">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6" t="s">
        <v>2345</v>
      </c>
      <c r="J48" s="2344"/>
      <c r="K48" s="3104" t="s">
        <v>2351</v>
      </c>
      <c r="L48" s="1891">
        <f ca="1">INDIRECT("'数据-取费表'!f"&amp;$G$1)</f>
        <v>39.99</v>
      </c>
      <c r="O48" s="2360" t="s">
        <v>2379</v>
      </c>
      <c r="P48" s="2361" t="s">
        <v>2405</v>
      </c>
      <c r="Q48" s="2362">
        <f ca="1">C40+J29</f>
        <v>0</v>
      </c>
      <c r="R48" s="2361" t="s">
        <v>2380</v>
      </c>
    </row>
    <row r="49" spans="1:18" s="2042" customFormat="1" ht="18" customHeight="1" thickBot="1">
      <c r="A49" s="783"/>
      <c r="B49" s="784"/>
      <c r="C49" s="785"/>
      <c r="D49" s="786"/>
      <c r="E49" s="781" t="s">
        <v>1739</v>
      </c>
      <c r="F49" s="782">
        <f ca="1">F7</f>
        <v>0</v>
      </c>
      <c r="G49" s="2073"/>
      <c r="H49" s="2076"/>
      <c r="I49" s="3076" t="s">
        <v>2346</v>
      </c>
      <c r="J49" s="2345"/>
      <c r="K49" s="3105" t="s">
        <v>2352</v>
      </c>
      <c r="L49" s="2346"/>
      <c r="O49" s="2360" t="s">
        <v>2381</v>
      </c>
      <c r="P49" s="2361" t="s">
        <v>2406</v>
      </c>
      <c r="Q49" s="2362" t="str">
        <f ca="1">J60</f>
        <v>0</v>
      </c>
      <c r="R49" s="2361" t="s">
        <v>2382</v>
      </c>
    </row>
    <row r="50" spans="1:18" s="2042" customFormat="1" ht="18" customHeight="1" thickBot="1">
      <c r="A50" s="783"/>
      <c r="B50" s="784"/>
      <c r="C50" s="785"/>
      <c r="D50" s="786"/>
      <c r="E50" s="781" t="s">
        <v>1740</v>
      </c>
      <c r="F50" s="782">
        <f ca="1">F8</f>
        <v>365</v>
      </c>
      <c r="G50" s="2078"/>
      <c r="H50" s="2076"/>
      <c r="I50" s="3076" t="s">
        <v>2347</v>
      </c>
      <c r="J50" s="3101">
        <f>SUMPRODUCT((I63:I65=J47)*(J62:L62=J48)*(J63:L65))</f>
        <v>0</v>
      </c>
      <c r="K50" s="3105" t="s">
        <v>2353</v>
      </c>
      <c r="L50" s="2346"/>
      <c r="O50" s="2363" t="s">
        <v>2383</v>
      </c>
      <c r="P50" s="2361" t="s">
        <v>2407</v>
      </c>
      <c r="Q50" s="2362">
        <f ca="1">C29</f>
        <v>0</v>
      </c>
      <c r="R50" s="2361" t="s">
        <v>2380</v>
      </c>
    </row>
    <row r="51" spans="1:18" s="2042" customFormat="1" ht="18" customHeight="1" thickBot="1">
      <c r="A51" s="783"/>
      <c r="B51" s="784"/>
      <c r="C51" s="785"/>
      <c r="D51" s="786"/>
      <c r="E51" s="781" t="s">
        <v>640</v>
      </c>
      <c r="F51" s="2333"/>
      <c r="H51" s="2076"/>
      <c r="I51" s="3098" t="s">
        <v>2348</v>
      </c>
      <c r="J51" s="3102">
        <f>IF(J49="",J50,J49+J50-YEAR('数据-取费表'!B2))</f>
        <v>0</v>
      </c>
      <c r="K51" s="3076" t="s">
        <v>2354</v>
      </c>
      <c r="L51" s="3108">
        <f ca="1">ROUND(-PV(INDIRECT("'数据-取费表'!h"&amp;$G$1),L48,(C39-C13*J36),0),0)</f>
        <v>0</v>
      </c>
      <c r="O51" s="2363" t="s">
        <v>2384</v>
      </c>
      <c r="P51" s="2361" t="s">
        <v>2385</v>
      </c>
      <c r="Q51" s="2364" t="e">
        <f ca="1">J58</f>
        <v>#VALUE!</v>
      </c>
      <c r="R51" s="2365"/>
    </row>
    <row r="52" spans="1:18" s="2042" customFormat="1" ht="18" customHeight="1" thickBot="1">
      <c r="A52" s="778" t="s">
        <v>2536</v>
      </c>
      <c r="B52" s="2456" t="s">
        <v>2459</v>
      </c>
      <c r="C52" s="796">
        <f ca="1">ROUND(IF(F52="押一",C48/12*F11,IF(F52="押二",C48/12*2*F11,IF(F52="押三",C48/12*3*F11,C53*F11))),0)</f>
        <v>0</v>
      </c>
      <c r="D52" s="2463" t="s">
        <v>2975</v>
      </c>
      <c r="E52" s="2460" t="s">
        <v>2464</v>
      </c>
      <c r="F52" s="2583"/>
      <c r="I52" s="3099" t="s">
        <v>2421</v>
      </c>
      <c r="J52" s="2347"/>
      <c r="K52" s="3099" t="s">
        <v>2420</v>
      </c>
      <c r="L52" s="2347"/>
      <c r="O52" s="2363" t="s">
        <v>2386</v>
      </c>
      <c r="P52" s="2361" t="s">
        <v>2387</v>
      </c>
      <c r="Q52" s="2364">
        <f>J52</f>
        <v>0</v>
      </c>
      <c r="R52" s="2365"/>
    </row>
    <row r="53" spans="1:18" s="2042" customFormat="1" ht="39.75" customHeight="1" thickBot="1">
      <c r="A53" s="783"/>
      <c r="B53" s="2457" t="s">
        <v>2573</v>
      </c>
      <c r="C53" s="2461"/>
      <c r="D53" s="2463"/>
      <c r="E53" s="2460"/>
      <c r="F53" s="797"/>
      <c r="I53" s="3100" t="s">
        <v>2978</v>
      </c>
      <c r="J53" s="3179">
        <f ca="1">IF(M47="住宅",IF(D1="——",MAX(J51,L48),MAX(J51,L48-'数据-取费表'!B20)),IF(D1="——",MIN(J51,L48),MIN(J51,L48-'数据-取费表'!B20)))</f>
        <v>0</v>
      </c>
      <c r="K53" s="3650" t="s">
        <v>2966</v>
      </c>
      <c r="L53" s="3651"/>
      <c r="O53" s="2363" t="s">
        <v>2388</v>
      </c>
      <c r="P53" s="2361" t="s">
        <v>2389</v>
      </c>
      <c r="Q53" s="2362">
        <f ca="1">J53</f>
        <v>0</v>
      </c>
      <c r="R53" s="2361" t="s">
        <v>2390</v>
      </c>
    </row>
    <row r="54" spans="1:18" s="2042" customFormat="1" ht="18" customHeight="1" thickBot="1">
      <c r="A54" s="2499" t="s">
        <v>2467</v>
      </c>
      <c r="B54" s="2500" t="s">
        <v>2460</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2391</v>
      </c>
      <c r="P54" s="2361" t="s">
        <v>2408</v>
      </c>
      <c r="Q54" s="2362">
        <f ca="1">Q48+Q49</f>
        <v>0</v>
      </c>
      <c r="R54" s="2365" t="s">
        <v>2392</v>
      </c>
    </row>
    <row r="55" spans="1:18" s="2042" customFormat="1" ht="18" customHeight="1" thickTop="1" thickBot="1">
      <c r="A55" s="794">
        <v>2</v>
      </c>
      <c r="B55" s="795" t="s">
        <v>644</v>
      </c>
      <c r="C55" s="796">
        <f ca="1">C13</f>
        <v>0</v>
      </c>
      <c r="D55" s="792"/>
      <c r="E55" s="792"/>
      <c r="F55" s="797"/>
      <c r="I55" s="3111" t="s">
        <v>2355</v>
      </c>
      <c r="J55" s="3051" t="e">
        <f ca="1">ROUND(IF(J47="钢混",J57/J50,1-(1-2%)*(J50-J57)/J50),3)</f>
        <v>#VALUE!</v>
      </c>
      <c r="K55" s="3112" t="s">
        <v>2356</v>
      </c>
      <c r="L55" s="2348"/>
      <c r="O55" s="2366" t="s">
        <v>2411</v>
      </c>
      <c r="P55" s="1576"/>
      <c r="Q55" s="1587"/>
      <c r="R55" s="1576"/>
    </row>
    <row r="56" spans="1:18" s="2042" customFormat="1" ht="42.75" customHeight="1" thickBot="1">
      <c r="A56" s="1633"/>
      <c r="B56" s="2214" t="s">
        <v>2302</v>
      </c>
      <c r="C56" s="52">
        <f ca="1">C29</f>
        <v>0</v>
      </c>
      <c r="D56" s="2601"/>
      <c r="E56" s="781"/>
      <c r="F56" s="806"/>
      <c r="I56" s="3113" t="s">
        <v>2357</v>
      </c>
      <c r="J56" s="3123"/>
      <c r="K56" s="3076" t="s">
        <v>2362</v>
      </c>
      <c r="L56" s="1891">
        <f ca="1">IF(L48&lt;J51,"——",L48-J51)</f>
        <v>39.99</v>
      </c>
      <c r="O56" s="2357" t="s">
        <v>2375</v>
      </c>
      <c r="P56" s="2358" t="s">
        <v>2376</v>
      </c>
      <c r="Q56" s="2359" t="s">
        <v>2377</v>
      </c>
      <c r="R56" s="2358" t="s">
        <v>2378</v>
      </c>
    </row>
    <row r="57" spans="1:18" s="2042" customFormat="1" ht="28.5" customHeight="1" thickBot="1">
      <c r="A57" s="794" t="s">
        <v>1748</v>
      </c>
      <c r="B57" s="795" t="s">
        <v>651</v>
      </c>
      <c r="C57" s="796">
        <f ca="1">ROUND(C58+C63+C64+C65,0)</f>
        <v>0</v>
      </c>
      <c r="D57" s="25" t="s">
        <v>1750</v>
      </c>
      <c r="E57" s="2602"/>
      <c r="F57" s="55"/>
      <c r="I57" s="3114" t="s">
        <v>2358</v>
      </c>
      <c r="J57" s="3115" t="str">
        <f ca="1">IF(OR(M47="住宅",J51&lt;L48,J56="是"),"——",J51-L48)</f>
        <v>——</v>
      </c>
      <c r="K57" s="3076" t="s">
        <v>2363</v>
      </c>
      <c r="L57" s="1891">
        <f ca="1">IF(L48&lt;J51,"——",IF(L55="比较法",L49,IF(L55="基准地价",L50,L51)))</f>
        <v>0</v>
      </c>
      <c r="O57" s="2360" t="s">
        <v>2379</v>
      </c>
      <c r="P57" s="2361" t="s">
        <v>2409</v>
      </c>
      <c r="Q57" s="2362">
        <f ca="1">C40+J29</f>
        <v>0</v>
      </c>
      <c r="R57" s="2361" t="s">
        <v>2380</v>
      </c>
    </row>
    <row r="58" spans="1:18" s="2042" customFormat="1" ht="28.5" customHeight="1" thickBot="1">
      <c r="A58" s="1632" t="s">
        <v>1824</v>
      </c>
      <c r="B58" s="781" t="s">
        <v>656</v>
      </c>
      <c r="C58" s="52">
        <f ca="1">ROUND(IF(项目基本情况!B11="自然人",C47*F58,C59+C60+C61),1)</f>
        <v>0</v>
      </c>
      <c r="D58" s="2600" t="s">
        <v>657</v>
      </c>
      <c r="E58" s="2601" t="s">
        <v>690</v>
      </c>
      <c r="F58" s="807">
        <f ca="1">IF(项目基本情况!B11="企业","",IF(INDIRECT("'数据-取费表'!c"&amp;$G$1)="住宅",5%,IF(F48*F49*F50/12/(1+'数据-取费表'!C42)&gt;20000,12%,7%)))</f>
        <v>7.0000000000000007E-2</v>
      </c>
      <c r="I58" s="3114" t="s">
        <v>2359</v>
      </c>
      <c r="J58" s="3052" t="e">
        <f ca="1">IF(J55&lt;0.4,0.4,J55)</f>
        <v>#VALUE!</v>
      </c>
      <c r="K58" s="3076" t="s">
        <v>2364</v>
      </c>
      <c r="L58" s="1891" t="e">
        <f ca="1">ROUND(POWER(1+L52,L47-L48)*(POWER(1+L52,L48)-1)/(POWER(1+L52,L47)-1),4)</f>
        <v>#DIV/0!</v>
      </c>
      <c r="O58" s="2360" t="s">
        <v>2381</v>
      </c>
      <c r="P58" s="2361" t="s">
        <v>2412</v>
      </c>
      <c r="Q58" s="2362" t="e">
        <f ca="1">L60</f>
        <v>#DIV/0!</v>
      </c>
      <c r="R58" s="2365" t="s">
        <v>2414</v>
      </c>
    </row>
    <row r="59" spans="1:18" s="2042" customFormat="1" ht="28.5" customHeight="1" thickBot="1">
      <c r="A59" s="1631" t="s">
        <v>1831</v>
      </c>
      <c r="B59" s="781" t="s">
        <v>660</v>
      </c>
      <c r="C59" s="52">
        <f ca="1">ROUND(C47*F59/1.05,1)</f>
        <v>0</v>
      </c>
      <c r="D59" s="2601" t="s">
        <v>1756</v>
      </c>
      <c r="E59" s="781" t="s">
        <v>1747</v>
      </c>
      <c r="F59" s="806">
        <f t="shared" ref="F59:F65" si="0">F32</f>
        <v>5.5000000000000007E-2</v>
      </c>
      <c r="I59" s="3114" t="s">
        <v>2360</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1" t="s">
        <v>1758</v>
      </c>
      <c r="C60" s="52">
        <f ca="1">IF(D60="按租金收入计税",ROUND(C47*F60,1),IF(D60="按房产原值计税",ROUND(C56*F60*0.7,1),INDIRECT("'数据-取费表'!Aj"&amp;$G$1)))</f>
        <v>0</v>
      </c>
      <c r="D60" s="2601" t="str">
        <f>D33</f>
        <v>按房产原值计税</v>
      </c>
      <c r="E60" s="781" t="s">
        <v>1747</v>
      </c>
      <c r="F60" s="806">
        <f t="shared" si="0"/>
        <v>1.2E-2</v>
      </c>
      <c r="I60" s="3116" t="s">
        <v>2361</v>
      </c>
      <c r="J60" s="3117" t="str">
        <f ca="1">IF(OR(M47="住宅",J51&lt;L48,J56="是"),"0",ROUND(J59/(1+J52)^J53,0))</f>
        <v>0</v>
      </c>
      <c r="K60" s="3118" t="s">
        <v>2366</v>
      </c>
      <c r="L60" s="3117" t="e">
        <f ca="1">IF(OR(M47="住宅",L48&lt;J51),0,ROUND(L57*(L58/L59-1),0))</f>
        <v>#DIV/0!</v>
      </c>
      <c r="O60" s="2363" t="s">
        <v>2384</v>
      </c>
      <c r="P60" s="2361" t="s">
        <v>2393</v>
      </c>
      <c r="Q60" s="2364">
        <f>L52</f>
        <v>0</v>
      </c>
      <c r="R60" s="2365"/>
    </row>
    <row r="61" spans="1:18" s="2042" customFormat="1" ht="18" customHeight="1" thickBot="1">
      <c r="A61" s="1634" t="s">
        <v>1833</v>
      </c>
      <c r="B61" s="338" t="s">
        <v>668</v>
      </c>
      <c r="C61" s="53">
        <f ca="1">ROUND(F61*F62/10000,1)</f>
        <v>0</v>
      </c>
      <c r="D61" s="811" t="s">
        <v>669</v>
      </c>
      <c r="E61" s="781" t="s">
        <v>670</v>
      </c>
      <c r="F61" s="637">
        <f t="shared" si="0"/>
        <v>0</v>
      </c>
      <c r="K61" s="2069"/>
      <c r="O61" s="2363" t="s">
        <v>2386</v>
      </c>
      <c r="P61" s="2361" t="s">
        <v>2394</v>
      </c>
      <c r="Q61" s="2362" t="e">
        <f ca="1">L58</f>
        <v>#DIV/0!</v>
      </c>
      <c r="R61" s="2365" t="s">
        <v>2395</v>
      </c>
    </row>
    <row r="62" spans="1:18" s="2042" customFormat="1" ht="15.75" thickBot="1">
      <c r="A62" s="812"/>
      <c r="B62" s="790"/>
      <c r="C62" s="68"/>
      <c r="D62" s="813"/>
      <c r="E62" s="781" t="s">
        <v>674</v>
      </c>
      <c r="F62" s="782">
        <f t="shared" ca="1" si="0"/>
        <v>0</v>
      </c>
      <c r="I62" s="3119" t="s">
        <v>2367</v>
      </c>
      <c r="J62" s="3120" t="s">
        <v>2368</v>
      </c>
      <c r="K62" s="3120" t="s">
        <v>2369</v>
      </c>
      <c r="L62" s="3120" t="s">
        <v>2350</v>
      </c>
      <c r="M62" s="3121" t="s">
        <v>2943</v>
      </c>
      <c r="O62" s="2363" t="s">
        <v>2388</v>
      </c>
      <c r="P62" s="2361" t="str">
        <f>K59</f>
        <v>建筑物剩余耐用年限下的土地年期修正系数Kn</v>
      </c>
      <c r="Q62" s="2362" t="e">
        <f ca="1">L59</f>
        <v>#DIV/0!</v>
      </c>
      <c r="R62" s="2365" t="s">
        <v>2397</v>
      </c>
    </row>
    <row r="63" spans="1:18" s="2042" customFormat="1" ht="15.75" thickBot="1">
      <c r="A63" s="1632" t="s">
        <v>1889</v>
      </c>
      <c r="B63" s="781" t="s">
        <v>676</v>
      </c>
      <c r="C63" s="52">
        <f ca="1">ROUND(C56*F63,1)</f>
        <v>0</v>
      </c>
      <c r="D63" s="2601" t="s">
        <v>1803</v>
      </c>
      <c r="E63" s="781" t="s">
        <v>1747</v>
      </c>
      <c r="F63" s="814">
        <f t="shared" ca="1" si="0"/>
        <v>0.01</v>
      </c>
      <c r="I63" s="3119" t="s">
        <v>2370</v>
      </c>
      <c r="J63" s="3120">
        <v>70</v>
      </c>
      <c r="K63" s="3120">
        <v>50</v>
      </c>
      <c r="L63" s="3120">
        <v>80</v>
      </c>
      <c r="M63" s="3122">
        <v>0.02</v>
      </c>
      <c r="O63" s="2360" t="s">
        <v>2391</v>
      </c>
      <c r="P63" s="2361" t="s">
        <v>2408</v>
      </c>
      <c r="Q63" s="2362" t="e">
        <f ca="1">Q57+Q58</f>
        <v>#DIV/0!</v>
      </c>
      <c r="R63" s="2365" t="s">
        <v>2392</v>
      </c>
    </row>
    <row r="64" spans="1:18" s="2042" customFormat="1" ht="16.5" thickBot="1">
      <c r="A64" s="1632" t="s">
        <v>1890</v>
      </c>
      <c r="B64" s="781" t="s">
        <v>679</v>
      </c>
      <c r="C64" s="52">
        <f ca="1">ROUND(C55*F64,1)</f>
        <v>0</v>
      </c>
      <c r="D64" s="2601" t="s">
        <v>680</v>
      </c>
      <c r="E64" s="781" t="s">
        <v>1747</v>
      </c>
      <c r="F64" s="815">
        <f t="shared" ca="1" si="0"/>
        <v>1E-3</v>
      </c>
      <c r="I64" s="3119" t="s">
        <v>2371</v>
      </c>
      <c r="J64" s="3120">
        <v>50</v>
      </c>
      <c r="K64" s="3120">
        <v>35</v>
      </c>
      <c r="L64" s="3120">
        <v>60</v>
      </c>
      <c r="M64" s="843">
        <v>0</v>
      </c>
      <c r="O64" s="2366" t="s">
        <v>2415</v>
      </c>
      <c r="P64" s="1576"/>
      <c r="Q64" s="1587"/>
      <c r="R64" s="1576"/>
    </row>
    <row r="65" spans="1:18" s="2042" customFormat="1" ht="15.75" thickBot="1">
      <c r="A65" s="1632" t="s">
        <v>1891</v>
      </c>
      <c r="B65" s="781" t="s">
        <v>666</v>
      </c>
      <c r="C65" s="52">
        <f ca="1">ROUND(C47*F65,1)</f>
        <v>0</v>
      </c>
      <c r="D65" s="2601" t="s">
        <v>683</v>
      </c>
      <c r="E65" s="781" t="s">
        <v>1747</v>
      </c>
      <c r="F65" s="791">
        <f t="shared" ca="1" si="0"/>
        <v>0.01</v>
      </c>
      <c r="I65" s="3119" t="s">
        <v>2372</v>
      </c>
      <c r="J65" s="3120">
        <v>40</v>
      </c>
      <c r="K65" s="3120">
        <v>30</v>
      </c>
      <c r="L65" s="3120">
        <v>50</v>
      </c>
      <c r="M65" s="3122">
        <v>0.02</v>
      </c>
      <c r="O65" s="2357" t="s">
        <v>2375</v>
      </c>
      <c r="P65" s="2358" t="s">
        <v>2376</v>
      </c>
      <c r="Q65" s="2359" t="s">
        <v>2377</v>
      </c>
      <c r="R65" s="2358" t="s">
        <v>2378</v>
      </c>
    </row>
    <row r="66" spans="1:18" s="2042" customFormat="1" ht="24.75" thickBot="1">
      <c r="A66" s="794" t="s">
        <v>1776</v>
      </c>
      <c r="B66" s="2961" t="s">
        <v>2821</v>
      </c>
      <c r="C66" s="796">
        <f ca="1">C47-C57</f>
        <v>0</v>
      </c>
      <c r="D66" s="2600" t="s">
        <v>700</v>
      </c>
      <c r="E66" s="2599"/>
      <c r="F66" s="817"/>
      <c r="K66" s="2069"/>
      <c r="O66" s="2360" t="s">
        <v>2379</v>
      </c>
      <c r="P66" s="2361" t="s">
        <v>2409</v>
      </c>
      <c r="Q66" s="2362">
        <f ca="1">C40+J29</f>
        <v>0</v>
      </c>
      <c r="R66" s="2361" t="s">
        <v>2380</v>
      </c>
    </row>
    <row r="67" spans="1:18" s="2042" customFormat="1" ht="20.25" thickBot="1">
      <c r="A67" s="778" t="s">
        <v>1780</v>
      </c>
      <c r="B67" s="2215" t="s">
        <v>2301</v>
      </c>
      <c r="C67" s="780">
        <f ca="1">ROUND(C66*(1-((1+F69)/(1+F67))^F68)/(F67-F69),0)</f>
        <v>0</v>
      </c>
      <c r="D67" s="811" t="s">
        <v>704</v>
      </c>
      <c r="E67" s="781" t="s">
        <v>705</v>
      </c>
      <c r="F67" s="791">
        <f ca="1">F40</f>
        <v>4.4999999999999998E-2</v>
      </c>
      <c r="K67" s="2069"/>
      <c r="O67" s="2360" t="s">
        <v>2381</v>
      </c>
      <c r="P67" s="2361" t="s">
        <v>2412</v>
      </c>
      <c r="Q67" s="2362" t="e">
        <f ca="1">L60</f>
        <v>#DIV/0!</v>
      </c>
      <c r="R67" s="2365" t="s">
        <v>2414</v>
      </c>
    </row>
    <row r="68" spans="1:18" ht="21.75" thickBot="1">
      <c r="A68" s="783"/>
      <c r="B68" s="784"/>
      <c r="C68" s="785"/>
      <c r="D68" s="818" t="s">
        <v>1808</v>
      </c>
      <c r="E68" s="781" t="s">
        <v>1784</v>
      </c>
      <c r="F68" s="819">
        <f ca="1">F41</f>
        <v>0</v>
      </c>
      <c r="O68" s="2363" t="s">
        <v>2383</v>
      </c>
      <c r="P68" s="2361" t="s">
        <v>2413</v>
      </c>
      <c r="Q68" s="2367">
        <f ca="1">L51</f>
        <v>0</v>
      </c>
      <c r="R68" s="2368" t="s">
        <v>2416</v>
      </c>
    </row>
    <row r="69" spans="1:18" ht="20.25" thickBot="1">
      <c r="A69" s="787"/>
      <c r="B69" s="788"/>
      <c r="C69" s="789"/>
      <c r="D69" s="813"/>
      <c r="E69" s="781" t="s">
        <v>710</v>
      </c>
      <c r="F69" s="2333"/>
      <c r="O69" s="2363" t="s">
        <v>2384</v>
      </c>
      <c r="P69" s="2369" t="s">
        <v>2398</v>
      </c>
      <c r="Q69" s="2362">
        <f ca="1">ROUND(Q70-Q71*Q72,0)</f>
        <v>0</v>
      </c>
      <c r="R69" s="2365"/>
    </row>
    <row r="70" spans="1:18" ht="15.75" thickBot="1">
      <c r="A70" s="820" t="s">
        <v>1787</v>
      </c>
      <c r="B70" s="821" t="s">
        <v>1810</v>
      </c>
      <c r="C70" s="822" t="e">
        <f ca="1">ROUND(C67*10000/F70,0)</f>
        <v>#DIV/0!</v>
      </c>
      <c r="D70" s="823" t="s">
        <v>1811</v>
      </c>
      <c r="E70" s="824" t="s">
        <v>1812</v>
      </c>
      <c r="F70" s="825">
        <f ca="1">F43</f>
        <v>0</v>
      </c>
      <c r="O70" s="2363" t="s">
        <v>2399</v>
      </c>
      <c r="P70" s="2369" t="s">
        <v>2400</v>
      </c>
      <c r="Q70" s="2362">
        <f ca="1">C39</f>
        <v>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5.5E-2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建筑物剩余耐用年限下的土地年期修正系数Kn</v>
      </c>
      <c r="Q75" s="2362" t="e">
        <f ca="1">L59</f>
        <v>#DIV/0!</v>
      </c>
      <c r="R75" s="2365" t="s">
        <v>2397</v>
      </c>
    </row>
    <row r="76" spans="1:18" ht="15.75" thickBot="1">
      <c r="O76" s="2360" t="s">
        <v>2391</v>
      </c>
      <c r="P76" s="2361" t="s">
        <v>2408</v>
      </c>
      <c r="Q76" s="2362" t="e">
        <f ca="1">Q66+Q67</f>
        <v>#DIV/0!</v>
      </c>
      <c r="R76" s="2365" t="s">
        <v>2392</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8" t="s">
        <v>2471</v>
      </c>
      <c r="B1" s="3669"/>
      <c r="C1" s="3670"/>
      <c r="D1" s="3671">
        <f>SUM(I10,I15,I20,I21,I23)</f>
        <v>0</v>
      </c>
      <c r="E1" s="3671"/>
      <c r="F1" s="3671"/>
      <c r="G1" s="3671"/>
      <c r="H1" s="3671"/>
      <c r="I1" s="3672"/>
    </row>
    <row r="2" spans="1:9">
      <c r="A2" s="3658" t="s">
        <v>2472</v>
      </c>
      <c r="B2" s="3659" t="s">
        <v>2473</v>
      </c>
      <c r="C2" s="3659"/>
      <c r="D2" s="2469" t="s">
        <v>2474</v>
      </c>
      <c r="E2" s="2469" t="s">
        <v>2475</v>
      </c>
      <c r="F2" s="2469" t="s">
        <v>2476</v>
      </c>
      <c r="G2" s="2469" t="s">
        <v>2477</v>
      </c>
      <c r="H2" s="2469" t="s">
        <v>2478</v>
      </c>
      <c r="I2" s="2470" t="s">
        <v>2479</v>
      </c>
    </row>
    <row r="3" spans="1:9">
      <c r="A3" s="3658"/>
      <c r="B3" s="3659" t="s">
        <v>2480</v>
      </c>
      <c r="C3" s="3659"/>
      <c r="D3" s="2471"/>
      <c r="E3" s="2469"/>
      <c r="F3" s="2472"/>
      <c r="G3" s="2472"/>
      <c r="H3" s="2473"/>
      <c r="I3" s="2474">
        <f>ROUND(D3*E3*F3*G3*H3/10000,0)</f>
        <v>0</v>
      </c>
    </row>
    <row r="4" spans="1:9">
      <c r="A4" s="3658"/>
      <c r="B4" s="3659" t="s">
        <v>2481</v>
      </c>
      <c r="C4" s="3659"/>
      <c r="D4" s="2471"/>
      <c r="E4" s="2469"/>
      <c r="F4" s="2472"/>
      <c r="G4" s="2472"/>
      <c r="H4" s="2473"/>
      <c r="I4" s="2474">
        <f t="shared" ref="I4:I9" si="0">ROUND(D4*E4*F4*G4*H4/10000,0)</f>
        <v>0</v>
      </c>
    </row>
    <row r="5" spans="1:9">
      <c r="A5" s="3658"/>
      <c r="B5" s="3659" t="s">
        <v>2482</v>
      </c>
      <c r="C5" s="3659"/>
      <c r="D5" s="2471"/>
      <c r="E5" s="2469"/>
      <c r="F5" s="2472"/>
      <c r="G5" s="2472"/>
      <c r="H5" s="2473"/>
      <c r="I5" s="2474">
        <f t="shared" si="0"/>
        <v>0</v>
      </c>
    </row>
    <row r="6" spans="1:9">
      <c r="A6" s="3658"/>
      <c r="B6" s="3659" t="s">
        <v>2483</v>
      </c>
      <c r="C6" s="3659"/>
      <c r="D6" s="2471"/>
      <c r="E6" s="2469"/>
      <c r="F6" s="2472"/>
      <c r="G6" s="2472"/>
      <c r="H6" s="2473"/>
      <c r="I6" s="2474">
        <f t="shared" si="0"/>
        <v>0</v>
      </c>
    </row>
    <row r="7" spans="1:9">
      <c r="A7" s="3658"/>
      <c r="B7" s="3659" t="s">
        <v>2484</v>
      </c>
      <c r="C7" s="3659"/>
      <c r="D7" s="2471"/>
      <c r="E7" s="2469"/>
      <c r="F7" s="2472"/>
      <c r="G7" s="2472"/>
      <c r="H7" s="2473"/>
      <c r="I7" s="2474">
        <f t="shared" si="0"/>
        <v>0</v>
      </c>
    </row>
    <row r="8" spans="1:9">
      <c r="A8" s="3658"/>
      <c r="B8" s="3659" t="s">
        <v>2485</v>
      </c>
      <c r="C8" s="3659"/>
      <c r="D8" s="2471"/>
      <c r="E8" s="2469"/>
      <c r="F8" s="2472"/>
      <c r="G8" s="2472"/>
      <c r="H8" s="2473"/>
      <c r="I8" s="2474">
        <f t="shared" si="0"/>
        <v>0</v>
      </c>
    </row>
    <row r="9" spans="1:9">
      <c r="A9" s="3658"/>
      <c r="B9" s="3659" t="s">
        <v>2486</v>
      </c>
      <c r="C9" s="3659"/>
      <c r="D9" s="2471"/>
      <c r="E9" s="2469"/>
      <c r="F9" s="2472"/>
      <c r="G9" s="2472"/>
      <c r="H9" s="2473"/>
      <c r="I9" s="2474">
        <f t="shared" si="0"/>
        <v>0</v>
      </c>
    </row>
    <row r="10" spans="1:9">
      <c r="A10" s="3658"/>
      <c r="B10" s="3660" t="s">
        <v>2487</v>
      </c>
      <c r="C10" s="3660"/>
      <c r="D10" s="2475">
        <v>527</v>
      </c>
      <c r="E10" s="2475" t="e">
        <f>ROUND(D1*10000/D10/H9,0)</f>
        <v>#DIV/0!</v>
      </c>
      <c r="F10" s="2476"/>
      <c r="G10" s="2476"/>
      <c r="H10" s="2477"/>
      <c r="I10" s="2478">
        <f>SUM(I3:I9)</f>
        <v>0</v>
      </c>
    </row>
    <row r="11" spans="1:9" ht="14.25">
      <c r="A11" s="3658" t="s">
        <v>2488</v>
      </c>
      <c r="B11" s="3659" t="s">
        <v>2489</v>
      </c>
      <c r="C11" s="3659"/>
      <c r="D11" s="2471" t="s">
        <v>2490</v>
      </c>
      <c r="E11" s="2471" t="s">
        <v>2491</v>
      </c>
      <c r="F11" s="2472" t="s">
        <v>2492</v>
      </c>
      <c r="G11" s="2472" t="s">
        <v>2493</v>
      </c>
      <c r="H11" s="2479" t="s">
        <v>2494</v>
      </c>
      <c r="I11" s="2470" t="s">
        <v>2495</v>
      </c>
    </row>
    <row r="12" spans="1:9">
      <c r="A12" s="3658"/>
      <c r="B12" s="3659" t="s">
        <v>2496</v>
      </c>
      <c r="C12" s="3659"/>
      <c r="D12" s="2471"/>
      <c r="E12" s="2471"/>
      <c r="F12" s="2472"/>
      <c r="G12" s="2473"/>
      <c r="H12" s="2480"/>
      <c r="I12" s="2470">
        <f>ROUND(D12*E12*F12*G12/10000,0)</f>
        <v>0</v>
      </c>
    </row>
    <row r="13" spans="1:9">
      <c r="A13" s="3658"/>
      <c r="B13" s="3659" t="s">
        <v>2497</v>
      </c>
      <c r="C13" s="3659"/>
      <c r="D13" s="2471"/>
      <c r="E13" s="2471"/>
      <c r="F13" s="2472"/>
      <c r="G13" s="2473"/>
      <c r="H13" s="2480"/>
      <c r="I13" s="2470">
        <f>ROUND(D13*E13*F13*G13/10000,0)</f>
        <v>0</v>
      </c>
    </row>
    <row r="14" spans="1:9">
      <c r="A14" s="3658"/>
      <c r="B14" s="3659" t="s">
        <v>2498</v>
      </c>
      <c r="C14" s="3659"/>
      <c r="D14" s="2471"/>
      <c r="E14" s="2471"/>
      <c r="F14" s="2472"/>
      <c r="G14" s="2473"/>
      <c r="H14" s="2480"/>
      <c r="I14" s="2470">
        <f>ROUND(D14*E14*F14*G14/10000,0)</f>
        <v>0</v>
      </c>
    </row>
    <row r="15" spans="1:9">
      <c r="A15" s="3658"/>
      <c r="B15" s="3660" t="s">
        <v>2487</v>
      </c>
      <c r="C15" s="3660"/>
      <c r="D15" s="2475"/>
      <c r="E15" s="2475">
        <f>SUM(E12:E14)</f>
        <v>0</v>
      </c>
      <c r="F15" s="2476"/>
      <c r="G15" s="2473"/>
      <c r="H15" s="2480"/>
      <c r="I15" s="2481">
        <f>SUM(I12:I14)</f>
        <v>0</v>
      </c>
    </row>
    <row r="16" spans="1:9" ht="24">
      <c r="A16" s="3658" t="s">
        <v>2499</v>
      </c>
      <c r="B16" s="3659" t="s">
        <v>2500</v>
      </c>
      <c r="C16" s="3659"/>
      <c r="D16" s="2471" t="s">
        <v>2501</v>
      </c>
      <c r="E16" s="2482" t="s">
        <v>2502</v>
      </c>
      <c r="F16" s="2472" t="s">
        <v>2503</v>
      </c>
      <c r="G16" s="2473" t="s">
        <v>2493</v>
      </c>
      <c r="H16" s="2479" t="s">
        <v>2494</v>
      </c>
      <c r="I16" s="2470" t="s">
        <v>2495</v>
      </c>
    </row>
    <row r="17" spans="1:9" ht="14.25">
      <c r="A17" s="3658"/>
      <c r="B17" s="3659" t="s">
        <v>2504</v>
      </c>
      <c r="C17" s="3659"/>
      <c r="D17" s="2471"/>
      <c r="E17" s="2471"/>
      <c r="F17" s="2472"/>
      <c r="G17" s="2473"/>
      <c r="H17" s="2483"/>
      <c r="I17" s="2484">
        <f>ROUND(D17*E17*F17*G17/10000,0)</f>
        <v>0</v>
      </c>
    </row>
    <row r="18" spans="1:9" ht="14.25">
      <c r="A18" s="3658"/>
      <c r="B18" s="3659" t="s">
        <v>2505</v>
      </c>
      <c r="C18" s="3659"/>
      <c r="D18" s="2471"/>
      <c r="E18" s="2471"/>
      <c r="F18" s="2472"/>
      <c r="G18" s="2473"/>
      <c r="H18" s="2483"/>
      <c r="I18" s="2484">
        <f>ROUND(D18*E18*F18*G18/10000,0)</f>
        <v>0</v>
      </c>
    </row>
    <row r="19" spans="1:9" ht="14.25">
      <c r="A19" s="3658"/>
      <c r="B19" s="3659" t="s">
        <v>2506</v>
      </c>
      <c r="C19" s="3659"/>
      <c r="D19" s="2471"/>
      <c r="E19" s="2471"/>
      <c r="F19" s="2472"/>
      <c r="G19" s="2473"/>
      <c r="H19" s="2483"/>
      <c r="I19" s="2484">
        <f>ROUND(D19*E19*F19*G19/10000,0)</f>
        <v>0</v>
      </c>
    </row>
    <row r="20" spans="1:9">
      <c r="A20" s="3658"/>
      <c r="B20" s="3660" t="s">
        <v>2487</v>
      </c>
      <c r="C20" s="3660"/>
      <c r="D20" s="2475">
        <f>SUM(D17:D19)</f>
        <v>0</v>
      </c>
      <c r="E20" s="2475"/>
      <c r="F20" s="2476"/>
      <c r="G20" s="2473"/>
      <c r="H20" s="2480"/>
      <c r="I20" s="2481">
        <f>SUM(I17:I19)</f>
        <v>0</v>
      </c>
    </row>
    <row r="21" spans="1:9">
      <c r="A21" s="3658" t="s">
        <v>2507</v>
      </c>
      <c r="B21" s="3661"/>
      <c r="C21" s="3661"/>
      <c r="D21" s="3661"/>
      <c r="E21" s="3661"/>
      <c r="F21" s="3661"/>
      <c r="G21" s="3661"/>
      <c r="H21" s="2485">
        <v>0.1</v>
      </c>
      <c r="I21" s="2478">
        <f>ROUND(I10*H21,0)</f>
        <v>0</v>
      </c>
    </row>
    <row r="22" spans="1:9" ht="14.25">
      <c r="A22" s="3662" t="s">
        <v>2508</v>
      </c>
      <c r="B22" s="3663"/>
      <c r="C22" s="3664"/>
      <c r="D22" s="2486" t="s">
        <v>2509</v>
      </c>
      <c r="E22" s="2486" t="s">
        <v>2510</v>
      </c>
      <c r="F22" s="2487" t="s">
        <v>2511</v>
      </c>
      <c r="G22" s="2487" t="s">
        <v>2512</v>
      </c>
      <c r="H22" s="2479" t="s">
        <v>2513</v>
      </c>
      <c r="I22" s="2470" t="s">
        <v>2514</v>
      </c>
    </row>
    <row r="23" spans="1:9" ht="14.25" thickBot="1">
      <c r="A23" s="3665"/>
      <c r="B23" s="3666"/>
      <c r="C23" s="3667"/>
      <c r="D23" s="2488"/>
      <c r="E23" s="2488"/>
      <c r="F23" s="2488"/>
      <c r="G23" s="2489"/>
      <c r="H23" s="2490"/>
      <c r="I23" s="2491">
        <f>ROUND(E23*D23*F23*(1-G23)/10000,0)</f>
        <v>0</v>
      </c>
    </row>
    <row r="26" spans="1:9">
      <c r="A26" s="2492" t="s">
        <v>2515</v>
      </c>
      <c r="B26" s="2492"/>
      <c r="C26" s="2492"/>
      <c r="D26" s="2492"/>
      <c r="E26" s="3655">
        <f>C27-C30-C31-C32</f>
        <v>0</v>
      </c>
      <c r="F26" s="3655"/>
      <c r="G26" s="3655"/>
      <c r="H26" s="2993" t="s">
        <v>2842</v>
      </c>
    </row>
    <row r="27" spans="1:9">
      <c r="A27" s="2493">
        <v>1</v>
      </c>
      <c r="B27" s="2494" t="s">
        <v>2516</v>
      </c>
      <c r="C27" s="2494"/>
      <c r="D27" s="2494"/>
      <c r="E27" s="3656"/>
      <c r="F27" s="3656"/>
      <c r="G27" s="3656"/>
    </row>
    <row r="28" spans="1:9">
      <c r="A28" s="2495" t="s">
        <v>2517</v>
      </c>
      <c r="B28" s="2494" t="s">
        <v>2518</v>
      </c>
      <c r="C28" s="2494"/>
      <c r="D28" s="2494"/>
      <c r="E28" s="3656"/>
      <c r="F28" s="3656"/>
      <c r="G28" s="3656"/>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657"/>
      <c r="F32" s="3657"/>
      <c r="G32" s="3657"/>
    </row>
    <row r="33" spans="1:7" hidden="1">
      <c r="A33" s="3652" t="s">
        <v>2526</v>
      </c>
      <c r="B33" s="3653"/>
      <c r="C33" s="3653"/>
      <c r="D33" s="3654"/>
      <c r="E33" s="3655"/>
      <c r="F33" s="3655"/>
      <c r="G33" s="3655"/>
    </row>
    <row r="34" spans="1:7" hidden="1">
      <c r="A34" s="2497">
        <v>1</v>
      </c>
      <c r="B34" s="2494" t="s">
        <v>2527</v>
      </c>
      <c r="C34" s="2494"/>
      <c r="D34" s="2494"/>
      <c r="E34" s="3656"/>
      <c r="F34" s="3656"/>
      <c r="G34" s="3656"/>
    </row>
    <row r="35" spans="1:7" hidden="1">
      <c r="A35" s="2497">
        <v>2</v>
      </c>
      <c r="B35" s="2494" t="s">
        <v>2528</v>
      </c>
      <c r="C35" s="2494"/>
      <c r="D35" s="2494"/>
      <c r="E35" s="3656"/>
      <c r="F35" s="3656"/>
      <c r="G35" s="3656"/>
    </row>
    <row r="36" spans="1:7" hidden="1">
      <c r="A36" s="2497">
        <v>3</v>
      </c>
      <c r="B36" s="2494" t="s">
        <v>2529</v>
      </c>
      <c r="C36" s="2494"/>
      <c r="D36" s="2494"/>
      <c r="E36" s="3656"/>
      <c r="F36" s="3656"/>
      <c r="G36" s="3656"/>
    </row>
    <row r="37" spans="1:7" hidden="1">
      <c r="A37" s="2497">
        <v>4</v>
      </c>
      <c r="B37" s="2494" t="s">
        <v>2530</v>
      </c>
      <c r="C37" s="2494"/>
      <c r="D37" s="2494"/>
      <c r="E37" s="3656"/>
      <c r="F37" s="3656"/>
      <c r="G37" s="3656"/>
    </row>
    <row r="38" spans="1:7" hidden="1">
      <c r="A38" s="3652" t="s">
        <v>2531</v>
      </c>
      <c r="B38" s="3653"/>
      <c r="C38" s="3653"/>
      <c r="D38" s="3654"/>
      <c r="E38" s="3655"/>
      <c r="F38" s="3655"/>
      <c r="G38" s="36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603</v>
      </c>
      <c r="B1" s="739"/>
      <c r="C1" s="2165"/>
      <c r="D1" s="2165"/>
      <c r="E1" s="2165"/>
      <c r="F1" s="2165"/>
      <c r="G1" s="2091"/>
    </row>
    <row r="2" spans="1:25" s="2042" customFormat="1" ht="18" customHeight="1">
      <c r="A2" s="420" t="s">
        <v>467</v>
      </c>
      <c r="B2" s="422">
        <f ca="1">C23</f>
        <v>0</v>
      </c>
      <c r="C2" s="2091"/>
      <c r="D2" s="2091"/>
      <c r="E2" s="2091"/>
      <c r="F2" s="2091"/>
      <c r="G2" s="2091"/>
    </row>
    <row r="3" spans="1:25" s="2042" customFormat="1" ht="18" customHeight="1">
      <c r="A3" s="1373" t="s">
        <v>1685</v>
      </c>
      <c r="B3" s="422">
        <f ca="1">ROUND(B2*10000/'数据-汇总表'!E3,0)</f>
        <v>0</v>
      </c>
      <c r="C3" s="2091"/>
      <c r="D3" s="2091"/>
      <c r="E3" s="2091"/>
      <c r="F3" s="2091"/>
      <c r="G3" s="2091"/>
    </row>
    <row r="4" spans="1:25" s="2042" customFormat="1" ht="18" customHeight="1">
      <c r="A4" s="423" t="s">
        <v>468</v>
      </c>
      <c r="B4" s="424">
        <f ca="1">ROUND(B2*10000/'数据-汇总表'!D3,0)</f>
        <v>0</v>
      </c>
      <c r="C4" s="2044"/>
      <c r="D4" s="2091"/>
      <c r="E4" s="2091"/>
      <c r="F4" s="2091"/>
      <c r="G4" s="2091"/>
    </row>
    <row r="5" spans="1:25" s="2042" customFormat="1" ht="18" customHeight="1" thickBot="1">
      <c r="A5" s="426"/>
      <c r="B5" s="427">
        <f ca="1">ROUND(B2/('数据-汇总表'!D3/666.67),0)</f>
        <v>0</v>
      </c>
      <c r="C5" s="428" t="s">
        <v>469</v>
      </c>
      <c r="D5" s="2091"/>
      <c r="E5" s="2091"/>
      <c r="F5" s="2091"/>
      <c r="G5" s="2091"/>
    </row>
    <row r="6" spans="1:25" s="2166" customFormat="1" ht="13.5" customHeight="1">
      <c r="A6" s="740"/>
      <c r="B6" s="741" t="s">
        <v>604</v>
      </c>
      <c r="C6" s="742" t="s">
        <v>605</v>
      </c>
      <c r="D6" s="742" t="s">
        <v>606</v>
      </c>
      <c r="E6" s="743" t="s">
        <v>607</v>
      </c>
      <c r="F6" s="743" t="s">
        <v>608</v>
      </c>
      <c r="G6" s="744"/>
    </row>
    <row r="7" spans="1:25" s="2166" customFormat="1" ht="13.5" customHeight="1">
      <c r="A7" s="2431">
        <v>1</v>
      </c>
      <c r="B7" s="745" t="s">
        <v>609</v>
      </c>
      <c r="C7" s="746">
        <f>C8+C9</f>
        <v>0</v>
      </c>
      <c r="D7" s="746"/>
      <c r="E7" s="747"/>
      <c r="F7" s="747"/>
      <c r="G7" s="2441"/>
    </row>
    <row r="8" spans="1:25" s="2166" customFormat="1" ht="13.5" customHeight="1">
      <c r="A8" s="2431" t="s">
        <v>2440</v>
      </c>
      <c r="B8" s="2434" t="s">
        <v>2442</v>
      </c>
      <c r="C8" s="2435"/>
      <c r="D8" s="746"/>
      <c r="E8" s="747"/>
      <c r="F8" s="747"/>
      <c r="G8" s="748"/>
    </row>
    <row r="9" spans="1:25" s="2166" customFormat="1" ht="13.5" customHeight="1">
      <c r="A9" s="2431" t="s">
        <v>2441</v>
      </c>
      <c r="B9" s="2434" t="s">
        <v>2443</v>
      </c>
      <c r="C9" s="2435"/>
      <c r="D9" s="746"/>
      <c r="E9" s="747"/>
      <c r="F9" s="747"/>
      <c r="G9" s="748"/>
    </row>
    <row r="10" spans="1:25" s="2166" customFormat="1" ht="36">
      <c r="A10" s="2431">
        <v>2</v>
      </c>
      <c r="B10" s="745" t="s">
        <v>613</v>
      </c>
      <c r="C10" s="746">
        <f>C11+C14+C15</f>
        <v>0</v>
      </c>
      <c r="D10" s="757">
        <f>'数据-汇总表'!E3</f>
        <v>120662</v>
      </c>
      <c r="E10" s="746">
        <f>'数据-取费表'!B31</f>
        <v>200</v>
      </c>
      <c r="F10" s="758"/>
      <c r="G10" s="756" t="s">
        <v>614</v>
      </c>
    </row>
    <row r="11" spans="1:25" s="2166" customFormat="1" ht="13.5" customHeight="1">
      <c r="A11" s="2431" t="s">
        <v>2440</v>
      </c>
      <c r="B11" s="749" t="s">
        <v>610</v>
      </c>
      <c r="C11" s="750">
        <f>'数据-取费表'!B29</f>
        <v>0</v>
      </c>
      <c r="D11" s="751"/>
      <c r="E11" s="750"/>
      <c r="F11" s="752"/>
      <c r="G11" s="2440" t="s">
        <v>2451</v>
      </c>
    </row>
    <row r="12" spans="1:25" s="2166" customFormat="1" ht="13.5" customHeight="1">
      <c r="A12" s="2438" t="s">
        <v>2448</v>
      </c>
      <c r="B12" s="753" t="s">
        <v>611</v>
      </c>
      <c r="C12" s="754">
        <f>ROUND(D12*E12/10000,0)</f>
        <v>1810</v>
      </c>
      <c r="D12" s="755">
        <f>'数据-汇总表'!E5</f>
        <v>120662</v>
      </c>
      <c r="E12" s="754">
        <f>'数据-取费表'!B27</f>
        <v>150</v>
      </c>
      <c r="F12" s="752"/>
      <c r="G12" s="756"/>
    </row>
    <row r="13" spans="1:25" s="2166" customFormat="1" ht="13.5" customHeight="1">
      <c r="A13" s="2438" t="s">
        <v>2447</v>
      </c>
      <c r="B13" s="753" t="s">
        <v>612</v>
      </c>
      <c r="C13" s="754">
        <f>ROUND(D13*E13/10000,0)</f>
        <v>0</v>
      </c>
      <c r="D13" s="755">
        <f>'数据-汇总表'!E6</f>
        <v>0</v>
      </c>
      <c r="E13" s="754">
        <f>'数据-取费表'!B28</f>
        <v>190</v>
      </c>
      <c r="F13" s="752"/>
      <c r="G13" s="756"/>
    </row>
    <row r="14" spans="1:25" s="2166" customFormat="1" ht="13.5" customHeight="1">
      <c r="A14" s="2431" t="s">
        <v>2441</v>
      </c>
      <c r="B14" s="2437" t="s">
        <v>2444</v>
      </c>
      <c r="C14" s="2435"/>
      <c r="D14" s="755"/>
      <c r="E14" s="754"/>
      <c r="F14" s="2436"/>
      <c r="G14" s="2439" t="s">
        <v>2449</v>
      </c>
    </row>
    <row r="15" spans="1:25" s="2166" customFormat="1" ht="13.5" customHeight="1">
      <c r="A15" s="2431" t="s">
        <v>2446</v>
      </c>
      <c r="B15" s="2437" t="s">
        <v>2445</v>
      </c>
      <c r="C15" s="2435"/>
      <c r="D15" s="755"/>
      <c r="E15" s="754"/>
      <c r="F15" s="2436"/>
      <c r="G15" s="2439" t="s">
        <v>2450</v>
      </c>
    </row>
    <row r="16" spans="1:25" s="2167" customFormat="1" ht="48">
      <c r="A16" s="2431">
        <v>3</v>
      </c>
      <c r="B16" s="745" t="s">
        <v>615</v>
      </c>
      <c r="C16" s="2435"/>
      <c r="D16" s="757"/>
      <c r="E16" s="746"/>
      <c r="F16" s="758"/>
      <c r="G16" s="756"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616</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617</v>
      </c>
      <c r="C18" s="746">
        <f>ROUND((C7+C10+C16)*F18,0)</f>
        <v>0</v>
      </c>
      <c r="D18" s="759"/>
      <c r="E18" s="760"/>
      <c r="F18" s="758">
        <f>'数据-取费表'!Q16</f>
        <v>0.3</v>
      </c>
      <c r="G18" s="762"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619</v>
      </c>
      <c r="C19" s="746">
        <f ca="1">C7+C10+C16+C17+C18</f>
        <v>0</v>
      </c>
      <c r="D19" s="757"/>
      <c r="E19" s="746"/>
      <c r="F19" s="758"/>
      <c r="G19" s="762"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621</v>
      </c>
      <c r="C20" s="746">
        <f ca="1">ROUND(C19*F20,0)</f>
        <v>0</v>
      </c>
      <c r="D20" s="757"/>
      <c r="E20" s="746"/>
      <c r="F20" s="1342"/>
      <c r="G20" s="762"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623</v>
      </c>
      <c r="C21" s="746">
        <f ca="1">C19+C20</f>
        <v>0</v>
      </c>
      <c r="D21" s="757"/>
      <c r="E21" s="746"/>
      <c r="F21" s="758"/>
      <c r="G21" s="762"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625</v>
      </c>
      <c r="C22" s="746">
        <f ca="1">ROUND(C21*F22,0)</f>
        <v>0</v>
      </c>
      <c r="D22" s="757"/>
      <c r="E22" s="746"/>
      <c r="F22" s="763">
        <f>'数据-取费表'!AP16</f>
        <v>0.93600000000000005</v>
      </c>
      <c r="G22" s="762"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627</v>
      </c>
      <c r="C23" s="765">
        <f ca="1">C22</f>
        <v>0</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93.75">
      <c r="A7" s="2826" t="s">
        <v>2748</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1" sqref="D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757</v>
      </c>
      <c r="C1" s="501" t="s">
        <v>720</v>
      </c>
      <c r="D1" s="2332"/>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521</v>
      </c>
      <c r="B4" s="510"/>
      <c r="C4" s="3593" t="s">
        <v>522</v>
      </c>
      <c r="D4" s="3594"/>
      <c r="E4" s="3617" t="s">
        <v>523</v>
      </c>
      <c r="F4" s="3618"/>
      <c r="G4" s="3593" t="s">
        <v>524</v>
      </c>
      <c r="H4" s="3594"/>
      <c r="I4" s="3593" t="s">
        <v>525</v>
      </c>
      <c r="J4" s="3594"/>
      <c r="K4" s="511"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601"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601"/>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601"/>
      <c r="AC6" s="3578"/>
    </row>
    <row r="7" spans="1:29" s="1213" customFormat="1" ht="15.75" thickBot="1">
      <c r="A7" s="2865"/>
      <c r="B7" s="2872" t="s">
        <v>529</v>
      </c>
      <c r="C7" s="516">
        <f>'数据-取费表'!B2</f>
        <v>43780</v>
      </c>
      <c r="D7" s="517">
        <v>100</v>
      </c>
      <c r="E7" s="518"/>
      <c r="F7" s="519">
        <f>SUMIF(58:58,YEAR(E7)&amp;"-"&amp;MONTH(E7),59:59)</f>
        <v>0</v>
      </c>
      <c r="G7" s="518"/>
      <c r="H7" s="517">
        <f>SUMIF(58:58,YEAR(G7)&amp;"-"&amp;MONTH(G7),59:59)</f>
        <v>0</v>
      </c>
      <c r="I7" s="518"/>
      <c r="J7" s="517">
        <f>SUMIF(58:58,YEAR(I7)&amp;"-"&amp;MONTH(I7),59:59)</f>
        <v>0</v>
      </c>
      <c r="K7" s="521"/>
      <c r="L7" s="2118"/>
      <c r="M7" s="2119"/>
      <c r="N7" s="2119"/>
      <c r="O7" s="2119"/>
      <c r="P7" s="3579"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46" si="3">D8/F8</f>
        <v>#DIV/0!</v>
      </c>
      <c r="AB8" s="1555" t="e">
        <f t="shared" ref="AB8:AB46" si="4">D8/H8</f>
        <v>#DIV/0!</v>
      </c>
      <c r="AC8" s="1555" t="e">
        <f t="shared" ref="AC8:AC46" si="5">D8/J8</f>
        <v>#DIV/0!</v>
      </c>
    </row>
    <row r="9" spans="1:29" s="1213" customFormat="1" ht="15">
      <c r="A9" s="2867"/>
      <c r="B9" s="2874" t="s">
        <v>2756</v>
      </c>
      <c r="C9" s="854"/>
      <c r="D9" s="251">
        <v>100</v>
      </c>
      <c r="E9" s="857"/>
      <c r="F9" s="251">
        <f>SUMIF(63:63,E9,64:64)-SUMIF(63:63,C9,64:64)+100</f>
        <v>100</v>
      </c>
      <c r="G9" s="855"/>
      <c r="H9" s="251">
        <f>SUMIF(63:63,G9,64:64)-SUMIF(63:63,C9,64:64)+100</f>
        <v>100</v>
      </c>
      <c r="I9" s="855"/>
      <c r="J9" s="251">
        <f>SUMIF(63:63,I9,64:64)-SUMIF(63:63,C9,64:64)+100</f>
        <v>100</v>
      </c>
      <c r="K9" s="521"/>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SUMIF(65:65,E10,66:66)-SUMIF(65:65,C10,66:66)+100</f>
        <v>100</v>
      </c>
      <c r="G10" s="859"/>
      <c r="H10" s="252">
        <f>SUMIF(65:65,G10,66:66)-SUMIF(65:65,C10,66:66)+100</f>
        <v>100</v>
      </c>
      <c r="I10" s="858"/>
      <c r="J10" s="252">
        <f>SUMIF(65:65,I10,66:66)-SUMIF(65:65,C10,66:66)+100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3"/>
      <c r="M11" s="2117"/>
      <c r="N11" s="2117"/>
      <c r="O11" s="2124"/>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SUMIF(70:70,E12,71:71)-SUMIF(70:70,C12,71:71)+100</f>
        <v>100</v>
      </c>
      <c r="G12" s="909"/>
      <c r="H12" s="252">
        <f>SUMIF(70:70,G12,71:71)-SUMIF(70:70,C12,71:71)+100</f>
        <v>100</v>
      </c>
      <c r="I12" s="536"/>
      <c r="J12" s="252">
        <f>SUMIF(70:70,I12,71:71)-SUMIF(70:70,C12,71:71)+100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36"/>
      <c r="F13" s="252">
        <f>SUMIF(72:72,E13,73:73)-SUMIF(72:72,C13,73:73)+100</f>
        <v>100</v>
      </c>
      <c r="G13" s="909"/>
      <c r="H13" s="537">
        <f>SUMIF(72:72,G13,73:73)-SUMIF(72:72,C13,73:73)+100</f>
        <v>100</v>
      </c>
      <c r="I13" s="536"/>
      <c r="J13" s="537">
        <f>SUMIF(72:72,I13,73:73)-SUMIF(72:72,C13,73:73)+100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71.25">
      <c r="A15" s="2863" t="s">
        <v>2754</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589" t="s">
        <v>540</v>
      </c>
      <c r="Q15" s="1556" t="str">
        <f t="shared" si="6"/>
        <v>商业繁华度</v>
      </c>
      <c r="R15" s="1557" t="s">
        <v>8</v>
      </c>
      <c r="S15" s="1558">
        <f t="shared" si="0"/>
        <v>100</v>
      </c>
      <c r="T15" s="1557" t="s">
        <v>8</v>
      </c>
      <c r="U15" s="1558">
        <f t="shared" si="1"/>
        <v>100</v>
      </c>
      <c r="V15" s="1557" t="s">
        <v>8</v>
      </c>
      <c r="W15" s="1558">
        <f t="shared" si="2"/>
        <v>100</v>
      </c>
      <c r="X15" s="1551"/>
      <c r="Y15" s="3589"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590"/>
      <c r="Q22" s="2541"/>
      <c r="R22" s="1557"/>
      <c r="S22" s="1558"/>
      <c r="T22" s="1557"/>
      <c r="U22" s="1558"/>
      <c r="V22" s="1557"/>
      <c r="W22" s="1558"/>
      <c r="X22" s="2543"/>
      <c r="Y22" s="3590"/>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590"/>
      <c r="Q23" s="1556" t="str">
        <f>B23</f>
        <v>自然及人文环境</v>
      </c>
      <c r="R23" s="1557" t="s">
        <v>8</v>
      </c>
      <c r="S23" s="1558">
        <f>F23</f>
        <v>100</v>
      </c>
      <c r="T23" s="1557" t="s">
        <v>8</v>
      </c>
      <c r="U23" s="1558">
        <f>H23</f>
        <v>100</v>
      </c>
      <c r="V23" s="1557" t="s">
        <v>8</v>
      </c>
      <c r="W23" s="1558">
        <f>J23</f>
        <v>100</v>
      </c>
      <c r="X23" s="1551"/>
      <c r="Y23" s="3590"/>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590"/>
      <c r="Q25" s="1556" t="str">
        <f t="shared" ref="Q25:Q46" si="11">B25</f>
        <v>临街状况</v>
      </c>
      <c r="R25" s="1557" t="s">
        <v>8</v>
      </c>
      <c r="S25" s="1558">
        <f>F25</f>
        <v>100</v>
      </c>
      <c r="T25" s="1557" t="s">
        <v>8</v>
      </c>
      <c r="U25" s="1558">
        <f>H25</f>
        <v>100</v>
      </c>
      <c r="V25" s="1557" t="s">
        <v>8</v>
      </c>
      <c r="W25" s="1558">
        <f>J25</f>
        <v>100</v>
      </c>
      <c r="X25" s="1551"/>
      <c r="Y25" s="3590"/>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590"/>
      <c r="Q26" s="1556" t="str">
        <f t="shared" si="11"/>
        <v>平面位置/可视性</v>
      </c>
      <c r="R26" s="1557" t="s">
        <v>8</v>
      </c>
      <c r="S26" s="1558">
        <f>F26</f>
        <v>100</v>
      </c>
      <c r="T26" s="1557" t="s">
        <v>8</v>
      </c>
      <c r="U26" s="1558">
        <f>H26</f>
        <v>100</v>
      </c>
      <c r="V26" s="1557" t="s">
        <v>8</v>
      </c>
      <c r="W26" s="1558">
        <f>J26</f>
        <v>100</v>
      </c>
      <c r="X26" s="1551"/>
      <c r="Y26" s="3590"/>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590"/>
      <c r="Q27" s="1144" t="str">
        <f t="shared" si="11"/>
        <v>人流量</v>
      </c>
      <c r="R27" s="1552" t="s">
        <v>8</v>
      </c>
      <c r="S27" s="1553">
        <f>F27</f>
        <v>100</v>
      </c>
      <c r="T27" s="1552" t="s">
        <v>8</v>
      </c>
      <c r="U27" s="1553">
        <f>H27</f>
        <v>100</v>
      </c>
      <c r="V27" s="1552" t="s">
        <v>8</v>
      </c>
      <c r="W27" s="1553">
        <f>J27</f>
        <v>100</v>
      </c>
      <c r="X27" s="1554"/>
      <c r="Y27" s="3590"/>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59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590"/>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590"/>
      <c r="Q29" s="1556">
        <f t="shared" si="11"/>
        <v>111</v>
      </c>
      <c r="R29" s="1557" t="s">
        <v>8</v>
      </c>
      <c r="S29" s="1558">
        <f t="shared" si="12"/>
        <v>100</v>
      </c>
      <c r="T29" s="1557" t="s">
        <v>8</v>
      </c>
      <c r="U29" s="1558">
        <f t="shared" si="13"/>
        <v>100</v>
      </c>
      <c r="V29" s="1557" t="s">
        <v>8</v>
      </c>
      <c r="W29" s="1558">
        <f t="shared" si="14"/>
        <v>100</v>
      </c>
      <c r="X29" s="1551"/>
      <c r="Y29" s="35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590"/>
      <c r="Q30" s="1556">
        <f t="shared" si="11"/>
        <v>111</v>
      </c>
      <c r="R30" s="1557" t="s">
        <v>8</v>
      </c>
      <c r="S30" s="1558">
        <f t="shared" si="12"/>
        <v>100</v>
      </c>
      <c r="T30" s="1557" t="s">
        <v>8</v>
      </c>
      <c r="U30" s="1558">
        <f t="shared" si="13"/>
        <v>100</v>
      </c>
      <c r="V30" s="1557" t="s">
        <v>8</v>
      </c>
      <c r="W30" s="1558">
        <f t="shared" si="14"/>
        <v>100</v>
      </c>
      <c r="X30" s="1551"/>
      <c r="Y30" s="3590"/>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590"/>
      <c r="Q31" s="1556">
        <f t="shared" si="11"/>
        <v>111</v>
      </c>
      <c r="R31" s="1557" t="s">
        <v>8</v>
      </c>
      <c r="S31" s="1558">
        <f t="shared" si="12"/>
        <v>100</v>
      </c>
      <c r="T31" s="1557" t="s">
        <v>8</v>
      </c>
      <c r="U31" s="1558">
        <f t="shared" si="13"/>
        <v>100</v>
      </c>
      <c r="V31" s="1557" t="s">
        <v>8</v>
      </c>
      <c r="W31" s="1558">
        <f t="shared" si="14"/>
        <v>100</v>
      </c>
      <c r="X31" s="1551"/>
      <c r="Y31" s="3590"/>
      <c r="Z31" s="1559">
        <f t="shared" si="15"/>
        <v>111</v>
      </c>
      <c r="AA31" s="1560">
        <f t="shared" si="3"/>
        <v>1</v>
      </c>
      <c r="AB31" s="1560">
        <f t="shared" si="4"/>
        <v>1</v>
      </c>
      <c r="AC31" s="1560">
        <f t="shared" si="5"/>
        <v>1</v>
      </c>
    </row>
    <row r="32" spans="1:29" ht="15">
      <c r="A32" s="2860" t="s">
        <v>2755</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591" t="s">
        <v>550</v>
      </c>
      <c r="Q32" s="1556" t="str">
        <f t="shared" si="11"/>
        <v>商业类型</v>
      </c>
      <c r="R32" s="1557" t="s">
        <v>8</v>
      </c>
      <c r="S32" s="1558">
        <f t="shared" si="12"/>
        <v>100</v>
      </c>
      <c r="T32" s="1557" t="s">
        <v>8</v>
      </c>
      <c r="U32" s="1558">
        <f t="shared" si="13"/>
        <v>100</v>
      </c>
      <c r="V32" s="1557" t="s">
        <v>8</v>
      </c>
      <c r="W32" s="1558">
        <f t="shared" si="14"/>
        <v>100</v>
      </c>
      <c r="X32" s="1551"/>
      <c r="Y32" s="3592"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3"/>
      <c r="M33" s="2154"/>
      <c r="N33" s="2154"/>
      <c r="O33" s="2126"/>
      <c r="P33" s="3592"/>
      <c r="Q33" s="1588" t="str">
        <f t="shared" si="11"/>
        <v>项目建筑规模</v>
      </c>
      <c r="R33" s="1561" t="s">
        <v>8</v>
      </c>
      <c r="S33" s="1562" t="e">
        <f t="shared" si="12"/>
        <v>#N/A</v>
      </c>
      <c r="T33" s="1561" t="s">
        <v>8</v>
      </c>
      <c r="U33" s="1562" t="e">
        <f t="shared" si="13"/>
        <v>#N/A</v>
      </c>
      <c r="V33" s="1561" t="s">
        <v>8</v>
      </c>
      <c r="W33" s="1562" t="e">
        <f t="shared" si="14"/>
        <v>#N/A</v>
      </c>
      <c r="X33" s="1563"/>
      <c r="Y33" s="3592"/>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592"/>
      <c r="Q34" s="1556" t="str">
        <f t="shared" si="11"/>
        <v>建筑结构</v>
      </c>
      <c r="R34" s="1557" t="s">
        <v>8</v>
      </c>
      <c r="S34" s="1558">
        <f t="shared" si="12"/>
        <v>100</v>
      </c>
      <c r="T34" s="1557" t="s">
        <v>8</v>
      </c>
      <c r="U34" s="1558">
        <f t="shared" si="13"/>
        <v>100</v>
      </c>
      <c r="V34" s="1557" t="s">
        <v>8</v>
      </c>
      <c r="W34" s="1558">
        <f t="shared" si="14"/>
        <v>100</v>
      </c>
      <c r="X34" s="1551"/>
      <c r="Y34" s="3592"/>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592"/>
      <c r="Q35" s="1556" t="str">
        <f t="shared" si="11"/>
        <v>公共部分装修</v>
      </c>
      <c r="R35" s="1557" t="s">
        <v>8</v>
      </c>
      <c r="S35" s="1558">
        <f t="shared" si="12"/>
        <v>100</v>
      </c>
      <c r="T35" s="1557" t="s">
        <v>8</v>
      </c>
      <c r="U35" s="1558">
        <f t="shared" si="13"/>
        <v>100</v>
      </c>
      <c r="V35" s="1557" t="s">
        <v>8</v>
      </c>
      <c r="W35" s="1558">
        <f t="shared" si="14"/>
        <v>100</v>
      </c>
      <c r="X35" s="1551"/>
      <c r="Y35" s="3592"/>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592"/>
      <c r="Q36" s="1556" t="str">
        <f t="shared" si="11"/>
        <v>成新度</v>
      </c>
      <c r="R36" s="1557" t="s">
        <v>8</v>
      </c>
      <c r="S36" s="1558" t="e">
        <f t="shared" si="12"/>
        <v>#N/A</v>
      </c>
      <c r="T36" s="1557" t="s">
        <v>8</v>
      </c>
      <c r="U36" s="1558" t="e">
        <f t="shared" si="13"/>
        <v>#N/A</v>
      </c>
      <c r="V36" s="1557" t="s">
        <v>8</v>
      </c>
      <c r="W36" s="1558" t="e">
        <f t="shared" si="14"/>
        <v>#N/A</v>
      </c>
      <c r="X36" s="1551"/>
      <c r="Y36" s="3592"/>
      <c r="Z36" s="1559" t="str">
        <f t="shared" si="15"/>
        <v>成新度</v>
      </c>
      <c r="AA36" s="1560" t="e">
        <f t="shared" si="3"/>
        <v>#N/A</v>
      </c>
      <c r="AB36" s="1560" t="e">
        <f t="shared" si="4"/>
        <v>#N/A</v>
      </c>
      <c r="AC36" s="1560" t="e">
        <f t="shared" si="5"/>
        <v>#N/A</v>
      </c>
    </row>
    <row r="37" spans="1:29" s="1213" customFormat="1" ht="15">
      <c r="A37" s="597"/>
      <c r="B37" s="1878" t="s">
        <v>2565</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592"/>
      <c r="Q37" s="1144" t="str">
        <f t="shared" si="11"/>
        <v>市政基础设施</v>
      </c>
      <c r="R37" s="1552" t="s">
        <v>8</v>
      </c>
      <c r="S37" s="1553">
        <f t="shared" si="12"/>
        <v>100</v>
      </c>
      <c r="T37" s="1552" t="s">
        <v>8</v>
      </c>
      <c r="U37" s="1553">
        <f t="shared" si="13"/>
        <v>100</v>
      </c>
      <c r="V37" s="1552" t="s">
        <v>8</v>
      </c>
      <c r="W37" s="1553">
        <f t="shared" si="14"/>
        <v>100</v>
      </c>
      <c r="X37" s="1554"/>
      <c r="Y37" s="3592"/>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592" t="s">
        <v>766</v>
      </c>
      <c r="Q38" s="1556" t="str">
        <f t="shared" si="11"/>
        <v>业态</v>
      </c>
      <c r="R38" s="1557" t="s">
        <v>8</v>
      </c>
      <c r="S38" s="1558">
        <f t="shared" si="12"/>
        <v>100</v>
      </c>
      <c r="T38" s="1557" t="s">
        <v>8</v>
      </c>
      <c r="U38" s="1558">
        <f t="shared" si="13"/>
        <v>100</v>
      </c>
      <c r="V38" s="1557" t="s">
        <v>8</v>
      </c>
      <c r="W38" s="1558">
        <f t="shared" si="14"/>
        <v>100</v>
      </c>
      <c r="X38" s="1551"/>
      <c r="Y38" s="3592"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592"/>
      <c r="Q39" s="1556" t="str">
        <f t="shared" si="11"/>
        <v>层高</v>
      </c>
      <c r="R39" s="1557" t="s">
        <v>8</v>
      </c>
      <c r="S39" s="1558">
        <f t="shared" si="12"/>
        <v>100</v>
      </c>
      <c r="T39" s="1557" t="s">
        <v>8</v>
      </c>
      <c r="U39" s="1558">
        <f t="shared" si="13"/>
        <v>100</v>
      </c>
      <c r="V39" s="1557" t="s">
        <v>8</v>
      </c>
      <c r="W39" s="1558">
        <f t="shared" si="14"/>
        <v>100</v>
      </c>
      <c r="X39" s="1551"/>
      <c r="Y39" s="3592"/>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592"/>
      <c r="Q40" s="1556" t="str">
        <f t="shared" si="11"/>
        <v>单套建筑面积</v>
      </c>
      <c r="R40" s="1557" t="s">
        <v>8</v>
      </c>
      <c r="S40" s="1558">
        <f t="shared" si="12"/>
        <v>100</v>
      </c>
      <c r="T40" s="1557" t="s">
        <v>8</v>
      </c>
      <c r="U40" s="1558">
        <f t="shared" si="13"/>
        <v>100</v>
      </c>
      <c r="V40" s="1557" t="s">
        <v>8</v>
      </c>
      <c r="W40" s="1558">
        <f t="shared" si="14"/>
        <v>100</v>
      </c>
      <c r="X40" s="1551"/>
      <c r="Y40" s="3592"/>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592"/>
      <c r="Q41" s="1588" t="str">
        <f t="shared" si="11"/>
        <v>进深比</v>
      </c>
      <c r="R41" s="1561" t="s">
        <v>8</v>
      </c>
      <c r="S41" s="1562">
        <f t="shared" si="12"/>
        <v>100</v>
      </c>
      <c r="T41" s="1561" t="s">
        <v>8</v>
      </c>
      <c r="U41" s="1562">
        <f t="shared" si="13"/>
        <v>100</v>
      </c>
      <c r="V41" s="1561" t="s">
        <v>8</v>
      </c>
      <c r="W41" s="1562">
        <f t="shared" si="14"/>
        <v>100</v>
      </c>
      <c r="X41" s="1563"/>
      <c r="Y41" s="3592"/>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592"/>
      <c r="Q42" s="1556" t="str">
        <f t="shared" si="11"/>
        <v>内部装修</v>
      </c>
      <c r="R42" s="1557" t="s">
        <v>8</v>
      </c>
      <c r="S42" s="1558">
        <f t="shared" si="12"/>
        <v>100</v>
      </c>
      <c r="T42" s="1557" t="s">
        <v>8</v>
      </c>
      <c r="U42" s="1558">
        <f t="shared" si="13"/>
        <v>100</v>
      </c>
      <c r="V42" s="1557" t="s">
        <v>8</v>
      </c>
      <c r="W42" s="1558">
        <f t="shared" si="14"/>
        <v>100</v>
      </c>
      <c r="X42" s="1551"/>
      <c r="Y42" s="3592"/>
      <c r="Z42" s="1559" t="str">
        <f t="shared" si="15"/>
        <v>内部装修</v>
      </c>
      <c r="AA42" s="1560">
        <f t="shared" si="3"/>
        <v>1</v>
      </c>
      <c r="AB42" s="1560">
        <f t="shared" si="4"/>
        <v>1</v>
      </c>
      <c r="AC42" s="156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592"/>
      <c r="Q43" s="1556" t="str">
        <f t="shared" si="11"/>
        <v>内部装修维护情况</v>
      </c>
      <c r="R43" s="1557" t="s">
        <v>8</v>
      </c>
      <c r="S43" s="1558">
        <f t="shared" si="12"/>
        <v>100</v>
      </c>
      <c r="T43" s="1557" t="s">
        <v>8</v>
      </c>
      <c r="U43" s="1558">
        <f t="shared" si="13"/>
        <v>100</v>
      </c>
      <c r="V43" s="1557" t="s">
        <v>8</v>
      </c>
      <c r="W43" s="1558">
        <f t="shared" si="14"/>
        <v>100</v>
      </c>
      <c r="X43" s="1551"/>
      <c r="Y43" s="3592"/>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8"/>
      <c r="M44" s="2119"/>
      <c r="N44" s="2119"/>
      <c r="O44" s="2120"/>
      <c r="P44" s="3592"/>
      <c r="Q44" s="1144">
        <f t="shared" si="11"/>
        <v>111</v>
      </c>
      <c r="R44" s="1552" t="s">
        <v>8</v>
      </c>
      <c r="S44" s="1553">
        <f t="shared" si="12"/>
        <v>100</v>
      </c>
      <c r="T44" s="1552" t="s">
        <v>8</v>
      </c>
      <c r="U44" s="1553">
        <f t="shared" si="13"/>
        <v>100</v>
      </c>
      <c r="V44" s="1552" t="s">
        <v>8</v>
      </c>
      <c r="W44" s="1553">
        <f t="shared" si="14"/>
        <v>100</v>
      </c>
      <c r="X44" s="1554"/>
      <c r="Y44" s="35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592"/>
      <c r="Q45" s="1556">
        <f t="shared" si="11"/>
        <v>111</v>
      </c>
      <c r="R45" s="1557" t="s">
        <v>8</v>
      </c>
      <c r="S45" s="1558">
        <f t="shared" si="12"/>
        <v>100</v>
      </c>
      <c r="T45" s="1557" t="s">
        <v>8</v>
      </c>
      <c r="U45" s="1558">
        <f t="shared" si="13"/>
        <v>100</v>
      </c>
      <c r="V45" s="1557" t="s">
        <v>8</v>
      </c>
      <c r="W45" s="1558">
        <f t="shared" si="14"/>
        <v>100</v>
      </c>
      <c r="X45" s="1551"/>
      <c r="Y45" s="3592"/>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626"/>
      <c r="Q46" s="1556">
        <f t="shared" si="11"/>
        <v>111</v>
      </c>
      <c r="R46" s="1557" t="s">
        <v>8</v>
      </c>
      <c r="S46" s="1558">
        <f t="shared" si="12"/>
        <v>100</v>
      </c>
      <c r="T46" s="1557" t="s">
        <v>8</v>
      </c>
      <c r="U46" s="1558">
        <f t="shared" si="13"/>
        <v>100</v>
      </c>
      <c r="V46" s="1557" t="s">
        <v>8</v>
      </c>
      <c r="W46" s="1558">
        <f t="shared" si="14"/>
        <v>100</v>
      </c>
      <c r="X46" s="1551"/>
      <c r="Y46" s="3626"/>
      <c r="Z46" s="1559">
        <f t="shared" si="15"/>
        <v>111</v>
      </c>
      <c r="AA46" s="1560">
        <f t="shared" si="3"/>
        <v>1</v>
      </c>
      <c r="AB46" s="1560">
        <f t="shared" si="4"/>
        <v>1</v>
      </c>
      <c r="AC46" s="1560">
        <f t="shared" si="5"/>
        <v>1</v>
      </c>
    </row>
    <row r="47" spans="1:29" ht="15">
      <c r="A47" s="604" t="s">
        <v>736</v>
      </c>
      <c r="B47" s="884"/>
      <c r="C47" s="2589" t="s">
        <v>1</v>
      </c>
      <c r="D47" s="2590"/>
      <c r="E47" s="2591"/>
      <c r="F47" s="2592"/>
      <c r="G47" s="2593"/>
      <c r="H47" s="2594"/>
      <c r="I47" s="2591"/>
      <c r="J47" s="2594"/>
      <c r="K47" s="1594"/>
      <c r="L47" s="2127"/>
      <c r="M47" s="2128"/>
      <c r="N47" s="2117"/>
      <c r="O47" s="2128"/>
      <c r="P47" s="3587" t="str">
        <f>A47</f>
        <v>成交单价（元/平方米）</v>
      </c>
      <c r="Q47" s="3587"/>
      <c r="R47" s="3625">
        <f>E47</f>
        <v>0</v>
      </c>
      <c r="S47" s="3625"/>
      <c r="T47" s="3625">
        <f>G47</f>
        <v>0</v>
      </c>
      <c r="U47" s="3625"/>
      <c r="V47" s="3625">
        <f>I47</f>
        <v>0</v>
      </c>
      <c r="W47" s="3625"/>
      <c r="X47" s="1543"/>
      <c r="Y47" s="1565"/>
      <c r="Z47" s="1543"/>
      <c r="AA47" s="1543"/>
      <c r="AB47" s="1543"/>
      <c r="AC47" s="1543"/>
    </row>
    <row r="48" spans="1:29" ht="15.75" thickBot="1">
      <c r="A48" s="612" t="s">
        <v>2760</v>
      </c>
      <c r="B48" s="885"/>
      <c r="C48" s="2595" t="e">
        <f>R49</f>
        <v>#DIV/0!</v>
      </c>
      <c r="D48" s="2596"/>
      <c r="E48" s="2597" t="e">
        <f>R48</f>
        <v>#DIV/0!</v>
      </c>
      <c r="F48" s="2597"/>
      <c r="G48" s="2595" t="e">
        <f>T48</f>
        <v>#DIV/0!</v>
      </c>
      <c r="H48" s="2596"/>
      <c r="I48" s="2597" t="e">
        <f>V48</f>
        <v>#DIV/0!</v>
      </c>
      <c r="J48" s="2596"/>
      <c r="K48" s="1595"/>
      <c r="L48" s="2127"/>
      <c r="M48" s="2128"/>
      <c r="N48" s="2117"/>
      <c r="O48" s="2128"/>
      <c r="P48" s="3587" t="str">
        <f>A48</f>
        <v>比较价格（元/平方米）</v>
      </c>
      <c r="Q48" s="3587"/>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543"/>
      <c r="Y48" s="1543"/>
      <c r="Z48" s="1543"/>
      <c r="AA48" s="1543"/>
      <c r="AB48" s="1543"/>
      <c r="AC48" s="1543"/>
    </row>
    <row r="49" spans="1:29" ht="15.75" thickBot="1">
      <c r="A49" s="618" t="s">
        <v>2936</v>
      </c>
      <c r="B49" s="619"/>
      <c r="C49" s="2598" t="e">
        <f>R49</f>
        <v>#DIV/0!</v>
      </c>
      <c r="D49" s="2598"/>
      <c r="E49" s="2598"/>
      <c r="F49" s="2598"/>
      <c r="G49" s="2598"/>
      <c r="H49" s="2598"/>
      <c r="I49" s="2598"/>
      <c r="J49" s="2598"/>
      <c r="K49" s="1596"/>
      <c r="L49" s="2127"/>
      <c r="M49" s="2128"/>
      <c r="N49" s="2117"/>
      <c r="O49" s="2128"/>
      <c r="P49" s="3608" t="str">
        <f>A49</f>
        <v>估价对象XX用房的比较价格（楼面单价，元/平方米）</v>
      </c>
      <c r="Q49" s="3609"/>
      <c r="R49" s="3624" t="e">
        <f>IF(F1="售价",ROUND(AVERAGE(R48:V48),0),ROUND(AVERAGE(R48:V48),1))</f>
        <v>#DIV/0!</v>
      </c>
      <c r="S49" s="3624"/>
      <c r="T49" s="3624"/>
      <c r="U49" s="3624"/>
      <c r="V49" s="3624"/>
      <c r="W49" s="362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577</v>
      </c>
      <c r="B63" s="662" t="s">
        <v>534</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771</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772</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751</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2556</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774</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775</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776</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777</v>
      </c>
      <c r="C1" s="501" t="s">
        <v>720</v>
      </c>
      <c r="D1" s="846"/>
      <c r="E1" s="503"/>
      <c r="F1" s="2760"/>
      <c r="G1" s="1584" t="s">
        <v>721</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521</v>
      </c>
      <c r="B4" s="510"/>
      <c r="C4" s="3593" t="s">
        <v>522</v>
      </c>
      <c r="D4" s="3594"/>
      <c r="E4" s="3617" t="s">
        <v>523</v>
      </c>
      <c r="F4" s="3618"/>
      <c r="G4" s="3593" t="s">
        <v>524</v>
      </c>
      <c r="H4" s="3594"/>
      <c r="I4" s="3593" t="s">
        <v>525</v>
      </c>
      <c r="J4" s="3594"/>
      <c r="K4" s="511" t="s">
        <v>526</v>
      </c>
      <c r="L4" s="2116"/>
      <c r="M4" s="2117"/>
      <c r="N4" s="2117"/>
      <c r="O4" s="2117"/>
      <c r="P4" s="3673" t="s">
        <v>527</v>
      </c>
      <c r="Q4" s="3596"/>
      <c r="R4" s="3581" t="s">
        <v>523</v>
      </c>
      <c r="S4" s="3582"/>
      <c r="T4" s="3581" t="s">
        <v>524</v>
      </c>
      <c r="U4" s="3582"/>
      <c r="V4" s="3601" t="s">
        <v>525</v>
      </c>
      <c r="W4" s="3601"/>
      <c r="X4" s="1551"/>
      <c r="Y4" s="3581" t="s">
        <v>527</v>
      </c>
      <c r="Z4" s="3582"/>
      <c r="AA4" s="3576" t="s">
        <v>523</v>
      </c>
      <c r="AB4" s="3576"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674"/>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675"/>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SUMIF(59:59,YEAR(E7)&amp;"-"&amp;MONTH(E7),60:60)</f>
        <v>0</v>
      </c>
      <c r="G7" s="518"/>
      <c r="H7" s="517">
        <f>SUMIF(59:59,YEAR(G7)&amp;"-"&amp;MONTH(G7),60:60)</f>
        <v>0</v>
      </c>
      <c r="I7" s="518"/>
      <c r="J7" s="517">
        <f>SUMIF(59:59,YEAR(I7)&amp;"-"&amp;MONTH(I7),60:60)</f>
        <v>0</v>
      </c>
      <c r="K7" s="521"/>
      <c r="L7" s="2118"/>
      <c r="M7" s="2119"/>
      <c r="N7" s="2119"/>
      <c r="O7" s="2119"/>
      <c r="P7" s="3588"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588" t="s">
        <v>533</v>
      </c>
      <c r="Q8" s="3580"/>
      <c r="R8" s="1552" t="s">
        <v>8</v>
      </c>
      <c r="S8" s="1553">
        <f t="shared" si="0"/>
        <v>0</v>
      </c>
      <c r="T8" s="1552" t="s">
        <v>8</v>
      </c>
      <c r="U8" s="1553">
        <f t="shared" si="1"/>
        <v>0</v>
      </c>
      <c r="V8" s="1552" t="s">
        <v>8</v>
      </c>
      <c r="W8" s="1553">
        <f t="shared" si="2"/>
        <v>0</v>
      </c>
      <c r="X8" s="1554"/>
      <c r="Y8" s="3579" t="s">
        <v>533</v>
      </c>
      <c r="Z8" s="3580"/>
      <c r="AA8" s="1555" t="e">
        <f t="shared" ref="AA8:AA47" si="3">D8/F8</f>
        <v>#DIV/0!</v>
      </c>
      <c r="AB8" s="1555" t="e">
        <f t="shared" ref="AB8:AB47" si="4">D8/H8</f>
        <v>#DIV/0!</v>
      </c>
      <c r="AC8" s="1555" t="e">
        <f t="shared" ref="AC8:AC47" si="5">D8/J8</f>
        <v>#DIV/0!</v>
      </c>
    </row>
    <row r="9" spans="1:29" s="1213" customFormat="1" ht="15">
      <c r="A9" s="2867"/>
      <c r="B9" s="2874" t="s">
        <v>2756</v>
      </c>
      <c r="C9" s="854"/>
      <c r="D9" s="251">
        <v>100</v>
      </c>
      <c r="E9" s="857"/>
      <c r="F9" s="251">
        <f>SUMIF(64:64,E9,65:65)-SUMIF(64:64,C9,65:65)+100</f>
        <v>100</v>
      </c>
      <c r="G9" s="855"/>
      <c r="H9" s="251">
        <f>SUMIF(64:64,G9,65:65)-SUMIF(64:64,C9,65:65)+100</f>
        <v>100</v>
      </c>
      <c r="I9" s="855"/>
      <c r="J9" s="251">
        <f>SUMIF(64:64,I9,65:65)-SUMIF(64:64,C9,65:65)+100</f>
        <v>100</v>
      </c>
      <c r="K9" s="521"/>
      <c r="L9" s="2118"/>
      <c r="M9" s="2119"/>
      <c r="N9" s="2119"/>
      <c r="O9" s="2119"/>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SUMIF(66:66,E10,67:67)-SUMIF(66:66,C10,67:67)+100</f>
        <v>100</v>
      </c>
      <c r="G10" s="859"/>
      <c r="H10" s="252">
        <f>SUMIF(66:66,G10,67:67)-SUMIF(66:66,C10,67:67)+100</f>
        <v>100</v>
      </c>
      <c r="I10" s="858"/>
      <c r="J10" s="252">
        <f>SUMIF(66:66,I10,67:67)-SUMIF(66:66,C10,67:67)+100</f>
        <v>100</v>
      </c>
      <c r="K10" s="581"/>
      <c r="L10" s="2121"/>
      <c r="M10" s="2161"/>
      <c r="N10" s="2161"/>
      <c r="O10" s="2161"/>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3"/>
      <c r="M11" s="2117"/>
      <c r="N11" s="2117"/>
      <c r="O11" s="2117"/>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2">
        <f>SUMIF(71:71,E12,72:72)-SUMIF(71:71,C12,72:72)+100</f>
        <v>100</v>
      </c>
      <c r="G12" s="907"/>
      <c r="H12" s="252">
        <f>SUMIF(71:71,G12,72:72)-SUMIF(71:71,C12,72:72)+100</f>
        <v>100</v>
      </c>
      <c r="I12" s="525"/>
      <c r="J12" s="252">
        <f>SUMIF(71:71,I12,72:72)-SUMIF(71:71,C12,72:72)+100</f>
        <v>100</v>
      </c>
      <c r="K12" s="578"/>
      <c r="L12" s="2118"/>
      <c r="M12" s="2119"/>
      <c r="N12" s="2119"/>
      <c r="O12" s="2119"/>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25"/>
      <c r="F13" s="252">
        <f>SUMIF(73:73,E13,74:74)-SUMIF(73:73,C13,74:74)+100</f>
        <v>100</v>
      </c>
      <c r="G13" s="907"/>
      <c r="H13" s="537">
        <f>SUMIF(73:73,G13,74:74)-SUMIF(73:73,C13,74:74)+100</f>
        <v>100</v>
      </c>
      <c r="I13" s="525"/>
      <c r="J13" s="537">
        <f>SUMIF(73:73,I13,74:74)-SUMIF(73:73,C13,74:74)+100</f>
        <v>100</v>
      </c>
      <c r="K13" s="578"/>
      <c r="L13" s="2125"/>
      <c r="M13" s="2117"/>
      <c r="N13" s="2117"/>
      <c r="O13" s="2117"/>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71.25">
      <c r="A15" s="2863"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589" t="s">
        <v>540</v>
      </c>
      <c r="Q15" s="1556" t="str">
        <f t="shared" si="6"/>
        <v>办公集聚程度</v>
      </c>
      <c r="R15" s="1557" t="s">
        <v>8</v>
      </c>
      <c r="S15" s="1558">
        <f t="shared" si="0"/>
        <v>100</v>
      </c>
      <c r="T15" s="1557" t="s">
        <v>8</v>
      </c>
      <c r="U15" s="1558">
        <f t="shared" si="1"/>
        <v>100</v>
      </c>
      <c r="V15" s="1557" t="s">
        <v>8</v>
      </c>
      <c r="W15" s="1558">
        <f t="shared" si="2"/>
        <v>100</v>
      </c>
      <c r="X15" s="1551"/>
      <c r="Y15" s="3589"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590"/>
      <c r="Q16" s="1556"/>
      <c r="R16" s="1557"/>
      <c r="S16" s="1558"/>
      <c r="T16" s="1557"/>
      <c r="U16" s="1558"/>
      <c r="V16" s="1557"/>
      <c r="W16" s="1558"/>
      <c r="X16" s="1551"/>
      <c r="Y16" s="3590"/>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590"/>
      <c r="Q18" s="1556"/>
      <c r="R18" s="1557"/>
      <c r="S18" s="1558"/>
      <c r="T18" s="1557"/>
      <c r="U18" s="1558"/>
      <c r="V18" s="1557"/>
      <c r="W18" s="1558"/>
      <c r="X18" s="1551"/>
      <c r="Y18" s="3590"/>
      <c r="Z18" s="1559"/>
      <c r="AA18" s="1560">
        <v>1</v>
      </c>
      <c r="AB18" s="1560">
        <v>1</v>
      </c>
      <c r="AC18" s="1560">
        <v>1</v>
      </c>
    </row>
    <row r="19" spans="1:29" ht="42.75">
      <c r="A19" s="529"/>
      <c r="B19" s="256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590"/>
      <c r="Q20" s="1556"/>
      <c r="R20" s="1557"/>
      <c r="S20" s="1558"/>
      <c r="T20" s="1557"/>
      <c r="U20" s="1558"/>
      <c r="V20" s="1557"/>
      <c r="W20" s="1558"/>
      <c r="X20" s="1551"/>
      <c r="Y20" s="3590"/>
      <c r="Z20" s="1559"/>
      <c r="AA20" s="1560">
        <v>1</v>
      </c>
      <c r="AB20" s="1560">
        <v>1</v>
      </c>
      <c r="AC20" s="1560">
        <v>1</v>
      </c>
    </row>
    <row r="21" spans="1:29" ht="28.5">
      <c r="A21" s="529"/>
      <c r="B21" s="255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590"/>
      <c r="Q22" s="2541"/>
      <c r="R22" s="1557"/>
      <c r="S22" s="1558"/>
      <c r="T22" s="1557"/>
      <c r="U22" s="1558"/>
      <c r="V22" s="1557"/>
      <c r="W22" s="1558"/>
      <c r="X22" s="2543"/>
      <c r="Y22" s="3590"/>
      <c r="Z22" s="2542"/>
      <c r="AA22" s="1560">
        <v>1</v>
      </c>
      <c r="AB22" s="1560">
        <v>1</v>
      </c>
      <c r="AC22" s="1560">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590"/>
      <c r="Q23" s="1556" t="str">
        <f>B23</f>
        <v>环境质量</v>
      </c>
      <c r="R23" s="1557" t="s">
        <v>8</v>
      </c>
      <c r="S23" s="1558">
        <f>F23</f>
        <v>100</v>
      </c>
      <c r="T23" s="1557" t="s">
        <v>8</v>
      </c>
      <c r="U23" s="1558">
        <f>H23</f>
        <v>100</v>
      </c>
      <c r="V23" s="1557" t="s">
        <v>8</v>
      </c>
      <c r="W23" s="1558">
        <f>J23</f>
        <v>100</v>
      </c>
      <c r="X23" s="1551"/>
      <c r="Y23" s="3590"/>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590"/>
      <c r="Q24" s="1556"/>
      <c r="R24" s="1557"/>
      <c r="S24" s="1558"/>
      <c r="T24" s="1557"/>
      <c r="U24" s="1558"/>
      <c r="V24" s="1557"/>
      <c r="W24" s="1558"/>
      <c r="X24" s="1551"/>
      <c r="Y24" s="3590"/>
      <c r="Z24" s="1559"/>
      <c r="AA24" s="1560">
        <v>1</v>
      </c>
      <c r="AB24" s="1560">
        <v>1</v>
      </c>
      <c r="AC24" s="156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590"/>
      <c r="Q25" s="1556" t="str">
        <f>B25</f>
        <v>毗邻道路的类型与等级</v>
      </c>
      <c r="R25" s="1557" t="s">
        <v>8</v>
      </c>
      <c r="S25" s="1558">
        <f>F25</f>
        <v>100</v>
      </c>
      <c r="T25" s="1557" t="s">
        <v>8</v>
      </c>
      <c r="U25" s="1558">
        <f>H25</f>
        <v>100</v>
      </c>
      <c r="V25" s="1557" t="s">
        <v>8</v>
      </c>
      <c r="W25" s="1558">
        <f>J25</f>
        <v>100</v>
      </c>
      <c r="X25" s="1551"/>
      <c r="Y25" s="3590"/>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590"/>
      <c r="Q26" s="1556"/>
      <c r="R26" s="1557"/>
      <c r="S26" s="1558"/>
      <c r="T26" s="1557"/>
      <c r="U26" s="1558"/>
      <c r="V26" s="1557"/>
      <c r="W26" s="1558"/>
      <c r="X26" s="1551"/>
      <c r="Y26" s="3590"/>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590"/>
      <c r="Q27" s="1556" t="str">
        <f t="shared" ref="Q27:Q47" si="11">B27</f>
        <v>楼层</v>
      </c>
      <c r="R27" s="1557" t="s">
        <v>8</v>
      </c>
      <c r="S27" s="1558">
        <f>F27</f>
        <v>100</v>
      </c>
      <c r="T27" s="1557" t="s">
        <v>8</v>
      </c>
      <c r="U27" s="1558">
        <f>H27</f>
        <v>100</v>
      </c>
      <c r="V27" s="1557" t="s">
        <v>8</v>
      </c>
      <c r="W27" s="1558">
        <f>J27</f>
        <v>100</v>
      </c>
      <c r="X27" s="1551"/>
      <c r="Y27" s="3590"/>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590"/>
      <c r="Q28" s="1144" t="str">
        <f t="shared" si="11"/>
        <v>朝向</v>
      </c>
      <c r="R28" s="1552" t="s">
        <v>8</v>
      </c>
      <c r="S28" s="1553">
        <f>F28</f>
        <v>100</v>
      </c>
      <c r="T28" s="1552" t="s">
        <v>8</v>
      </c>
      <c r="U28" s="1553">
        <f>H28</f>
        <v>100</v>
      </c>
      <c r="V28" s="1552" t="s">
        <v>8</v>
      </c>
      <c r="W28" s="1553">
        <f>J28</f>
        <v>100</v>
      </c>
      <c r="X28" s="1554"/>
      <c r="Y28" s="3590"/>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590"/>
      <c r="Q29" s="1556">
        <f t="shared" si="11"/>
        <v>111</v>
      </c>
      <c r="R29" s="1557" t="s">
        <v>8</v>
      </c>
      <c r="S29" s="1558">
        <f t="shared" ref="S29:S47" si="12">F29</f>
        <v>100</v>
      </c>
      <c r="T29" s="1557" t="s">
        <v>8</v>
      </c>
      <c r="U29" s="1558">
        <f t="shared" ref="U29:U47" si="13">H29</f>
        <v>100</v>
      </c>
      <c r="V29" s="1557" t="s">
        <v>8</v>
      </c>
      <c r="W29" s="1558">
        <f t="shared" ref="W29:W47" si="14">J29</f>
        <v>100</v>
      </c>
      <c r="X29" s="1551"/>
      <c r="Y29" s="3590"/>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590"/>
      <c r="Q30" s="1556">
        <f t="shared" si="11"/>
        <v>111</v>
      </c>
      <c r="R30" s="1557" t="s">
        <v>8</v>
      </c>
      <c r="S30" s="1558">
        <f t="shared" si="12"/>
        <v>100</v>
      </c>
      <c r="T30" s="1557" t="s">
        <v>8</v>
      </c>
      <c r="U30" s="1558">
        <f t="shared" si="13"/>
        <v>100</v>
      </c>
      <c r="V30" s="1557" t="s">
        <v>8</v>
      </c>
      <c r="W30" s="1558">
        <f t="shared" si="14"/>
        <v>100</v>
      </c>
      <c r="X30" s="1551"/>
      <c r="Y30" s="3590"/>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590"/>
      <c r="Q31" s="1556">
        <f t="shared" si="11"/>
        <v>111</v>
      </c>
      <c r="R31" s="1557" t="s">
        <v>8</v>
      </c>
      <c r="S31" s="1558">
        <f t="shared" si="12"/>
        <v>100</v>
      </c>
      <c r="T31" s="1557" t="s">
        <v>8</v>
      </c>
      <c r="U31" s="1558">
        <f t="shared" si="13"/>
        <v>100</v>
      </c>
      <c r="V31" s="1557" t="s">
        <v>8</v>
      </c>
      <c r="W31" s="1558">
        <f t="shared" si="14"/>
        <v>100</v>
      </c>
      <c r="X31" s="1551"/>
      <c r="Y31" s="3590"/>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590"/>
      <c r="Q32" s="1556">
        <f t="shared" si="11"/>
        <v>111</v>
      </c>
      <c r="R32" s="1557" t="s">
        <v>8</v>
      </c>
      <c r="S32" s="1558">
        <f t="shared" si="12"/>
        <v>100</v>
      </c>
      <c r="T32" s="1557" t="s">
        <v>8</v>
      </c>
      <c r="U32" s="1558">
        <f t="shared" si="13"/>
        <v>100</v>
      </c>
      <c r="V32" s="1557" t="s">
        <v>8</v>
      </c>
      <c r="W32" s="1558">
        <f t="shared" si="14"/>
        <v>100</v>
      </c>
      <c r="X32" s="1551"/>
      <c r="Y32" s="3590"/>
      <c r="Z32" s="1559">
        <f t="shared" si="15"/>
        <v>111</v>
      </c>
      <c r="AA32" s="1560">
        <f t="shared" si="3"/>
        <v>1</v>
      </c>
      <c r="AB32" s="1560">
        <f t="shared" si="4"/>
        <v>1</v>
      </c>
      <c r="AC32" s="1560">
        <f t="shared" si="5"/>
        <v>1</v>
      </c>
    </row>
    <row r="33" spans="1:29" ht="15">
      <c r="A33" s="2860" t="s">
        <v>2755</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591" t="s">
        <v>550</v>
      </c>
      <c r="Q33" s="1556" t="str">
        <f t="shared" si="11"/>
        <v>建筑类型</v>
      </c>
      <c r="R33" s="1557" t="s">
        <v>8</v>
      </c>
      <c r="S33" s="1558">
        <f t="shared" si="12"/>
        <v>100</v>
      </c>
      <c r="T33" s="1557" t="s">
        <v>8</v>
      </c>
      <c r="U33" s="1558">
        <f t="shared" si="13"/>
        <v>100</v>
      </c>
      <c r="V33" s="1557" t="s">
        <v>8</v>
      </c>
      <c r="W33" s="1558">
        <f t="shared" si="14"/>
        <v>100</v>
      </c>
      <c r="X33" s="1551"/>
      <c r="Y33" s="3592"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3"/>
      <c r="M34" s="2154"/>
      <c r="N34" s="2154"/>
      <c r="O34" s="2154"/>
      <c r="P34" s="3592"/>
      <c r="Q34" s="1588" t="str">
        <f t="shared" si="11"/>
        <v>项目建筑规模</v>
      </c>
      <c r="R34" s="1561" t="s">
        <v>8</v>
      </c>
      <c r="S34" s="1562" t="e">
        <f t="shared" si="12"/>
        <v>#N/A</v>
      </c>
      <c r="T34" s="1561" t="s">
        <v>8</v>
      </c>
      <c r="U34" s="1562" t="e">
        <f t="shared" si="13"/>
        <v>#N/A</v>
      </c>
      <c r="V34" s="1561" t="s">
        <v>8</v>
      </c>
      <c r="W34" s="1562" t="e">
        <f t="shared" si="14"/>
        <v>#N/A</v>
      </c>
      <c r="X34" s="1563"/>
      <c r="Y34" s="3592"/>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592"/>
      <c r="Q35" s="1556" t="str">
        <f t="shared" si="11"/>
        <v>建筑结构</v>
      </c>
      <c r="R35" s="1557" t="s">
        <v>8</v>
      </c>
      <c r="S35" s="1558">
        <f t="shared" si="12"/>
        <v>100</v>
      </c>
      <c r="T35" s="1557" t="s">
        <v>8</v>
      </c>
      <c r="U35" s="1558">
        <f t="shared" si="13"/>
        <v>100</v>
      </c>
      <c r="V35" s="1557" t="s">
        <v>8</v>
      </c>
      <c r="W35" s="1558">
        <f t="shared" si="14"/>
        <v>100</v>
      </c>
      <c r="X35" s="1551"/>
      <c r="Y35" s="3592"/>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592"/>
      <c r="Q36" s="1556" t="str">
        <f t="shared" si="11"/>
        <v>公共部分装修</v>
      </c>
      <c r="R36" s="1557" t="s">
        <v>8</v>
      </c>
      <c r="S36" s="1558">
        <f t="shared" si="12"/>
        <v>100</v>
      </c>
      <c r="T36" s="1557" t="s">
        <v>8</v>
      </c>
      <c r="U36" s="1558">
        <f t="shared" si="13"/>
        <v>100</v>
      </c>
      <c r="V36" s="1557" t="s">
        <v>8</v>
      </c>
      <c r="W36" s="1558">
        <f t="shared" si="14"/>
        <v>100</v>
      </c>
      <c r="X36" s="1551"/>
      <c r="Y36" s="3592"/>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592"/>
      <c r="Q37" s="1556" t="str">
        <f t="shared" si="11"/>
        <v>成新度</v>
      </c>
      <c r="R37" s="1557" t="s">
        <v>8</v>
      </c>
      <c r="S37" s="1558" t="e">
        <f t="shared" si="12"/>
        <v>#N/A</v>
      </c>
      <c r="T37" s="1557" t="s">
        <v>8</v>
      </c>
      <c r="U37" s="1558" t="e">
        <f t="shared" si="13"/>
        <v>#N/A</v>
      </c>
      <c r="V37" s="1557" t="s">
        <v>8</v>
      </c>
      <c r="W37" s="1558" t="e">
        <f t="shared" si="14"/>
        <v>#N/A</v>
      </c>
      <c r="X37" s="1551"/>
      <c r="Y37" s="3592"/>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592"/>
      <c r="Q38" s="1144" t="str">
        <f t="shared" si="11"/>
        <v>写字楼等级</v>
      </c>
      <c r="R38" s="1552" t="s">
        <v>8</v>
      </c>
      <c r="S38" s="1553">
        <f t="shared" si="12"/>
        <v>100</v>
      </c>
      <c r="T38" s="1552" t="s">
        <v>8</v>
      </c>
      <c r="U38" s="1553">
        <f t="shared" si="13"/>
        <v>100</v>
      </c>
      <c r="V38" s="1552" t="s">
        <v>8</v>
      </c>
      <c r="W38" s="1553">
        <f t="shared" si="14"/>
        <v>100</v>
      </c>
      <c r="X38" s="1554"/>
      <c r="Y38" s="3592"/>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592" t="s">
        <v>550</v>
      </c>
      <c r="Q39" s="1556" t="str">
        <f t="shared" si="11"/>
        <v>物业管理</v>
      </c>
      <c r="R39" s="1557" t="s">
        <v>8</v>
      </c>
      <c r="S39" s="1558">
        <f t="shared" si="12"/>
        <v>100</v>
      </c>
      <c r="T39" s="1557" t="s">
        <v>8</v>
      </c>
      <c r="U39" s="1558">
        <f t="shared" si="13"/>
        <v>100</v>
      </c>
      <c r="V39" s="1557" t="s">
        <v>8</v>
      </c>
      <c r="W39" s="1558">
        <f t="shared" si="14"/>
        <v>100</v>
      </c>
      <c r="X39" s="1551"/>
      <c r="Y39" s="3592" t="s">
        <v>550</v>
      </c>
      <c r="Z39" s="1559" t="str">
        <f t="shared" si="15"/>
        <v>物业管理</v>
      </c>
      <c r="AA39" s="1560">
        <f t="shared" si="3"/>
        <v>1</v>
      </c>
      <c r="AB39" s="1560">
        <f t="shared" si="4"/>
        <v>1</v>
      </c>
      <c r="AC39" s="1560">
        <f t="shared" si="5"/>
        <v>1</v>
      </c>
    </row>
    <row r="40" spans="1:29" ht="15">
      <c r="A40" s="591"/>
      <c r="B40" s="1878"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592"/>
      <c r="Q40" s="1556" t="str">
        <f t="shared" si="11"/>
        <v>市政基础设施</v>
      </c>
      <c r="R40" s="1557" t="s">
        <v>8</v>
      </c>
      <c r="S40" s="1558">
        <f t="shared" si="12"/>
        <v>100</v>
      </c>
      <c r="T40" s="1557" t="s">
        <v>8</v>
      </c>
      <c r="U40" s="1558">
        <f t="shared" si="13"/>
        <v>100</v>
      </c>
      <c r="V40" s="1557" t="s">
        <v>8</v>
      </c>
      <c r="W40" s="1558">
        <f t="shared" si="14"/>
        <v>100</v>
      </c>
      <c r="X40" s="1551"/>
      <c r="Y40" s="3592"/>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592"/>
      <c r="Q41" s="1556" t="str">
        <f t="shared" si="11"/>
        <v>层高</v>
      </c>
      <c r="R41" s="1557" t="s">
        <v>8</v>
      </c>
      <c r="S41" s="1558">
        <f t="shared" si="12"/>
        <v>100</v>
      </c>
      <c r="T41" s="1557" t="s">
        <v>8</v>
      </c>
      <c r="U41" s="1558">
        <f t="shared" si="13"/>
        <v>100</v>
      </c>
      <c r="V41" s="1557" t="s">
        <v>8</v>
      </c>
      <c r="W41" s="1558">
        <f t="shared" si="14"/>
        <v>100</v>
      </c>
      <c r="X41" s="1551"/>
      <c r="Y41" s="3592"/>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592"/>
      <c r="Q42" s="1588" t="str">
        <f t="shared" si="11"/>
        <v>单套建筑面积</v>
      </c>
      <c r="R42" s="1561" t="s">
        <v>8</v>
      </c>
      <c r="S42" s="1562">
        <f t="shared" si="12"/>
        <v>100</v>
      </c>
      <c r="T42" s="1561" t="s">
        <v>8</v>
      </c>
      <c r="U42" s="1562">
        <f t="shared" si="13"/>
        <v>100</v>
      </c>
      <c r="V42" s="1561" t="s">
        <v>8</v>
      </c>
      <c r="W42" s="1562">
        <f t="shared" si="14"/>
        <v>100</v>
      </c>
      <c r="X42" s="1563"/>
      <c r="Y42" s="3592"/>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592"/>
      <c r="Q43" s="1556" t="str">
        <f t="shared" si="11"/>
        <v>内部装修</v>
      </c>
      <c r="R43" s="1557" t="s">
        <v>8</v>
      </c>
      <c r="S43" s="1558">
        <f t="shared" si="12"/>
        <v>100</v>
      </c>
      <c r="T43" s="1557" t="s">
        <v>8</v>
      </c>
      <c r="U43" s="1558">
        <f t="shared" si="13"/>
        <v>100</v>
      </c>
      <c r="V43" s="1557" t="s">
        <v>8</v>
      </c>
      <c r="W43" s="1558">
        <f t="shared" si="14"/>
        <v>100</v>
      </c>
      <c r="X43" s="1551"/>
      <c r="Y43" s="3592"/>
      <c r="Z43" s="1559" t="str">
        <f t="shared" si="15"/>
        <v>内部装修</v>
      </c>
      <c r="AA43" s="1560">
        <f t="shared" si="3"/>
        <v>1</v>
      </c>
      <c r="AB43" s="1560">
        <f t="shared" si="4"/>
        <v>1</v>
      </c>
      <c r="AC43" s="156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592"/>
      <c r="Q44" s="1556" t="str">
        <f t="shared" si="11"/>
        <v>内部装修维护情况</v>
      </c>
      <c r="R44" s="1557" t="s">
        <v>8</v>
      </c>
      <c r="S44" s="1558">
        <f t="shared" si="12"/>
        <v>100</v>
      </c>
      <c r="T44" s="1557" t="s">
        <v>8</v>
      </c>
      <c r="U44" s="1558">
        <f t="shared" si="13"/>
        <v>100</v>
      </c>
      <c r="V44" s="1557" t="s">
        <v>8</v>
      </c>
      <c r="W44" s="1558">
        <f t="shared" si="14"/>
        <v>100</v>
      </c>
      <c r="X44" s="1551"/>
      <c r="Y44" s="3592"/>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8"/>
      <c r="M45" s="2119"/>
      <c r="N45" s="2119"/>
      <c r="O45" s="2119"/>
      <c r="P45" s="3592"/>
      <c r="Q45" s="1144">
        <f t="shared" si="11"/>
        <v>111</v>
      </c>
      <c r="R45" s="1552" t="s">
        <v>8</v>
      </c>
      <c r="S45" s="1553">
        <f t="shared" si="12"/>
        <v>100</v>
      </c>
      <c r="T45" s="1552" t="s">
        <v>8</v>
      </c>
      <c r="U45" s="1553">
        <f t="shared" si="13"/>
        <v>100</v>
      </c>
      <c r="V45" s="1552" t="s">
        <v>8</v>
      </c>
      <c r="W45" s="1553">
        <f t="shared" si="14"/>
        <v>100</v>
      </c>
      <c r="X45" s="1554"/>
      <c r="Y45" s="3592"/>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592"/>
      <c r="Q46" s="1556">
        <f t="shared" si="11"/>
        <v>111</v>
      </c>
      <c r="R46" s="1557" t="s">
        <v>8</v>
      </c>
      <c r="S46" s="1558">
        <f t="shared" si="12"/>
        <v>100</v>
      </c>
      <c r="T46" s="1557" t="s">
        <v>8</v>
      </c>
      <c r="U46" s="1558">
        <f t="shared" si="13"/>
        <v>100</v>
      </c>
      <c r="V46" s="1557" t="s">
        <v>8</v>
      </c>
      <c r="W46" s="1558">
        <f t="shared" si="14"/>
        <v>100</v>
      </c>
      <c r="X46" s="1551"/>
      <c r="Y46" s="3592"/>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626"/>
      <c r="Q47" s="1556">
        <f t="shared" si="11"/>
        <v>111</v>
      </c>
      <c r="R47" s="1557" t="s">
        <v>8</v>
      </c>
      <c r="S47" s="1558">
        <f t="shared" si="12"/>
        <v>100</v>
      </c>
      <c r="T47" s="1557" t="s">
        <v>8</v>
      </c>
      <c r="U47" s="1558">
        <f t="shared" si="13"/>
        <v>100</v>
      </c>
      <c r="V47" s="1557" t="s">
        <v>8</v>
      </c>
      <c r="W47" s="1558">
        <f t="shared" si="14"/>
        <v>100</v>
      </c>
      <c r="X47" s="1551"/>
      <c r="Y47" s="3626"/>
      <c r="Z47" s="1559">
        <f t="shared" si="15"/>
        <v>111</v>
      </c>
      <c r="AA47" s="1560">
        <f t="shared" si="3"/>
        <v>1</v>
      </c>
      <c r="AB47" s="1560">
        <f t="shared" si="4"/>
        <v>1</v>
      </c>
      <c r="AC47" s="1560">
        <f t="shared" si="5"/>
        <v>1</v>
      </c>
    </row>
    <row r="48" spans="1:29" ht="15">
      <c r="A48" s="604" t="s">
        <v>736</v>
      </c>
      <c r="B48" s="884"/>
      <c r="C48" s="2589" t="s">
        <v>1</v>
      </c>
      <c r="D48" s="2590"/>
      <c r="E48" s="2591"/>
      <c r="F48" s="2592"/>
      <c r="G48" s="2593"/>
      <c r="H48" s="2594"/>
      <c r="I48" s="2591"/>
      <c r="J48" s="2594"/>
      <c r="K48" s="1594"/>
      <c r="L48" s="2127"/>
      <c r="M48" s="2117"/>
      <c r="N48" s="2117"/>
      <c r="O48" s="2117"/>
      <c r="P48" s="3609" t="str">
        <f>A48</f>
        <v>成交单价（元/平方米）</v>
      </c>
      <c r="Q48" s="3587"/>
      <c r="R48" s="3625">
        <f>E48</f>
        <v>0</v>
      </c>
      <c r="S48" s="3625"/>
      <c r="T48" s="3625">
        <f>G48</f>
        <v>0</v>
      </c>
      <c r="U48" s="3625"/>
      <c r="V48" s="3625">
        <f>I48</f>
        <v>0</v>
      </c>
      <c r="W48" s="3625"/>
      <c r="X48" s="1543"/>
      <c r="Y48" s="1565"/>
      <c r="Z48" s="1543"/>
      <c r="AA48" s="1543"/>
      <c r="AB48" s="1543"/>
      <c r="AC48" s="1543"/>
    </row>
    <row r="49" spans="1:29" ht="15.75" thickBot="1">
      <c r="A49" s="612" t="s">
        <v>2760</v>
      </c>
      <c r="B49" s="885"/>
      <c r="C49" s="2595" t="e">
        <f>R50</f>
        <v>#DIV/0!</v>
      </c>
      <c r="D49" s="2596"/>
      <c r="E49" s="2597" t="e">
        <f>R49</f>
        <v>#DIV/0!</v>
      </c>
      <c r="F49" s="2597"/>
      <c r="G49" s="2595" t="e">
        <f>T49</f>
        <v>#DIV/0!</v>
      </c>
      <c r="H49" s="2596"/>
      <c r="I49" s="2597" t="e">
        <f>V49</f>
        <v>#DIV/0!</v>
      </c>
      <c r="J49" s="2596"/>
      <c r="K49" s="1595"/>
      <c r="L49" s="2127"/>
      <c r="M49" s="2117"/>
      <c r="N49" s="2117"/>
      <c r="O49" s="2117"/>
      <c r="P49" s="3609" t="str">
        <f>A49</f>
        <v>比较价格（元/平方米）</v>
      </c>
      <c r="Q49" s="3587"/>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43"/>
      <c r="Y49" s="1543"/>
      <c r="Z49" s="1543"/>
      <c r="AA49" s="1543"/>
      <c r="AB49" s="1543"/>
      <c r="AC49" s="1543"/>
    </row>
    <row r="50" spans="1:29" ht="15.75" thickBot="1">
      <c r="A50" s="618" t="s">
        <v>2936</v>
      </c>
      <c r="B50" s="619"/>
      <c r="C50" s="2598" t="e">
        <f>R50</f>
        <v>#DIV/0!</v>
      </c>
      <c r="D50" s="2598"/>
      <c r="E50" s="2598"/>
      <c r="F50" s="2598"/>
      <c r="G50" s="2598"/>
      <c r="H50" s="2598"/>
      <c r="I50" s="2598"/>
      <c r="J50" s="2598"/>
      <c r="K50" s="1596"/>
      <c r="L50" s="2127"/>
      <c r="M50" s="2117"/>
      <c r="N50" s="2117"/>
      <c r="O50" s="2117"/>
      <c r="P50" s="3676" t="str">
        <f>A50</f>
        <v>估价对象XX用房的比较价格（楼面单价，元/平方米）</v>
      </c>
      <c r="Q50" s="3609"/>
      <c r="R50" s="3624" t="e">
        <f>IF(F1="售价",ROUND(AVERAGE(R49:V49),0),ROUND(AVERAGE(R49:V49),1))</f>
        <v>#DIV/0!</v>
      </c>
      <c r="S50" s="3624"/>
      <c r="T50" s="3624"/>
      <c r="U50" s="3624"/>
      <c r="V50" s="3624"/>
      <c r="W50" s="3624"/>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529</v>
      </c>
      <c r="B59" s="643"/>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575</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531</v>
      </c>
      <c r="B62" s="645"/>
      <c r="C62" s="657" t="s">
        <v>576</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577</v>
      </c>
      <c r="B64" s="662" t="s">
        <v>534</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539</v>
      </c>
      <c r="B77" s="662" t="s">
        <v>585</v>
      </c>
      <c r="C77" s="700" t="s">
        <v>579</v>
      </c>
      <c r="D77" s="700" t="s">
        <v>580</v>
      </c>
      <c r="E77" s="700" t="s">
        <v>581</v>
      </c>
      <c r="F77" s="700" t="s">
        <v>582</v>
      </c>
      <c r="G77" s="700" t="s">
        <v>583</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586</v>
      </c>
      <c r="C79" s="705" t="s">
        <v>579</v>
      </c>
      <c r="D79" s="705" t="s">
        <v>580</v>
      </c>
      <c r="E79" s="705" t="s">
        <v>581</v>
      </c>
      <c r="F79" s="705" t="s">
        <v>582</v>
      </c>
      <c r="G79" s="705" t="s">
        <v>583</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2557</v>
      </c>
      <c r="C81" s="705" t="s">
        <v>579</v>
      </c>
      <c r="D81" s="705" t="s">
        <v>580</v>
      </c>
      <c r="E81" s="705" t="s">
        <v>581</v>
      </c>
      <c r="F81" s="705" t="s">
        <v>582</v>
      </c>
      <c r="G81" s="705" t="s">
        <v>583</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2558</v>
      </c>
      <c r="C83" s="2560" t="s">
        <v>2559</v>
      </c>
      <c r="D83" s="2560" t="s">
        <v>2560</v>
      </c>
      <c r="E83" s="2560" t="s">
        <v>2561</v>
      </c>
      <c r="F83" s="2560" t="s">
        <v>2562</v>
      </c>
      <c r="G83" s="2560" t="s">
        <v>2563</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784</v>
      </c>
      <c r="C85" s="705" t="s">
        <v>579</v>
      </c>
      <c r="D85" s="705" t="s">
        <v>580</v>
      </c>
      <c r="E85" s="705" t="s">
        <v>581</v>
      </c>
      <c r="F85" s="705" t="s">
        <v>582</v>
      </c>
      <c r="G85" s="705" t="s">
        <v>583</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785</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551</v>
      </c>
      <c r="B101" s="662" t="s">
        <v>747</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749</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751</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786</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753</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2556</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787</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775</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755</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788</v>
      </c>
      <c r="C1" s="501" t="s">
        <v>720</v>
      </c>
      <c r="D1" s="846"/>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521</v>
      </c>
      <c r="B4" s="510"/>
      <c r="C4" s="3593" t="s">
        <v>522</v>
      </c>
      <c r="D4" s="3594"/>
      <c r="E4" s="3617" t="s">
        <v>523</v>
      </c>
      <c r="F4" s="3618"/>
      <c r="G4" s="3593" t="s">
        <v>524</v>
      </c>
      <c r="H4" s="3594"/>
      <c r="I4" s="3593" t="s">
        <v>525</v>
      </c>
      <c r="J4" s="3594"/>
      <c r="K4" s="511" t="s">
        <v>526</v>
      </c>
      <c r="L4" s="2116"/>
      <c r="M4" s="2117"/>
      <c r="N4" s="2117"/>
      <c r="O4" s="2117"/>
      <c r="P4" s="3595" t="s">
        <v>527</v>
      </c>
      <c r="Q4" s="3596"/>
      <c r="R4" s="3581" t="s">
        <v>523</v>
      </c>
      <c r="S4" s="3582"/>
      <c r="T4" s="3581" t="s">
        <v>524</v>
      </c>
      <c r="U4" s="3582"/>
      <c r="V4" s="3601" t="s">
        <v>525</v>
      </c>
      <c r="W4" s="3601"/>
      <c r="X4" s="1551"/>
      <c r="Y4" s="3581" t="s">
        <v>527</v>
      </c>
      <c r="Z4" s="3582"/>
      <c r="AA4" s="3576" t="s">
        <v>523</v>
      </c>
      <c r="AB4" s="3577" t="s">
        <v>524</v>
      </c>
      <c r="AC4" s="3576" t="s">
        <v>525</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SUMIF(52:52,YEAR(E7)&amp;"-"&amp;MONTH(E7),53:53)</f>
        <v>0</v>
      </c>
      <c r="G7" s="518"/>
      <c r="H7" s="517">
        <f>SUMIF(52:52,YEAR(G7)&amp;"-"&amp;MONTH(G7),53:53)</f>
        <v>0</v>
      </c>
      <c r="I7" s="518"/>
      <c r="J7" s="517">
        <f>SUMIF(52:52,YEAR(I7)&amp;"-"&amp;MONTH(I7),53:53)</f>
        <v>0</v>
      </c>
      <c r="K7" s="521"/>
      <c r="L7" s="2118"/>
      <c r="M7" s="2119"/>
      <c r="N7" s="2119"/>
      <c r="O7" s="2119"/>
      <c r="P7" s="3579" t="s">
        <v>530</v>
      </c>
      <c r="Q7" s="3588"/>
      <c r="R7" s="1552" t="s">
        <v>8</v>
      </c>
      <c r="S7" s="1553">
        <f t="shared" ref="S7:S15" si="0">F7</f>
        <v>0</v>
      </c>
      <c r="T7" s="1552" t="s">
        <v>8</v>
      </c>
      <c r="U7" s="1553">
        <f t="shared" ref="U7:U15" si="1">H7</f>
        <v>0</v>
      </c>
      <c r="V7" s="1552" t="s">
        <v>8</v>
      </c>
      <c r="W7" s="1553">
        <f t="shared" ref="W7:W15"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40" si="3">D8/F8</f>
        <v>#DIV/0!</v>
      </c>
      <c r="AB8" s="1555" t="e">
        <f t="shared" ref="AB8:AB40" si="4">D8/H8</f>
        <v>#DIV/0!</v>
      </c>
      <c r="AC8" s="1555" t="e">
        <f t="shared" ref="AC8:AC40" si="5">D8/J8</f>
        <v>#DIV/0!</v>
      </c>
    </row>
    <row r="9" spans="1:29" s="1213" customFormat="1" ht="15">
      <c r="A9" s="2867"/>
      <c r="B9" s="2874" t="s">
        <v>2756</v>
      </c>
      <c r="C9" s="854"/>
      <c r="D9" s="251">
        <v>100</v>
      </c>
      <c r="E9" s="857"/>
      <c r="F9" s="251">
        <f>SUMIF(57:57,E9,58:58)-SUMIF(57:57,C9,58:58)+100</f>
        <v>100</v>
      </c>
      <c r="G9" s="855"/>
      <c r="H9" s="251">
        <f>SUMIF(57:57,G9,58:58)-SUMIF(57:57,C9,58:58)+100</f>
        <v>100</v>
      </c>
      <c r="I9" s="855"/>
      <c r="J9" s="251">
        <f>SUMIF(57:57,I9,58:58)-SUMIF(57:57,C9,58:58)+100</f>
        <v>100</v>
      </c>
      <c r="K9" s="521"/>
      <c r="L9" s="2118"/>
      <c r="M9" s="2119"/>
      <c r="N9" s="2119"/>
      <c r="O9" s="2120"/>
      <c r="P9" s="3587" t="s">
        <v>535</v>
      </c>
      <c r="Q9" s="1144" t="str">
        <f t="shared" ref="Q9:Q15" si="6">B9</f>
        <v>用途</v>
      </c>
      <c r="R9" s="1552" t="s">
        <v>8</v>
      </c>
      <c r="S9" s="1553">
        <f t="shared" si="0"/>
        <v>100</v>
      </c>
      <c r="T9" s="1552" t="s">
        <v>8</v>
      </c>
      <c r="U9" s="1553">
        <f t="shared" si="1"/>
        <v>100</v>
      </c>
      <c r="V9" s="1552" t="s">
        <v>8</v>
      </c>
      <c r="W9" s="1553">
        <f t="shared" si="2"/>
        <v>100</v>
      </c>
      <c r="X9" s="1554"/>
      <c r="Y9" s="3523"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SUMIF(59:59,E10,60:60)-SUMIF(59:59,C10,60:60)+100</f>
        <v>100</v>
      </c>
      <c r="G10" s="859"/>
      <c r="H10" s="252">
        <f>SUMIF(59:59,G10,60:60)-SUMIF(59:59,C10,60:60)+100</f>
        <v>100</v>
      </c>
      <c r="I10" s="858"/>
      <c r="J10" s="252">
        <f>SUMIF(59:59,I10,60:60)-SUMIF(59:59,C10,60:60)+100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3"/>
      <c r="M11" s="2117"/>
      <c r="N11" s="2117"/>
      <c r="O11" s="2124"/>
      <c r="P11" s="3587"/>
      <c r="Q11" s="1144" t="str">
        <f t="shared" si="6"/>
        <v>容积率</v>
      </c>
      <c r="R11" s="1552" t="s">
        <v>8</v>
      </c>
      <c r="S11" s="1553" t="e">
        <f t="shared" si="0"/>
        <v>#N/A</v>
      </c>
      <c r="T11" s="1552" t="s">
        <v>8</v>
      </c>
      <c r="U11" s="1553" t="e">
        <f t="shared" si="1"/>
        <v>#N/A</v>
      </c>
      <c r="V11" s="1552" t="s">
        <v>8</v>
      </c>
      <c r="W11" s="1553" t="e">
        <f t="shared" si="2"/>
        <v>#N/A</v>
      </c>
      <c r="X11" s="1554"/>
      <c r="Y11" s="3523"/>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SUMIF(64:64,E12,65:65)-SUMIF(64:64,C12,65:65)+100</f>
        <v>100</v>
      </c>
      <c r="G12" s="917"/>
      <c r="H12" s="252">
        <f>SUMIF(64:64,G12,65:65)-SUMIF(64:64,C12,65:65)+100</f>
        <v>100</v>
      </c>
      <c r="I12" s="877"/>
      <c r="J12" s="252">
        <f>SUMIF(64:64,I12,65:65)-SUMIF(64:64,C12,65:65)+100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
      <c r="A13" s="2870"/>
      <c r="B13" s="2876">
        <v>111</v>
      </c>
      <c r="C13" s="536"/>
      <c r="D13" s="537">
        <v>100</v>
      </c>
      <c r="E13" s="536"/>
      <c r="F13" s="252">
        <f>SUMIF(66:66,E13,67:67)-SUMIF(66:66,C13,67:67)+100</f>
        <v>100</v>
      </c>
      <c r="G13" s="917"/>
      <c r="H13" s="537">
        <f>SUMIF(66:66,G13,67:67)-SUMIF(66:66,C13,67:67)+100</f>
        <v>100</v>
      </c>
      <c r="I13" s="877"/>
      <c r="J13" s="537">
        <f>SUMIF(66:66,I13,67:67)-SUMIF(66:66,C13,67:67)+100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587"/>
      <c r="Q14" s="1144">
        <f t="shared" si="6"/>
        <v>111</v>
      </c>
      <c r="R14" s="1552" t="s">
        <v>8</v>
      </c>
      <c r="S14" s="1553">
        <f t="shared" si="0"/>
        <v>100</v>
      </c>
      <c r="T14" s="1552" t="s">
        <v>8</v>
      </c>
      <c r="U14" s="1553">
        <f t="shared" si="1"/>
        <v>100</v>
      </c>
      <c r="V14" s="1552" t="s">
        <v>8</v>
      </c>
      <c r="W14" s="1553">
        <f t="shared" si="2"/>
        <v>100</v>
      </c>
      <c r="X14" s="1554"/>
      <c r="Y14" s="3523"/>
      <c r="Z14" s="1143">
        <f t="shared" si="7"/>
        <v>111</v>
      </c>
      <c r="AA14" s="1555">
        <f t="shared" si="3"/>
        <v>1</v>
      </c>
      <c r="AB14" s="1555">
        <f t="shared" si="4"/>
        <v>1</v>
      </c>
      <c r="AC14" s="1555">
        <f t="shared" si="5"/>
        <v>1</v>
      </c>
    </row>
    <row r="15" spans="1:29" ht="57">
      <c r="A15" s="2863" t="s">
        <v>2754</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589" t="s">
        <v>540</v>
      </c>
      <c r="Q15" s="1556" t="str">
        <f t="shared" si="6"/>
        <v>产业集聚程度</v>
      </c>
      <c r="R15" s="1557" t="s">
        <v>8</v>
      </c>
      <c r="S15" s="1558">
        <f t="shared" si="0"/>
        <v>100</v>
      </c>
      <c r="T15" s="1557" t="s">
        <v>8</v>
      </c>
      <c r="U15" s="1558">
        <f t="shared" si="1"/>
        <v>100</v>
      </c>
      <c r="V15" s="1557" t="s">
        <v>8</v>
      </c>
      <c r="W15" s="1558">
        <f t="shared" si="2"/>
        <v>100</v>
      </c>
      <c r="X15" s="1551"/>
      <c r="Y15" s="3589"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590"/>
      <c r="Q16" s="1556"/>
      <c r="R16" s="1557"/>
      <c r="S16" s="1558"/>
      <c r="T16" s="1557"/>
      <c r="U16" s="1558"/>
      <c r="V16" s="1557"/>
      <c r="W16" s="1558"/>
      <c r="X16" s="1551"/>
      <c r="Y16" s="3590"/>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590"/>
      <c r="Q17" s="1556" t="str">
        <f>B17</f>
        <v>交通便捷度</v>
      </c>
      <c r="R17" s="1557" t="s">
        <v>8</v>
      </c>
      <c r="S17" s="1558">
        <f>F17</f>
        <v>100</v>
      </c>
      <c r="T17" s="1557" t="s">
        <v>8</v>
      </c>
      <c r="U17" s="1558">
        <f>H17</f>
        <v>100</v>
      </c>
      <c r="V17" s="1557" t="s">
        <v>8</v>
      </c>
      <c r="W17" s="1558">
        <f>J17</f>
        <v>100</v>
      </c>
      <c r="X17" s="1551"/>
      <c r="Y17" s="35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590"/>
      <c r="Q18" s="1556"/>
      <c r="R18" s="1557"/>
      <c r="S18" s="1558"/>
      <c r="T18" s="1557"/>
      <c r="U18" s="1558"/>
      <c r="V18" s="1557"/>
      <c r="W18" s="1558"/>
      <c r="X18" s="1551"/>
      <c r="Y18" s="3590"/>
      <c r="Z18" s="1559"/>
      <c r="AA18" s="1560">
        <v>1</v>
      </c>
      <c r="AB18" s="1560">
        <v>1</v>
      </c>
      <c r="AC18" s="1560">
        <v>1</v>
      </c>
    </row>
    <row r="19" spans="1:29" ht="42.75">
      <c r="A19" s="529"/>
      <c r="B19" s="256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590"/>
      <c r="Q19" s="1556" t="str">
        <f>B19</f>
        <v>公共配套设施</v>
      </c>
      <c r="R19" s="1557" t="s">
        <v>8</v>
      </c>
      <c r="S19" s="1558">
        <f>F19</f>
        <v>100</v>
      </c>
      <c r="T19" s="1557" t="s">
        <v>8</v>
      </c>
      <c r="U19" s="1558">
        <f>H19</f>
        <v>100</v>
      </c>
      <c r="V19" s="1557" t="s">
        <v>8</v>
      </c>
      <c r="W19" s="1558">
        <f>J19</f>
        <v>100</v>
      </c>
      <c r="X19" s="1551"/>
      <c r="Y19" s="3590"/>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590"/>
      <c r="Q20" s="1556"/>
      <c r="R20" s="1557"/>
      <c r="S20" s="1558"/>
      <c r="T20" s="1557"/>
      <c r="U20" s="1558"/>
      <c r="V20" s="1557"/>
      <c r="W20" s="1558"/>
      <c r="X20" s="1551"/>
      <c r="Y20" s="3590"/>
      <c r="Z20" s="1559"/>
      <c r="AA20" s="1560">
        <v>1</v>
      </c>
      <c r="AB20" s="1560">
        <v>1</v>
      </c>
      <c r="AC20" s="1560">
        <v>1</v>
      </c>
    </row>
    <row r="21" spans="1:29" ht="28.5">
      <c r="A21" s="529"/>
      <c r="B21" s="255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590"/>
      <c r="Q21" s="2541" t="str">
        <f>B21</f>
        <v>基础设施水平</v>
      </c>
      <c r="R21" s="1557" t="s">
        <v>8</v>
      </c>
      <c r="S21" s="1558">
        <f>F21</f>
        <v>100</v>
      </c>
      <c r="T21" s="1557" t="s">
        <v>8</v>
      </c>
      <c r="U21" s="1558">
        <f>H21</f>
        <v>100</v>
      </c>
      <c r="V21" s="1557" t="s">
        <v>8</v>
      </c>
      <c r="W21" s="1558">
        <f>J21</f>
        <v>100</v>
      </c>
      <c r="X21" s="2543"/>
      <c r="Y21" s="3590"/>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590"/>
      <c r="Q22" s="2541"/>
      <c r="R22" s="1557"/>
      <c r="S22" s="1558"/>
      <c r="T22" s="1557"/>
      <c r="U22" s="1558"/>
      <c r="V22" s="1557"/>
      <c r="W22" s="1558"/>
      <c r="X22" s="2543"/>
      <c r="Y22" s="3590"/>
      <c r="Z22" s="2542"/>
      <c r="AA22" s="1560">
        <v>1</v>
      </c>
      <c r="AB22" s="1560">
        <v>1</v>
      </c>
      <c r="AC22" s="156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590"/>
      <c r="Q23" s="1556" t="str">
        <f>B23</f>
        <v>环境质量</v>
      </c>
      <c r="R23" s="1557" t="s">
        <v>8</v>
      </c>
      <c r="S23" s="1558">
        <f>F23</f>
        <v>100</v>
      </c>
      <c r="T23" s="1557" t="s">
        <v>8</v>
      </c>
      <c r="U23" s="1558">
        <f>H23</f>
        <v>100</v>
      </c>
      <c r="V23" s="1557" t="s">
        <v>8</v>
      </c>
      <c r="W23" s="1558">
        <f>J23</f>
        <v>100</v>
      </c>
      <c r="X23" s="1551"/>
      <c r="Y23" s="3590"/>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590"/>
      <c r="Q24" s="1556"/>
      <c r="R24" s="1557"/>
      <c r="S24" s="1558"/>
      <c r="T24" s="1557"/>
      <c r="U24" s="1558"/>
      <c r="V24" s="1557"/>
      <c r="W24" s="1558"/>
      <c r="X24" s="1551"/>
      <c r="Y24" s="3590"/>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590"/>
      <c r="Q25" s="1556">
        <f>B25</f>
        <v>111</v>
      </c>
      <c r="R25" s="1557" t="s">
        <v>8</v>
      </c>
      <c r="S25" s="1558">
        <f>F25</f>
        <v>100</v>
      </c>
      <c r="T25" s="1557" t="s">
        <v>8</v>
      </c>
      <c r="U25" s="1558">
        <f>H25</f>
        <v>100</v>
      </c>
      <c r="V25" s="1557" t="s">
        <v>8</v>
      </c>
      <c r="W25" s="1558">
        <f>J25</f>
        <v>100</v>
      </c>
      <c r="X25" s="1551"/>
      <c r="Y25" s="3590"/>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590"/>
      <c r="Q26" s="1556">
        <f t="shared" ref="Q26:Q40" si="11">B26</f>
        <v>111</v>
      </c>
      <c r="R26" s="1557" t="s">
        <v>8</v>
      </c>
      <c r="S26" s="1558">
        <f>F26</f>
        <v>100</v>
      </c>
      <c r="T26" s="1557" t="s">
        <v>8</v>
      </c>
      <c r="U26" s="1558">
        <f>H26</f>
        <v>100</v>
      </c>
      <c r="V26" s="1557" t="s">
        <v>8</v>
      </c>
      <c r="W26" s="1558">
        <f>J26</f>
        <v>100</v>
      </c>
      <c r="X26" s="1551"/>
      <c r="Y26" s="3590"/>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590"/>
      <c r="Q27" s="1144">
        <f t="shared" si="11"/>
        <v>111</v>
      </c>
      <c r="R27" s="1552" t="s">
        <v>8</v>
      </c>
      <c r="S27" s="1553">
        <f>F27</f>
        <v>100</v>
      </c>
      <c r="T27" s="1552" t="s">
        <v>8</v>
      </c>
      <c r="U27" s="1553">
        <f>H27</f>
        <v>100</v>
      </c>
      <c r="V27" s="1552" t="s">
        <v>8</v>
      </c>
      <c r="W27" s="1553">
        <f>J27</f>
        <v>100</v>
      </c>
      <c r="X27" s="1554"/>
      <c r="Y27" s="3590"/>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590"/>
      <c r="Q28" s="1556">
        <f t="shared" si="11"/>
        <v>111</v>
      </c>
      <c r="R28" s="1557" t="s">
        <v>8</v>
      </c>
      <c r="S28" s="1558">
        <f t="shared" ref="S28:S40" si="12">F28</f>
        <v>100</v>
      </c>
      <c r="T28" s="1557" t="s">
        <v>8</v>
      </c>
      <c r="U28" s="1558">
        <f t="shared" ref="U28:U40" si="13">H28</f>
        <v>100</v>
      </c>
      <c r="V28" s="1557" t="s">
        <v>8</v>
      </c>
      <c r="W28" s="1558">
        <f t="shared" ref="W28:W40" si="14">J28</f>
        <v>100</v>
      </c>
      <c r="X28" s="1551"/>
      <c r="Y28" s="3590"/>
      <c r="Z28" s="1559">
        <f t="shared" ref="Z28:Z40" si="15">Q28</f>
        <v>111</v>
      </c>
      <c r="AA28" s="1560">
        <f t="shared" si="3"/>
        <v>1</v>
      </c>
      <c r="AB28" s="1560">
        <f t="shared" si="4"/>
        <v>1</v>
      </c>
      <c r="AC28" s="1560">
        <f t="shared" si="5"/>
        <v>1</v>
      </c>
    </row>
    <row r="29" spans="1:29" ht="15">
      <c r="A29" s="2860" t="s">
        <v>2755</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591" t="s">
        <v>550</v>
      </c>
      <c r="Q29" s="1556" t="str">
        <f t="shared" si="11"/>
        <v>建筑类型</v>
      </c>
      <c r="R29" s="1557" t="s">
        <v>8</v>
      </c>
      <c r="S29" s="1558">
        <f t="shared" si="12"/>
        <v>100</v>
      </c>
      <c r="T29" s="1557" t="s">
        <v>8</v>
      </c>
      <c r="U29" s="1558">
        <f t="shared" si="13"/>
        <v>100</v>
      </c>
      <c r="V29" s="1557" t="s">
        <v>8</v>
      </c>
      <c r="W29" s="1558">
        <f t="shared" si="14"/>
        <v>100</v>
      </c>
      <c r="X29" s="1551"/>
      <c r="Y29" s="3592"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3"/>
      <c r="M30" s="2154"/>
      <c r="N30" s="2154"/>
      <c r="O30" s="2126"/>
      <c r="P30" s="3592"/>
      <c r="Q30" s="1588" t="str">
        <f t="shared" si="11"/>
        <v>项目建筑规模</v>
      </c>
      <c r="R30" s="1561" t="s">
        <v>8</v>
      </c>
      <c r="S30" s="1562" t="e">
        <f t="shared" si="12"/>
        <v>#N/A</v>
      </c>
      <c r="T30" s="1561" t="s">
        <v>8</v>
      </c>
      <c r="U30" s="1562" t="e">
        <f t="shared" si="13"/>
        <v>#N/A</v>
      </c>
      <c r="V30" s="1561" t="s">
        <v>8</v>
      </c>
      <c r="W30" s="1562" t="e">
        <f t="shared" si="14"/>
        <v>#N/A</v>
      </c>
      <c r="X30" s="1563"/>
      <c r="Y30" s="3592"/>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592"/>
      <c r="Q31" s="1556" t="str">
        <f t="shared" si="11"/>
        <v>建筑结构</v>
      </c>
      <c r="R31" s="1557" t="s">
        <v>8</v>
      </c>
      <c r="S31" s="1558">
        <f t="shared" si="12"/>
        <v>100</v>
      </c>
      <c r="T31" s="1557" t="s">
        <v>8</v>
      </c>
      <c r="U31" s="1558">
        <f t="shared" si="13"/>
        <v>100</v>
      </c>
      <c r="V31" s="1557" t="s">
        <v>8</v>
      </c>
      <c r="W31" s="1558">
        <f t="shared" si="14"/>
        <v>100</v>
      </c>
      <c r="X31" s="1551"/>
      <c r="Y31" s="3592"/>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592"/>
      <c r="Q32" s="1556" t="str">
        <f t="shared" si="11"/>
        <v>公共部分装修</v>
      </c>
      <c r="R32" s="1557" t="s">
        <v>8</v>
      </c>
      <c r="S32" s="1558">
        <f t="shared" si="12"/>
        <v>100</v>
      </c>
      <c r="T32" s="1557" t="s">
        <v>8</v>
      </c>
      <c r="U32" s="1558">
        <f t="shared" si="13"/>
        <v>100</v>
      </c>
      <c r="V32" s="1557" t="s">
        <v>8</v>
      </c>
      <c r="W32" s="1558">
        <f t="shared" si="14"/>
        <v>100</v>
      </c>
      <c r="X32" s="1551"/>
      <c r="Y32" s="3592"/>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592"/>
      <c r="Q33" s="1556" t="str">
        <f t="shared" si="11"/>
        <v>成新度</v>
      </c>
      <c r="R33" s="1557" t="s">
        <v>8</v>
      </c>
      <c r="S33" s="1558" t="e">
        <f t="shared" si="12"/>
        <v>#N/A</v>
      </c>
      <c r="T33" s="1557" t="s">
        <v>8</v>
      </c>
      <c r="U33" s="1558" t="e">
        <f t="shared" si="13"/>
        <v>#N/A</v>
      </c>
      <c r="V33" s="1557" t="s">
        <v>8</v>
      </c>
      <c r="W33" s="1558" t="e">
        <f t="shared" si="14"/>
        <v>#N/A</v>
      </c>
      <c r="X33" s="1551"/>
      <c r="Y33" s="3592"/>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592"/>
      <c r="Q34" s="1144" t="str">
        <f t="shared" si="11"/>
        <v>物业管理</v>
      </c>
      <c r="R34" s="1552" t="s">
        <v>8</v>
      </c>
      <c r="S34" s="1553">
        <f t="shared" si="12"/>
        <v>100</v>
      </c>
      <c r="T34" s="1552" t="s">
        <v>8</v>
      </c>
      <c r="U34" s="1553">
        <f t="shared" si="13"/>
        <v>100</v>
      </c>
      <c r="V34" s="1552" t="s">
        <v>8</v>
      </c>
      <c r="W34" s="1553">
        <f t="shared" si="14"/>
        <v>100</v>
      </c>
      <c r="X34" s="1554"/>
      <c r="Y34" s="3592"/>
      <c r="Z34" s="1143" t="str">
        <f t="shared" si="15"/>
        <v>物业管理</v>
      </c>
      <c r="AA34" s="1555">
        <f t="shared" si="3"/>
        <v>1</v>
      </c>
      <c r="AB34" s="1555">
        <f t="shared" si="4"/>
        <v>1</v>
      </c>
      <c r="AC34" s="1555">
        <f t="shared" si="5"/>
        <v>1</v>
      </c>
    </row>
    <row r="35" spans="1:29" ht="15">
      <c r="A35" s="591"/>
      <c r="B35" s="187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592" t="s">
        <v>550</v>
      </c>
      <c r="Q35" s="1556" t="str">
        <f t="shared" si="11"/>
        <v>市政基础设施</v>
      </c>
      <c r="R35" s="1557" t="s">
        <v>8</v>
      </c>
      <c r="S35" s="1558">
        <f t="shared" si="12"/>
        <v>100</v>
      </c>
      <c r="T35" s="1557" t="s">
        <v>8</v>
      </c>
      <c r="U35" s="1558">
        <f t="shared" si="13"/>
        <v>100</v>
      </c>
      <c r="V35" s="1557" t="s">
        <v>8</v>
      </c>
      <c r="W35" s="1558">
        <f t="shared" si="14"/>
        <v>100</v>
      </c>
      <c r="X35" s="1551"/>
      <c r="Y35" s="3592"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592"/>
      <c r="Q36" s="1556" t="str">
        <f t="shared" si="11"/>
        <v>内部装修</v>
      </c>
      <c r="R36" s="1557" t="s">
        <v>8</v>
      </c>
      <c r="S36" s="1558">
        <f t="shared" si="12"/>
        <v>100</v>
      </c>
      <c r="T36" s="1557" t="s">
        <v>8</v>
      </c>
      <c r="U36" s="1558">
        <f t="shared" si="13"/>
        <v>100</v>
      </c>
      <c r="V36" s="1557" t="s">
        <v>8</v>
      </c>
      <c r="W36" s="1558">
        <f t="shared" si="14"/>
        <v>100</v>
      </c>
      <c r="X36" s="1551"/>
      <c r="Y36" s="3592"/>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592"/>
      <c r="Q37" s="1556" t="str">
        <f t="shared" si="11"/>
        <v>内部装修状况</v>
      </c>
      <c r="R37" s="1557" t="s">
        <v>8</v>
      </c>
      <c r="S37" s="1558">
        <f t="shared" si="12"/>
        <v>100</v>
      </c>
      <c r="T37" s="1557" t="s">
        <v>8</v>
      </c>
      <c r="U37" s="1558">
        <f t="shared" si="13"/>
        <v>100</v>
      </c>
      <c r="V37" s="1557" t="s">
        <v>8</v>
      </c>
      <c r="W37" s="1558">
        <f t="shared" si="14"/>
        <v>100</v>
      </c>
      <c r="X37" s="1551"/>
      <c r="Y37" s="3592"/>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592"/>
      <c r="Q38" s="1588">
        <f t="shared" si="11"/>
        <v>111</v>
      </c>
      <c r="R38" s="1561" t="s">
        <v>8</v>
      </c>
      <c r="S38" s="1562">
        <f t="shared" si="12"/>
        <v>100</v>
      </c>
      <c r="T38" s="1561" t="s">
        <v>8</v>
      </c>
      <c r="U38" s="1562">
        <f t="shared" si="13"/>
        <v>100</v>
      </c>
      <c r="V38" s="1561" t="s">
        <v>8</v>
      </c>
      <c r="W38" s="1562">
        <f t="shared" si="14"/>
        <v>100</v>
      </c>
      <c r="X38" s="1563"/>
      <c r="Y38" s="3592"/>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592"/>
      <c r="Q39" s="1556">
        <f t="shared" si="11"/>
        <v>111</v>
      </c>
      <c r="R39" s="1557" t="s">
        <v>8</v>
      </c>
      <c r="S39" s="1558">
        <f t="shared" si="12"/>
        <v>100</v>
      </c>
      <c r="T39" s="1557" t="s">
        <v>8</v>
      </c>
      <c r="U39" s="1558">
        <f t="shared" si="13"/>
        <v>100</v>
      </c>
      <c r="V39" s="1557" t="s">
        <v>8</v>
      </c>
      <c r="W39" s="1558">
        <f t="shared" si="14"/>
        <v>100</v>
      </c>
      <c r="X39" s="1551"/>
      <c r="Y39" s="3592"/>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626"/>
      <c r="Q40" s="1556">
        <f t="shared" si="11"/>
        <v>111</v>
      </c>
      <c r="R40" s="1557" t="s">
        <v>8</v>
      </c>
      <c r="S40" s="1558">
        <f t="shared" si="12"/>
        <v>100</v>
      </c>
      <c r="T40" s="1557" t="s">
        <v>8</v>
      </c>
      <c r="U40" s="1558">
        <f t="shared" si="13"/>
        <v>100</v>
      </c>
      <c r="V40" s="1557" t="s">
        <v>8</v>
      </c>
      <c r="W40" s="1558">
        <f t="shared" si="14"/>
        <v>100</v>
      </c>
      <c r="X40" s="1551"/>
      <c r="Y40" s="3626"/>
      <c r="Z40" s="1559">
        <f t="shared" si="15"/>
        <v>111</v>
      </c>
      <c r="AA40" s="1560">
        <f t="shared" si="3"/>
        <v>1</v>
      </c>
      <c r="AB40" s="1560">
        <f t="shared" si="4"/>
        <v>1</v>
      </c>
      <c r="AC40" s="1560">
        <f t="shared" si="5"/>
        <v>1</v>
      </c>
    </row>
    <row r="41" spans="1:29" ht="15">
      <c r="A41" s="604" t="s">
        <v>736</v>
      </c>
      <c r="B41" s="884"/>
      <c r="C41" s="2589" t="s">
        <v>1</v>
      </c>
      <c r="D41" s="2590"/>
      <c r="E41" s="2591"/>
      <c r="F41" s="2592"/>
      <c r="G41" s="2593"/>
      <c r="H41" s="2594"/>
      <c r="I41" s="2591"/>
      <c r="J41" s="2594"/>
      <c r="K41" s="1594"/>
      <c r="L41" s="2127"/>
      <c r="M41" s="2128"/>
      <c r="N41" s="2117"/>
      <c r="O41" s="2128"/>
      <c r="P41" s="3587" t="str">
        <f>A41</f>
        <v>成交单价（元/平方米）</v>
      </c>
      <c r="Q41" s="3587"/>
      <c r="R41" s="3625">
        <f>E41</f>
        <v>0</v>
      </c>
      <c r="S41" s="3625"/>
      <c r="T41" s="3625">
        <f>G41</f>
        <v>0</v>
      </c>
      <c r="U41" s="3625"/>
      <c r="V41" s="3625">
        <f>I41</f>
        <v>0</v>
      </c>
      <c r="W41" s="3625"/>
      <c r="X41" s="1543"/>
      <c r="Y41" s="1565"/>
      <c r="Z41" s="1543"/>
      <c r="AA41" s="1543"/>
      <c r="AB41" s="1543"/>
      <c r="AC41" s="1543"/>
    </row>
    <row r="42" spans="1:29" ht="15.75" thickBot="1">
      <c r="A42" s="612" t="s">
        <v>2760</v>
      </c>
      <c r="B42" s="885"/>
      <c r="C42" s="2595" t="e">
        <f>R43</f>
        <v>#DIV/0!</v>
      </c>
      <c r="D42" s="2596"/>
      <c r="E42" s="2597" t="e">
        <f>R42</f>
        <v>#DIV/0!</v>
      </c>
      <c r="F42" s="2597"/>
      <c r="G42" s="2595" t="e">
        <f>T42</f>
        <v>#DIV/0!</v>
      </c>
      <c r="H42" s="2596"/>
      <c r="I42" s="2597" t="e">
        <f>V42</f>
        <v>#DIV/0!</v>
      </c>
      <c r="J42" s="2596"/>
      <c r="K42" s="1595"/>
      <c r="L42" s="2127"/>
      <c r="M42" s="2128"/>
      <c r="N42" s="2117"/>
      <c r="O42" s="2128"/>
      <c r="P42" s="3587" t="str">
        <f>A42</f>
        <v>比较价格（元/平方米）</v>
      </c>
      <c r="Q42" s="3587"/>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543"/>
      <c r="Y42" s="1543"/>
      <c r="Z42" s="1543"/>
      <c r="AA42" s="1543"/>
      <c r="AB42" s="1543"/>
      <c r="AC42" s="1543"/>
    </row>
    <row r="43" spans="1:29" ht="15.75" thickBot="1">
      <c r="A43" s="618" t="s">
        <v>2936</v>
      </c>
      <c r="B43" s="619"/>
      <c r="C43" s="2598" t="e">
        <f>R43</f>
        <v>#DIV/0!</v>
      </c>
      <c r="D43" s="2598"/>
      <c r="E43" s="2598"/>
      <c r="F43" s="2598"/>
      <c r="G43" s="2598"/>
      <c r="H43" s="2598"/>
      <c r="I43" s="2598"/>
      <c r="J43" s="2598"/>
      <c r="K43" s="1596"/>
      <c r="L43" s="2127"/>
      <c r="M43" s="2128"/>
      <c r="N43" s="2128"/>
      <c r="O43" s="2128"/>
      <c r="P43" s="3608" t="str">
        <f>A43</f>
        <v>估价对象XX用房的比较价格（楼面单价，元/平方米）</v>
      </c>
      <c r="Q43" s="3609"/>
      <c r="R43" s="3624" t="e">
        <f>IF(F1="售价",ROUND(AVERAGE(R42:V42),0),ROUND(AVERAGE(R42:V42),1))</f>
        <v>#DIV/0!</v>
      </c>
      <c r="S43" s="3624"/>
      <c r="T43" s="3624"/>
      <c r="U43" s="3624"/>
      <c r="V43" s="3624"/>
      <c r="W43" s="3624"/>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529</v>
      </c>
      <c r="B52" s="643"/>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575</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531</v>
      </c>
      <c r="B55" s="645"/>
      <c r="C55" s="657" t="s">
        <v>576</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577</v>
      </c>
      <c r="B57" s="662" t="s">
        <v>534</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539</v>
      </c>
      <c r="B70" s="662" t="s">
        <v>585</v>
      </c>
      <c r="C70" s="700" t="s">
        <v>579</v>
      </c>
      <c r="D70" s="700" t="s">
        <v>580</v>
      </c>
      <c r="E70" s="700" t="s">
        <v>581</v>
      </c>
      <c r="F70" s="700" t="s">
        <v>582</v>
      </c>
      <c r="G70" s="700" t="s">
        <v>583</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586</v>
      </c>
      <c r="C72" s="705" t="s">
        <v>579</v>
      </c>
      <c r="D72" s="705" t="s">
        <v>580</v>
      </c>
      <c r="E72" s="705" t="s">
        <v>581</v>
      </c>
      <c r="F72" s="705" t="s">
        <v>582</v>
      </c>
      <c r="G72" s="705" t="s">
        <v>583</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2557</v>
      </c>
      <c r="C74" s="705" t="s">
        <v>579</v>
      </c>
      <c r="D74" s="705" t="s">
        <v>580</v>
      </c>
      <c r="E74" s="705" t="s">
        <v>581</v>
      </c>
      <c r="F74" s="705" t="s">
        <v>582</v>
      </c>
      <c r="G74" s="705" t="s">
        <v>583</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2558</v>
      </c>
      <c r="C76" s="2560" t="s">
        <v>2559</v>
      </c>
      <c r="D76" s="2560" t="s">
        <v>2560</v>
      </c>
      <c r="E76" s="2560" t="s">
        <v>2561</v>
      </c>
      <c r="F76" s="2560" t="s">
        <v>2562</v>
      </c>
      <c r="G76" s="2560" t="s">
        <v>2563</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784</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551</v>
      </c>
      <c r="B88" s="662" t="s">
        <v>747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751</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753</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2556</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755</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31" t="s">
        <v>2076</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3" t="s">
        <v>798</v>
      </c>
      <c r="D4" s="3594"/>
      <c r="E4" s="3593" t="s">
        <v>799</v>
      </c>
      <c r="F4" s="3594"/>
      <c r="G4" s="3593" t="s">
        <v>800</v>
      </c>
      <c r="H4" s="3594"/>
      <c r="I4" s="3593" t="s">
        <v>801</v>
      </c>
      <c r="J4" s="3594"/>
      <c r="K4" s="511" t="s">
        <v>802</v>
      </c>
      <c r="L4" s="2116"/>
      <c r="M4" s="2117"/>
      <c r="N4" s="2117"/>
      <c r="O4" s="2117"/>
      <c r="P4" s="3595" t="s">
        <v>803</v>
      </c>
      <c r="Q4" s="3596"/>
      <c r="R4" s="3581" t="s">
        <v>799</v>
      </c>
      <c r="S4" s="3582"/>
      <c r="T4" s="3581" t="s">
        <v>800</v>
      </c>
      <c r="U4" s="3582"/>
      <c r="V4" s="3601" t="s">
        <v>801</v>
      </c>
      <c r="W4" s="3601"/>
      <c r="X4" s="1551"/>
      <c r="Y4" s="3581" t="s">
        <v>803</v>
      </c>
      <c r="Z4" s="3582"/>
      <c r="AA4" s="3576" t="s">
        <v>799</v>
      </c>
      <c r="AB4" s="3577" t="s">
        <v>800</v>
      </c>
      <c r="AC4" s="3576" t="s">
        <v>801</v>
      </c>
    </row>
    <row r="5" spans="1:29" ht="15">
      <c r="A5" s="512"/>
      <c r="B5" s="513"/>
      <c r="C5" s="3604" t="s">
        <v>2930</v>
      </c>
      <c r="D5" s="3605"/>
      <c r="E5" s="3604" t="s">
        <v>2931</v>
      </c>
      <c r="F5" s="3605"/>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06" t="s">
        <v>2934</v>
      </c>
      <c r="F6" s="3607"/>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SUMIF(48:48,YEAR(E7)&amp;"-"&amp;MONTH(E7),49:49)</f>
        <v>0</v>
      </c>
      <c r="G7" s="520"/>
      <c r="H7" s="517">
        <f>SUMIF(48:48,YEAR(G7)&amp;"-"&amp;MONTH(G7),49:49)</f>
        <v>0</v>
      </c>
      <c r="I7" s="520"/>
      <c r="J7" s="517">
        <f>SUMIF(48:48,YEAR(I7)&amp;"-"&amp;MONTH(I7),49:49)</f>
        <v>0</v>
      </c>
      <c r="K7" s="521"/>
      <c r="L7" s="2118"/>
      <c r="M7" s="2119"/>
      <c r="N7" s="2119"/>
      <c r="O7" s="2119"/>
      <c r="P7" s="3579" t="s">
        <v>530</v>
      </c>
      <c r="Q7" s="3588"/>
      <c r="R7" s="1552" t="s">
        <v>8</v>
      </c>
      <c r="S7" s="1553">
        <f t="shared" ref="S7:S14" si="0">F7</f>
        <v>0</v>
      </c>
      <c r="T7" s="1552" t="s">
        <v>8</v>
      </c>
      <c r="U7" s="1553">
        <f t="shared" ref="U7:U14" si="1">H7</f>
        <v>0</v>
      </c>
      <c r="V7" s="1552" t="s">
        <v>8</v>
      </c>
      <c r="W7" s="1553">
        <f t="shared" ref="W7:W14"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36" si="3">D8/F8</f>
        <v>#DIV/0!</v>
      </c>
      <c r="AB8" s="1555" t="e">
        <f t="shared" ref="AB8:AB36" si="4">D8/H8</f>
        <v>#DIV/0!</v>
      </c>
      <c r="AC8" s="1555" t="e">
        <f t="shared" ref="AC8:AC36" si="5">D8/J8</f>
        <v>#DIV/0!</v>
      </c>
    </row>
    <row r="9" spans="1:29" s="1213" customFormat="1" ht="15">
      <c r="A9" s="2867"/>
      <c r="B9" s="2874" t="s">
        <v>2756</v>
      </c>
      <c r="C9" s="854"/>
      <c r="D9" s="251">
        <v>100</v>
      </c>
      <c r="E9" s="857"/>
      <c r="F9" s="251">
        <f>SUMIF(53:53,E9,54:54)-SUMIF(53:53,C9,54:54)+100</f>
        <v>100</v>
      </c>
      <c r="G9" s="855"/>
      <c r="H9" s="251">
        <f>SUMIF(53:53,G9,54:54)-SUMIF(53:53,C9,54:54)+100</f>
        <v>100</v>
      </c>
      <c r="I9" s="855"/>
      <c r="J9" s="251">
        <f>SUMIF(53:53,I9,54:54)-SUMIF(53:53,C9,54:54)+100</f>
        <v>100</v>
      </c>
      <c r="K9" s="521"/>
      <c r="L9" s="2118"/>
      <c r="M9" s="2119"/>
      <c r="N9" s="2119"/>
      <c r="O9" s="2120"/>
      <c r="P9" s="3587" t="s">
        <v>535</v>
      </c>
      <c r="Q9" s="1144" t="str">
        <f t="shared" ref="Q9:Q14" si="6">B9</f>
        <v>用途</v>
      </c>
      <c r="R9" s="1552" t="s">
        <v>8</v>
      </c>
      <c r="S9" s="1553">
        <f t="shared" si="0"/>
        <v>100</v>
      </c>
      <c r="T9" s="1552" t="s">
        <v>8</v>
      </c>
      <c r="U9" s="1553">
        <f t="shared" si="1"/>
        <v>100</v>
      </c>
      <c r="V9" s="1552" t="s">
        <v>8</v>
      </c>
      <c r="W9" s="1553">
        <f t="shared" si="2"/>
        <v>100</v>
      </c>
      <c r="X9" s="1554"/>
      <c r="Y9" s="3523"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SUMIF(55:55,E10,56:56)-SUMIF(55:55,C10,56:56)+100</f>
        <v>100</v>
      </c>
      <c r="G10" s="859"/>
      <c r="H10" s="252">
        <f>SUMIF(55:55,G10,56:56)-SUMIF(55:55,C10,56:56)+100</f>
        <v>100</v>
      </c>
      <c r="I10" s="858"/>
      <c r="J10" s="252">
        <f>SUMIF(55:55,I10,56:56)-SUMIF(55:55,C10,56:56)+100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70"/>
      <c r="B11" s="2876">
        <v>111</v>
      </c>
      <c r="C11" s="525"/>
      <c r="D11" s="252">
        <v>100</v>
      </c>
      <c r="E11" s="525"/>
      <c r="F11" s="252">
        <f>SUMIF(57:57,E11,58:58)-SUMIF(57:57,C11,58:58)+100</f>
        <v>100</v>
      </c>
      <c r="G11" s="525"/>
      <c r="H11" s="252">
        <f>SUMIF(57:57,G11,58:58)-SUMIF(57:57,C11,58:58)+100</f>
        <v>100</v>
      </c>
      <c r="I11" s="525"/>
      <c r="J11" s="252">
        <f>SUMIF(57:57,I11,58:58)-SUMIF(57:57,C11,58:58)+100</f>
        <v>100</v>
      </c>
      <c r="K11" s="578"/>
      <c r="L11" s="2123"/>
      <c r="M11" s="2117"/>
      <c r="N11" s="2117"/>
      <c r="O11" s="2124"/>
      <c r="P11" s="3587"/>
      <c r="Q11" s="1144">
        <f t="shared" si="6"/>
        <v>111</v>
      </c>
      <c r="R11" s="1552" t="s">
        <v>8</v>
      </c>
      <c r="S11" s="1553">
        <f t="shared" si="0"/>
        <v>100</v>
      </c>
      <c r="T11" s="1552" t="s">
        <v>8</v>
      </c>
      <c r="U11" s="1553">
        <f t="shared" si="1"/>
        <v>100</v>
      </c>
      <c r="V11" s="1552" t="s">
        <v>8</v>
      </c>
      <c r="W11" s="1553">
        <f t="shared" si="2"/>
        <v>100</v>
      </c>
      <c r="X11" s="1554"/>
      <c r="Y11" s="3523"/>
      <c r="Z11" s="1143">
        <f t="shared" si="7"/>
        <v>111</v>
      </c>
      <c r="AA11" s="1555">
        <f t="shared" si="3"/>
        <v>1</v>
      </c>
      <c r="AB11" s="1555">
        <f t="shared" si="4"/>
        <v>1</v>
      </c>
      <c r="AC11" s="1555">
        <f t="shared" si="5"/>
        <v>1</v>
      </c>
    </row>
    <row r="12" spans="1:29" s="1213" customFormat="1" ht="15">
      <c r="A12" s="2870"/>
      <c r="B12" s="2876">
        <v>111</v>
      </c>
      <c r="C12" s="525"/>
      <c r="D12" s="535">
        <v>100</v>
      </c>
      <c r="E12" s="525"/>
      <c r="F12" s="252">
        <f>SUMIF(59:59,E12,60:60)-SUMIF(59:59,C12,60:60)+100</f>
        <v>100</v>
      </c>
      <c r="G12" s="525"/>
      <c r="H12" s="252">
        <f>SUMIF(59:59,G12,60:60)-SUMIF(59:59,C12,60:60)+100</f>
        <v>100</v>
      </c>
      <c r="I12" s="525"/>
      <c r="J12" s="252">
        <f>SUMIF(59:59,I12,60:60)-SUMIF(59:59,C12,60:60)+100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75" thickBot="1">
      <c r="A13" s="2871"/>
      <c r="B13" s="2877">
        <v>111</v>
      </c>
      <c r="C13" s="536"/>
      <c r="D13" s="537">
        <v>100</v>
      </c>
      <c r="E13" s="525"/>
      <c r="F13" s="252">
        <f>SUMIF(61:61,E13,62:62)-SUMIF(61:61,C13,62:62)+100</f>
        <v>100</v>
      </c>
      <c r="G13" s="525"/>
      <c r="H13" s="537">
        <f>SUMIF(61:61,G13,62:62)-SUMIF(61:61,C13,62:62)+100</f>
        <v>100</v>
      </c>
      <c r="I13" s="525"/>
      <c r="J13" s="537">
        <f>SUMIF(61:61,I13,62:62)-SUMIF(61:61,C13,62:62)+100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85.5">
      <c r="A14" s="2863" t="s">
        <v>2754</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589" t="s">
        <v>540</v>
      </c>
      <c r="Q14" s="1556" t="str">
        <f t="shared" si="6"/>
        <v>交通便捷度</v>
      </c>
      <c r="R14" s="1557" t="s">
        <v>8</v>
      </c>
      <c r="S14" s="1558">
        <f t="shared" si="0"/>
        <v>100</v>
      </c>
      <c r="T14" s="1557" t="s">
        <v>8</v>
      </c>
      <c r="U14" s="1558">
        <f t="shared" si="1"/>
        <v>100</v>
      </c>
      <c r="V14" s="1557" t="s">
        <v>8</v>
      </c>
      <c r="W14" s="1558">
        <f t="shared" si="2"/>
        <v>100</v>
      </c>
      <c r="X14" s="1551"/>
      <c r="Y14" s="3589"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590"/>
      <c r="Q15" s="1556"/>
      <c r="R15" s="1557"/>
      <c r="S15" s="1558"/>
      <c r="T15" s="1557"/>
      <c r="U15" s="1558"/>
      <c r="V15" s="1557"/>
      <c r="W15" s="1558"/>
      <c r="X15" s="1551"/>
      <c r="Y15" s="3590"/>
      <c r="Z15" s="1559"/>
      <c r="AA15" s="1560">
        <v>1</v>
      </c>
      <c r="AB15" s="1560">
        <v>1</v>
      </c>
      <c r="AC15" s="1560">
        <v>1</v>
      </c>
    </row>
    <row r="16" spans="1:29" ht="42.75">
      <c r="A16" s="512"/>
      <c r="B16" s="256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590"/>
      <c r="Q16" s="1556" t="str">
        <f>B16</f>
        <v>公共配套设施</v>
      </c>
      <c r="R16" s="1557" t="s">
        <v>8</v>
      </c>
      <c r="S16" s="1558">
        <f>F16</f>
        <v>100</v>
      </c>
      <c r="T16" s="1557" t="s">
        <v>8</v>
      </c>
      <c r="U16" s="1558">
        <f>H16</f>
        <v>100</v>
      </c>
      <c r="V16" s="1557" t="s">
        <v>8</v>
      </c>
      <c r="W16" s="1558">
        <f>J16</f>
        <v>100</v>
      </c>
      <c r="X16" s="1551"/>
      <c r="Y16" s="3590"/>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590"/>
      <c r="Q17" s="1556"/>
      <c r="R17" s="1557"/>
      <c r="S17" s="1558"/>
      <c r="T17" s="1557"/>
      <c r="U17" s="1558"/>
      <c r="V17" s="1557"/>
      <c r="W17" s="1558"/>
      <c r="X17" s="1551"/>
      <c r="Y17" s="3590"/>
      <c r="Z17" s="1559"/>
      <c r="AA17" s="1560">
        <v>1</v>
      </c>
      <c r="AB17" s="1560">
        <v>1</v>
      </c>
      <c r="AC17" s="1560">
        <v>1</v>
      </c>
    </row>
    <row r="18" spans="1:29" ht="28.5">
      <c r="A18" s="512"/>
      <c r="B18" s="255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590"/>
      <c r="Q18" s="2541" t="str">
        <f>B18</f>
        <v>基础设施水平</v>
      </c>
      <c r="R18" s="1557" t="s">
        <v>8</v>
      </c>
      <c r="S18" s="1558">
        <f>F18</f>
        <v>100</v>
      </c>
      <c r="T18" s="1557" t="s">
        <v>8</v>
      </c>
      <c r="U18" s="1558">
        <f>H18</f>
        <v>100</v>
      </c>
      <c r="V18" s="1557" t="s">
        <v>8</v>
      </c>
      <c r="W18" s="1558">
        <f>J18</f>
        <v>100</v>
      </c>
      <c r="X18" s="2543"/>
      <c r="Y18" s="3590"/>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590"/>
      <c r="Q19" s="2541"/>
      <c r="R19" s="1557"/>
      <c r="S19" s="1558"/>
      <c r="T19" s="1557"/>
      <c r="U19" s="1558"/>
      <c r="V19" s="1557"/>
      <c r="W19" s="1558"/>
      <c r="X19" s="2543"/>
      <c r="Y19" s="3590"/>
      <c r="Z19" s="2542"/>
      <c r="AA19" s="1560">
        <v>1</v>
      </c>
      <c r="AB19" s="1560">
        <v>1</v>
      </c>
      <c r="AC19" s="1560">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590"/>
      <c r="Q20" s="1556" t="str">
        <f>B20</f>
        <v>自然及人文环境</v>
      </c>
      <c r="R20" s="1557" t="s">
        <v>8</v>
      </c>
      <c r="S20" s="1558">
        <f>F20</f>
        <v>100</v>
      </c>
      <c r="T20" s="1557" t="s">
        <v>8</v>
      </c>
      <c r="U20" s="1558">
        <f>H20</f>
        <v>100</v>
      </c>
      <c r="V20" s="1557" t="s">
        <v>8</v>
      </c>
      <c r="W20" s="1558">
        <f>J20</f>
        <v>100</v>
      </c>
      <c r="X20" s="1551"/>
      <c r="Y20" s="3590"/>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590"/>
      <c r="Q21" s="1556"/>
      <c r="R21" s="1557"/>
      <c r="S21" s="1558"/>
      <c r="T21" s="1557"/>
      <c r="U21" s="1558"/>
      <c r="V21" s="1557"/>
      <c r="W21" s="1558"/>
      <c r="X21" s="1551"/>
      <c r="Y21" s="3590"/>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590"/>
      <c r="Q22" s="1556" t="str">
        <f>B22</f>
        <v>楼层</v>
      </c>
      <c r="R22" s="1557" t="s">
        <v>8</v>
      </c>
      <c r="S22" s="1558">
        <f>F22</f>
        <v>100</v>
      </c>
      <c r="T22" s="1557" t="s">
        <v>8</v>
      </c>
      <c r="U22" s="1558">
        <f>H22</f>
        <v>100</v>
      </c>
      <c r="V22" s="1557" t="s">
        <v>8</v>
      </c>
      <c r="W22" s="1558">
        <f>J22</f>
        <v>100</v>
      </c>
      <c r="X22" s="1551"/>
      <c r="Y22" s="3590"/>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590"/>
      <c r="Q23" s="1556">
        <f>B23</f>
        <v>111</v>
      </c>
      <c r="R23" s="1557" t="s">
        <v>8</v>
      </c>
      <c r="S23" s="1558">
        <f>F23</f>
        <v>100</v>
      </c>
      <c r="T23" s="1557" t="s">
        <v>8</v>
      </c>
      <c r="U23" s="1558">
        <f>H23</f>
        <v>100</v>
      </c>
      <c r="V23" s="1557" t="s">
        <v>8</v>
      </c>
      <c r="W23" s="1558">
        <f>J23</f>
        <v>100</v>
      </c>
      <c r="X23" s="1551"/>
      <c r="Y23" s="3590"/>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590"/>
      <c r="Q24" s="1556">
        <f t="shared" ref="Q24:Q36" si="11">B24</f>
        <v>111</v>
      </c>
      <c r="R24" s="1557" t="s">
        <v>8</v>
      </c>
      <c r="S24" s="1558">
        <f>F24</f>
        <v>100</v>
      </c>
      <c r="T24" s="1557" t="s">
        <v>8</v>
      </c>
      <c r="U24" s="1558">
        <f>H24</f>
        <v>100</v>
      </c>
      <c r="V24" s="1557" t="s">
        <v>8</v>
      </c>
      <c r="W24" s="1558">
        <f>J24</f>
        <v>100</v>
      </c>
      <c r="X24" s="1551"/>
      <c r="Y24" s="3590"/>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590"/>
      <c r="Q25" s="1144">
        <f t="shared" si="11"/>
        <v>111</v>
      </c>
      <c r="R25" s="1552" t="s">
        <v>8</v>
      </c>
      <c r="S25" s="1553">
        <f>F25</f>
        <v>100</v>
      </c>
      <c r="T25" s="1552" t="s">
        <v>8</v>
      </c>
      <c r="U25" s="1553">
        <f>H25</f>
        <v>100</v>
      </c>
      <c r="V25" s="1552" t="s">
        <v>8</v>
      </c>
      <c r="W25" s="1553">
        <f>J25</f>
        <v>100</v>
      </c>
      <c r="X25" s="1554"/>
      <c r="Y25" s="3590"/>
      <c r="Z25" s="1143">
        <f>Q25</f>
        <v>111</v>
      </c>
      <c r="AA25" s="1560">
        <f>D25/F25</f>
        <v>1</v>
      </c>
      <c r="AB25" s="1560">
        <f>D25/H25</f>
        <v>1</v>
      </c>
      <c r="AC25" s="1560">
        <f>D25/J25</f>
        <v>1</v>
      </c>
    </row>
    <row r="26" spans="1:29" ht="15">
      <c r="A26" s="2860" t="s">
        <v>2755</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59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592"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592"/>
      <c r="Q27" s="1588" t="str">
        <f t="shared" si="11"/>
        <v>项目停车位配比</v>
      </c>
      <c r="R27" s="1561" t="s">
        <v>8</v>
      </c>
      <c r="S27" s="1562">
        <f t="shared" si="12"/>
        <v>100</v>
      </c>
      <c r="T27" s="1561" t="s">
        <v>8</v>
      </c>
      <c r="U27" s="1562">
        <f t="shared" si="13"/>
        <v>100</v>
      </c>
      <c r="V27" s="1561" t="s">
        <v>8</v>
      </c>
      <c r="W27" s="1562">
        <f t="shared" si="14"/>
        <v>100</v>
      </c>
      <c r="X27" s="1563"/>
      <c r="Y27" s="3592"/>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592"/>
      <c r="Q28" s="1556" t="str">
        <f t="shared" si="11"/>
        <v>公共部分装修</v>
      </c>
      <c r="R28" s="1557" t="s">
        <v>8</v>
      </c>
      <c r="S28" s="1558">
        <f t="shared" si="12"/>
        <v>100</v>
      </c>
      <c r="T28" s="1557" t="s">
        <v>8</v>
      </c>
      <c r="U28" s="1558">
        <f t="shared" si="13"/>
        <v>100</v>
      </c>
      <c r="V28" s="1557" t="s">
        <v>8</v>
      </c>
      <c r="W28" s="1558">
        <f t="shared" si="14"/>
        <v>100</v>
      </c>
      <c r="X28" s="1551"/>
      <c r="Y28" s="3592"/>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592"/>
      <c r="Q29" s="1556" t="str">
        <f t="shared" si="11"/>
        <v>成新率</v>
      </c>
      <c r="R29" s="1557" t="s">
        <v>8</v>
      </c>
      <c r="S29" s="1558" t="e">
        <f t="shared" si="12"/>
        <v>#N/A</v>
      </c>
      <c r="T29" s="1557" t="s">
        <v>8</v>
      </c>
      <c r="U29" s="1558" t="e">
        <f t="shared" si="13"/>
        <v>#N/A</v>
      </c>
      <c r="V29" s="1557" t="s">
        <v>8</v>
      </c>
      <c r="W29" s="1558" t="e">
        <f t="shared" si="14"/>
        <v>#N/A</v>
      </c>
      <c r="X29" s="1551"/>
      <c r="Y29" s="3592"/>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592"/>
      <c r="Q30" s="1556" t="str">
        <f t="shared" si="11"/>
        <v>物业等级</v>
      </c>
      <c r="R30" s="1557" t="s">
        <v>8</v>
      </c>
      <c r="S30" s="1558">
        <f t="shared" si="12"/>
        <v>100</v>
      </c>
      <c r="T30" s="1557" t="s">
        <v>8</v>
      </c>
      <c r="U30" s="1558">
        <f t="shared" si="13"/>
        <v>100</v>
      </c>
      <c r="V30" s="1557" t="s">
        <v>8</v>
      </c>
      <c r="W30" s="1558">
        <f t="shared" si="14"/>
        <v>100</v>
      </c>
      <c r="X30" s="1551"/>
      <c r="Y30" s="3592"/>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592"/>
      <c r="Q31" s="1144" t="str">
        <f t="shared" si="11"/>
        <v>停车位面积</v>
      </c>
      <c r="R31" s="1552" t="s">
        <v>8</v>
      </c>
      <c r="S31" s="1553" t="e">
        <f t="shared" si="12"/>
        <v>#N/A</v>
      </c>
      <c r="T31" s="1552" t="s">
        <v>8</v>
      </c>
      <c r="U31" s="1553" t="e">
        <f t="shared" si="13"/>
        <v>#N/A</v>
      </c>
      <c r="V31" s="1552" t="s">
        <v>8</v>
      </c>
      <c r="W31" s="1553" t="e">
        <f t="shared" si="14"/>
        <v>#N/A</v>
      </c>
      <c r="X31" s="1554"/>
      <c r="Y31" s="3592"/>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592" t="s">
        <v>550</v>
      </c>
      <c r="Q32" s="1556" t="str">
        <f t="shared" si="11"/>
        <v>车位类型</v>
      </c>
      <c r="R32" s="1557" t="s">
        <v>8</v>
      </c>
      <c r="S32" s="1558">
        <f t="shared" si="12"/>
        <v>100</v>
      </c>
      <c r="T32" s="1557" t="s">
        <v>8</v>
      </c>
      <c r="U32" s="1558">
        <f t="shared" si="13"/>
        <v>100</v>
      </c>
      <c r="V32" s="1557" t="s">
        <v>8</v>
      </c>
      <c r="W32" s="1558">
        <f t="shared" si="14"/>
        <v>100</v>
      </c>
      <c r="X32" s="1551"/>
      <c r="Y32" s="3592"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592"/>
      <c r="Q33" s="1556" t="str">
        <f t="shared" si="11"/>
        <v>是否直接入户</v>
      </c>
      <c r="R33" s="1557" t="s">
        <v>8</v>
      </c>
      <c r="S33" s="1558">
        <f t="shared" si="12"/>
        <v>100</v>
      </c>
      <c r="T33" s="1557" t="s">
        <v>8</v>
      </c>
      <c r="U33" s="1558">
        <f t="shared" si="13"/>
        <v>100</v>
      </c>
      <c r="V33" s="1557" t="s">
        <v>8</v>
      </c>
      <c r="W33" s="1558">
        <f t="shared" si="14"/>
        <v>100</v>
      </c>
      <c r="X33" s="1551"/>
      <c r="Y33" s="3592"/>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592"/>
      <c r="Q34" s="1556">
        <f t="shared" si="11"/>
        <v>111</v>
      </c>
      <c r="R34" s="1557" t="s">
        <v>8</v>
      </c>
      <c r="S34" s="1558">
        <f t="shared" si="12"/>
        <v>100</v>
      </c>
      <c r="T34" s="1557" t="s">
        <v>8</v>
      </c>
      <c r="U34" s="1558">
        <f t="shared" si="13"/>
        <v>100</v>
      </c>
      <c r="V34" s="1557" t="s">
        <v>8</v>
      </c>
      <c r="W34" s="1558">
        <f t="shared" si="14"/>
        <v>100</v>
      </c>
      <c r="X34" s="1551"/>
      <c r="Y34" s="3592"/>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592"/>
      <c r="Q35" s="1588">
        <f t="shared" si="11"/>
        <v>111</v>
      </c>
      <c r="R35" s="1561" t="s">
        <v>8</v>
      </c>
      <c r="S35" s="1562">
        <f t="shared" si="12"/>
        <v>100</v>
      </c>
      <c r="T35" s="1561" t="s">
        <v>8</v>
      </c>
      <c r="U35" s="1562">
        <f t="shared" si="13"/>
        <v>100</v>
      </c>
      <c r="V35" s="1561" t="s">
        <v>8</v>
      </c>
      <c r="W35" s="1562">
        <f t="shared" si="14"/>
        <v>100</v>
      </c>
      <c r="X35" s="1563"/>
      <c r="Y35" s="3592"/>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592"/>
      <c r="Q36" s="1556">
        <f t="shared" si="11"/>
        <v>111</v>
      </c>
      <c r="R36" s="1557" t="s">
        <v>8</v>
      </c>
      <c r="S36" s="1558">
        <f t="shared" si="12"/>
        <v>100</v>
      </c>
      <c r="T36" s="1557" t="s">
        <v>8</v>
      </c>
      <c r="U36" s="1558">
        <f t="shared" si="13"/>
        <v>100</v>
      </c>
      <c r="V36" s="1557" t="s">
        <v>8</v>
      </c>
      <c r="W36" s="1558">
        <f t="shared" si="14"/>
        <v>100</v>
      </c>
      <c r="X36" s="1551"/>
      <c r="Y36" s="3592"/>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587" t="str">
        <f>A37</f>
        <v>成交单价</v>
      </c>
      <c r="Q37" s="3587"/>
      <c r="R37" s="3625">
        <f>E37</f>
        <v>0</v>
      </c>
      <c r="S37" s="3625"/>
      <c r="T37" s="3625">
        <f>G37</f>
        <v>0</v>
      </c>
      <c r="U37" s="3625"/>
      <c r="V37" s="3625">
        <f>I37</f>
        <v>0</v>
      </c>
      <c r="W37" s="3625"/>
      <c r="X37" s="1543"/>
      <c r="Y37" s="1565"/>
      <c r="Z37" s="1543"/>
      <c r="AA37" s="1543"/>
      <c r="AB37" s="1543"/>
      <c r="AC37" s="1543"/>
    </row>
    <row r="38" spans="1:29" ht="15.75" thickBot="1">
      <c r="A38" s="612" t="s">
        <v>2760</v>
      </c>
      <c r="B38" s="885"/>
      <c r="C38" s="2595" t="e">
        <f>R39</f>
        <v>#DIV/0!</v>
      </c>
      <c r="D38" s="2596"/>
      <c r="E38" s="2597" t="e">
        <f>R38</f>
        <v>#DIV/0!</v>
      </c>
      <c r="F38" s="2597"/>
      <c r="G38" s="2595" t="e">
        <f>T38</f>
        <v>#DIV/0!</v>
      </c>
      <c r="H38" s="2596"/>
      <c r="I38" s="2597" t="e">
        <f>V38</f>
        <v>#DIV/0!</v>
      </c>
      <c r="J38" s="2596"/>
      <c r="K38" s="1595"/>
      <c r="L38" s="2127"/>
      <c r="M38" s="2128"/>
      <c r="N38" s="2128"/>
      <c r="O38" s="2128"/>
      <c r="P38" s="3587" t="str">
        <f>A38</f>
        <v>比较价格（元/平方米）</v>
      </c>
      <c r="Q38" s="3587"/>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1543"/>
      <c r="Y38" s="1543"/>
      <c r="Z38" s="1543"/>
      <c r="AA38" s="1543"/>
      <c r="AB38" s="1543"/>
      <c r="AC38" s="1543"/>
    </row>
    <row r="39" spans="1:29" ht="15.75" thickBot="1">
      <c r="A39" s="618" t="s">
        <v>2936</v>
      </c>
      <c r="B39" s="619"/>
      <c r="C39" s="2598" t="e">
        <f>R39</f>
        <v>#DIV/0!</v>
      </c>
      <c r="D39" s="2598"/>
      <c r="E39" s="2598"/>
      <c r="F39" s="2598"/>
      <c r="G39" s="2598"/>
      <c r="H39" s="2598"/>
      <c r="I39" s="2598"/>
      <c r="J39" s="2598"/>
      <c r="K39" s="1596"/>
      <c r="L39" s="2127"/>
      <c r="M39" s="2128"/>
      <c r="N39" s="2128"/>
      <c r="O39" s="2128"/>
      <c r="P39" s="3608" t="str">
        <f>A39</f>
        <v>估价对象XX用房的比较价格（楼面单价，元/平方米）</v>
      </c>
      <c r="Q39" s="3609"/>
      <c r="R39" s="3624" t="e">
        <f>IF(F1="售价",ROUND(AVERAGE(R38:V38),0),ROUND(AVERAGE(R38:V38),1))</f>
        <v>#DIV/0!</v>
      </c>
      <c r="S39" s="3624"/>
      <c r="T39" s="3624"/>
      <c r="U39" s="3624"/>
      <c r="V39" s="3624"/>
      <c r="W39" s="3624"/>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529</v>
      </c>
      <c r="B48" s="643"/>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575</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531</v>
      </c>
      <c r="B51" s="645"/>
      <c r="C51" s="657" t="s">
        <v>576</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577</v>
      </c>
      <c r="B53" s="662" t="s">
        <v>534</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2557</v>
      </c>
      <c r="C65" s="705" t="s">
        <v>579</v>
      </c>
      <c r="D65" s="705" t="s">
        <v>580</v>
      </c>
      <c r="E65" s="705" t="s">
        <v>581</v>
      </c>
      <c r="F65" s="705" t="s">
        <v>582</v>
      </c>
      <c r="G65" s="705" t="s">
        <v>583</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2558</v>
      </c>
      <c r="C67" s="2560" t="s">
        <v>2559</v>
      </c>
      <c r="D67" s="2560" t="s">
        <v>2560</v>
      </c>
      <c r="E67" s="2560" t="s">
        <v>2561</v>
      </c>
      <c r="F67" s="2560" t="s">
        <v>2562</v>
      </c>
      <c r="G67" s="2560" t="s">
        <v>2563</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705" t="s">
        <v>579</v>
      </c>
      <c r="D69" s="705" t="s">
        <v>580</v>
      </c>
      <c r="E69" s="705" t="s">
        <v>581</v>
      </c>
      <c r="F69" s="705" t="s">
        <v>582</v>
      </c>
      <c r="G69" s="705" t="s">
        <v>583</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745</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551</v>
      </c>
      <c r="B79" s="662" t="s">
        <v>814</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751</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820</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93" t="s">
        <v>798</v>
      </c>
      <c r="D4" s="3594"/>
      <c r="E4" s="3617" t="s">
        <v>799</v>
      </c>
      <c r="F4" s="3618"/>
      <c r="G4" s="3593" t="s">
        <v>800</v>
      </c>
      <c r="H4" s="3594"/>
      <c r="I4" s="3593" t="s">
        <v>801</v>
      </c>
      <c r="J4" s="3594"/>
      <c r="K4" s="511" t="s">
        <v>802</v>
      </c>
      <c r="L4" s="2116"/>
      <c r="M4" s="2117"/>
      <c r="N4" s="2117"/>
      <c r="O4" s="2117"/>
      <c r="P4" s="3595" t="s">
        <v>803</v>
      </c>
      <c r="Q4" s="3596"/>
      <c r="R4" s="3581" t="s">
        <v>799</v>
      </c>
      <c r="S4" s="3582"/>
      <c r="T4" s="3581" t="s">
        <v>800</v>
      </c>
      <c r="U4" s="3582"/>
      <c r="V4" s="3601" t="s">
        <v>801</v>
      </c>
      <c r="W4" s="3601"/>
      <c r="X4" s="1551"/>
      <c r="Y4" s="3581" t="s">
        <v>803</v>
      </c>
      <c r="Z4" s="3582"/>
      <c r="AA4" s="3576" t="s">
        <v>799</v>
      </c>
      <c r="AB4" s="3577" t="s">
        <v>800</v>
      </c>
      <c r="AC4" s="3576" t="s">
        <v>801</v>
      </c>
    </row>
    <row r="5" spans="1:29" ht="15">
      <c r="A5" s="512"/>
      <c r="B5" s="513"/>
      <c r="C5" s="3604" t="s">
        <v>2930</v>
      </c>
      <c r="D5" s="3605"/>
      <c r="E5" s="3619" t="s">
        <v>2931</v>
      </c>
      <c r="F5" s="3620"/>
      <c r="G5" s="3604" t="s">
        <v>2932</v>
      </c>
      <c r="H5" s="3605"/>
      <c r="I5" s="3604" t="s">
        <v>2933</v>
      </c>
      <c r="J5" s="3605"/>
      <c r="K5" s="511"/>
      <c r="L5" s="2116"/>
      <c r="M5" s="2117"/>
      <c r="N5" s="2117"/>
      <c r="O5" s="2117"/>
      <c r="P5" s="3597"/>
      <c r="Q5" s="3598"/>
      <c r="R5" s="3583"/>
      <c r="S5" s="3584"/>
      <c r="T5" s="3583"/>
      <c r="U5" s="3584"/>
      <c r="V5" s="3601"/>
      <c r="W5" s="3601"/>
      <c r="X5" s="1551"/>
      <c r="Y5" s="3583"/>
      <c r="Z5" s="3584"/>
      <c r="AA5" s="3577"/>
      <c r="AB5" s="3577"/>
      <c r="AC5" s="3577"/>
    </row>
    <row r="6" spans="1:29" ht="15.75" thickBot="1">
      <c r="A6" s="514"/>
      <c r="B6" s="515"/>
      <c r="C6" s="3602" t="s">
        <v>2934</v>
      </c>
      <c r="D6" s="3603"/>
      <c r="E6" s="3621" t="s">
        <v>2934</v>
      </c>
      <c r="F6" s="3622"/>
      <c r="G6" s="3602" t="s">
        <v>2934</v>
      </c>
      <c r="H6" s="3603"/>
      <c r="I6" s="3602" t="s">
        <v>2934</v>
      </c>
      <c r="J6" s="3603"/>
      <c r="K6" s="511" t="s">
        <v>528</v>
      </c>
      <c r="L6" s="2116"/>
      <c r="M6" s="2117"/>
      <c r="N6" s="2117"/>
      <c r="O6" s="2117"/>
      <c r="P6" s="3599"/>
      <c r="Q6" s="3600"/>
      <c r="R6" s="3583"/>
      <c r="S6" s="3584"/>
      <c r="T6" s="3585"/>
      <c r="U6" s="3586"/>
      <c r="V6" s="3601"/>
      <c r="W6" s="3601"/>
      <c r="X6" s="1551"/>
      <c r="Y6" s="3585"/>
      <c r="Z6" s="3586"/>
      <c r="AA6" s="3578"/>
      <c r="AB6" s="3578"/>
      <c r="AC6" s="3578"/>
    </row>
    <row r="7" spans="1:29" s="1213" customFormat="1" ht="15.75" thickBot="1">
      <c r="A7" s="2865"/>
      <c r="B7" s="2872" t="s">
        <v>529</v>
      </c>
      <c r="C7" s="516">
        <f>'数据-取费表'!B2</f>
        <v>43780</v>
      </c>
      <c r="D7" s="517">
        <v>100</v>
      </c>
      <c r="E7" s="518"/>
      <c r="F7" s="519">
        <f>SUMIF(46:46,YEAR(E7)&amp;"-"&amp;MONTH(E7),47:47)</f>
        <v>0</v>
      </c>
      <c r="G7" s="520"/>
      <c r="H7" s="517">
        <f>SUMIF(46:46,YEAR(G7)&amp;"-"&amp;MONTH(G7),47:47)</f>
        <v>0</v>
      </c>
      <c r="I7" s="520"/>
      <c r="J7" s="517">
        <f>SUMIF(46:46,YEAR(I7)&amp;"-"&amp;MONTH(I7),47:47)</f>
        <v>0</v>
      </c>
      <c r="K7" s="521"/>
      <c r="L7" s="2118"/>
      <c r="M7" s="2119"/>
      <c r="N7" s="2119"/>
      <c r="O7" s="2119"/>
      <c r="P7" s="3579" t="s">
        <v>530</v>
      </c>
      <c r="Q7" s="3588"/>
      <c r="R7" s="1552" t="s">
        <v>8</v>
      </c>
      <c r="S7" s="1553">
        <f t="shared" ref="S7:S14" si="0">F7</f>
        <v>0</v>
      </c>
      <c r="T7" s="1552" t="s">
        <v>8</v>
      </c>
      <c r="U7" s="1553">
        <f t="shared" ref="U7:U14" si="1">H7</f>
        <v>0</v>
      </c>
      <c r="V7" s="1552" t="s">
        <v>8</v>
      </c>
      <c r="W7" s="1553">
        <f t="shared" ref="W7:W14" si="2">J7</f>
        <v>0</v>
      </c>
      <c r="X7" s="1554"/>
      <c r="Y7" s="3579" t="s">
        <v>530</v>
      </c>
      <c r="Z7" s="3580"/>
      <c r="AA7" s="1555" t="e">
        <f>D7/F7</f>
        <v>#DIV/0!</v>
      </c>
      <c r="AB7" s="1555" t="e">
        <f>D7/H7</f>
        <v>#DIV/0!</v>
      </c>
      <c r="AC7" s="1555" t="e">
        <f>D7/J7</f>
        <v>#DIV/0!</v>
      </c>
    </row>
    <row r="8" spans="1:29" s="1213" customFormat="1" ht="15.75" thickBot="1">
      <c r="A8" s="2866"/>
      <c r="B8" s="2873" t="s">
        <v>531</v>
      </c>
      <c r="C8" s="522" t="s">
        <v>576</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579" t="s">
        <v>533</v>
      </c>
      <c r="Q8" s="3580"/>
      <c r="R8" s="1552" t="s">
        <v>8</v>
      </c>
      <c r="S8" s="1553">
        <f t="shared" si="0"/>
        <v>0</v>
      </c>
      <c r="T8" s="1552" t="s">
        <v>8</v>
      </c>
      <c r="U8" s="1553">
        <f t="shared" si="1"/>
        <v>0</v>
      </c>
      <c r="V8" s="1552" t="s">
        <v>8</v>
      </c>
      <c r="W8" s="1553">
        <f t="shared" si="2"/>
        <v>0</v>
      </c>
      <c r="X8" s="1554"/>
      <c r="Y8" s="3579" t="s">
        <v>533</v>
      </c>
      <c r="Z8" s="3580"/>
      <c r="AA8" s="1555" t="e">
        <f t="shared" ref="AA8:AA34" si="3">D8/F8</f>
        <v>#DIV/0!</v>
      </c>
      <c r="AB8" s="1555" t="e">
        <f t="shared" ref="AB8:AB34" si="4">D8/H8</f>
        <v>#DIV/0!</v>
      </c>
      <c r="AC8" s="1555" t="e">
        <f t="shared" ref="AC8:AC34" si="5">D8/J8</f>
        <v>#DIV/0!</v>
      </c>
    </row>
    <row r="9" spans="1:29" s="1213" customFormat="1" ht="15">
      <c r="A9" s="2867"/>
      <c r="B9" s="2874" t="s">
        <v>2756</v>
      </c>
      <c r="C9" s="854"/>
      <c r="D9" s="251">
        <v>100</v>
      </c>
      <c r="E9" s="857"/>
      <c r="F9" s="251">
        <f>SUMIF(51:51,E9,52:52)-SUMIF(51:51,C9,52:52)+100</f>
        <v>100</v>
      </c>
      <c r="G9" s="857"/>
      <c r="H9" s="251">
        <f>SUMIF(51:51,G9,52:52)-SUMIF(51:51,C9,52:52)+100</f>
        <v>100</v>
      </c>
      <c r="I9" s="857"/>
      <c r="J9" s="251">
        <f>SUMIF(51:51,I9,52:52)-SUMIF(51:51,C9,52:52)+100</f>
        <v>100</v>
      </c>
      <c r="K9" s="521"/>
      <c r="L9" s="2118"/>
      <c r="M9" s="2119"/>
      <c r="N9" s="2119"/>
      <c r="O9" s="2120"/>
      <c r="P9" s="3587" t="s">
        <v>535</v>
      </c>
      <c r="Q9" s="1144" t="str">
        <f t="shared" ref="Q9:Q14" si="6">B9</f>
        <v>用途</v>
      </c>
      <c r="R9" s="1552" t="s">
        <v>8</v>
      </c>
      <c r="S9" s="1553">
        <f t="shared" si="0"/>
        <v>100</v>
      </c>
      <c r="T9" s="1552" t="s">
        <v>8</v>
      </c>
      <c r="U9" s="1553">
        <f t="shared" si="1"/>
        <v>100</v>
      </c>
      <c r="V9" s="1552" t="s">
        <v>8</v>
      </c>
      <c r="W9" s="1553">
        <f t="shared" si="2"/>
        <v>100</v>
      </c>
      <c r="X9" s="1554"/>
      <c r="Y9" s="3523"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SUMIF(53:53,E10,54:54)-SUMIF(53:53,C10,54:54)+100</f>
        <v>100</v>
      </c>
      <c r="G10" s="859"/>
      <c r="H10" s="252">
        <f>SUMIF(53:53,G10,54:54)-SUMIF(53:53,C10,54:54)+100</f>
        <v>100</v>
      </c>
      <c r="I10" s="858"/>
      <c r="J10" s="252">
        <f>SUMIF(53:53,I10,54:54)-SUMIF(53:53,C10,54:54)+100</f>
        <v>100</v>
      </c>
      <c r="K10" s="581"/>
      <c r="L10" s="2121"/>
      <c r="M10" s="2161"/>
      <c r="N10" s="2161"/>
      <c r="O10" s="2122"/>
      <c r="P10" s="3587"/>
      <c r="Q10" s="1144" t="str">
        <f t="shared" si="6"/>
        <v>土地使用年限（年）</v>
      </c>
      <c r="R10" s="1552" t="s">
        <v>8</v>
      </c>
      <c r="S10" s="1553">
        <f t="shared" si="0"/>
        <v>100</v>
      </c>
      <c r="T10" s="1552" t="s">
        <v>8</v>
      </c>
      <c r="U10" s="1553">
        <f t="shared" si="1"/>
        <v>100</v>
      </c>
      <c r="V10" s="1552" t="s">
        <v>8</v>
      </c>
      <c r="W10" s="1553">
        <f t="shared" si="2"/>
        <v>100</v>
      </c>
      <c r="X10" s="1554"/>
      <c r="Y10" s="3523"/>
      <c r="Z10" s="1143" t="str">
        <f t="shared" si="7"/>
        <v>土地使用年限（年）</v>
      </c>
      <c r="AA10" s="1555">
        <f t="shared" si="3"/>
        <v>1</v>
      </c>
      <c r="AB10" s="1555">
        <f t="shared" si="4"/>
        <v>1</v>
      </c>
      <c r="AC10" s="1555">
        <f t="shared" si="5"/>
        <v>1</v>
      </c>
    </row>
    <row r="11" spans="1:29" ht="15">
      <c r="A11" s="2870"/>
      <c r="B11" s="2876">
        <v>111</v>
      </c>
      <c r="C11" s="525"/>
      <c r="D11" s="252">
        <v>100</v>
      </c>
      <c r="E11" s="877"/>
      <c r="F11" s="252">
        <f>SUMIF(55:55,E11,56:56)-SUMIF(55:55,C11,56:56)+100</f>
        <v>100</v>
      </c>
      <c r="G11" s="877"/>
      <c r="H11" s="252">
        <f>SUMIF(55:55,G11,56:56)-SUMIF(55:55,C11,56:56)+100</f>
        <v>100</v>
      </c>
      <c r="I11" s="877"/>
      <c r="J11" s="252">
        <f>SUMIF(55:55,I11,56:56)-SUMIF(55:55,C11,56:56)+100</f>
        <v>100</v>
      </c>
      <c r="K11" s="578"/>
      <c r="L11" s="2123"/>
      <c r="M11" s="2117"/>
      <c r="N11" s="2117"/>
      <c r="O11" s="2124"/>
      <c r="P11" s="3587"/>
      <c r="Q11" s="1144">
        <f t="shared" si="6"/>
        <v>111</v>
      </c>
      <c r="R11" s="1552" t="s">
        <v>8</v>
      </c>
      <c r="S11" s="1553">
        <f t="shared" si="0"/>
        <v>100</v>
      </c>
      <c r="T11" s="1552" t="s">
        <v>8</v>
      </c>
      <c r="U11" s="1553">
        <f t="shared" si="1"/>
        <v>100</v>
      </c>
      <c r="V11" s="1552" t="s">
        <v>8</v>
      </c>
      <c r="W11" s="1553">
        <f t="shared" si="2"/>
        <v>100</v>
      </c>
      <c r="X11" s="1554"/>
      <c r="Y11" s="3523"/>
      <c r="Z11" s="1143">
        <f t="shared" si="7"/>
        <v>111</v>
      </c>
      <c r="AA11" s="1555">
        <f t="shared" si="3"/>
        <v>1</v>
      </c>
      <c r="AB11" s="1555">
        <f t="shared" si="4"/>
        <v>1</v>
      </c>
      <c r="AC11" s="1555">
        <f t="shared" si="5"/>
        <v>1</v>
      </c>
    </row>
    <row r="12" spans="1:29" s="1213" customFormat="1" ht="15">
      <c r="A12" s="2870"/>
      <c r="B12" s="2876">
        <v>111</v>
      </c>
      <c r="C12" s="525"/>
      <c r="D12" s="535">
        <v>100</v>
      </c>
      <c r="E12" s="877"/>
      <c r="F12" s="252">
        <f>SUMIF(57:57,E12,58:58)-SUMIF(57:57,C12,58:58)+100</f>
        <v>100</v>
      </c>
      <c r="G12" s="877"/>
      <c r="H12" s="252">
        <f>SUMIF(57:57,G12,58:58)-SUMIF(57:57,C12,58:58)+100</f>
        <v>100</v>
      </c>
      <c r="I12" s="877"/>
      <c r="J12" s="252">
        <f>SUMIF(57:57,I12,58:58)-SUMIF(57:57,C12,58:58)+100</f>
        <v>100</v>
      </c>
      <c r="K12" s="578"/>
      <c r="L12" s="2118"/>
      <c r="M12" s="2119"/>
      <c r="N12" s="2119"/>
      <c r="O12" s="2120"/>
      <c r="P12" s="3587"/>
      <c r="Q12" s="1144">
        <f t="shared" si="6"/>
        <v>111</v>
      </c>
      <c r="R12" s="1552" t="s">
        <v>8</v>
      </c>
      <c r="S12" s="1553">
        <f t="shared" si="0"/>
        <v>100</v>
      </c>
      <c r="T12" s="1552" t="s">
        <v>8</v>
      </c>
      <c r="U12" s="1553">
        <f t="shared" si="1"/>
        <v>100</v>
      </c>
      <c r="V12" s="1552" t="s">
        <v>8</v>
      </c>
      <c r="W12" s="1553">
        <f t="shared" si="2"/>
        <v>100</v>
      </c>
      <c r="X12" s="1554"/>
      <c r="Y12" s="3523"/>
      <c r="Z12" s="1143">
        <f t="shared" si="7"/>
        <v>111</v>
      </c>
      <c r="AA12" s="1555">
        <f>D12/F12</f>
        <v>1</v>
      </c>
      <c r="AB12" s="1555">
        <f>D12/H12</f>
        <v>1</v>
      </c>
      <c r="AC12" s="1555">
        <f>D12/J12</f>
        <v>1</v>
      </c>
    </row>
    <row r="13" spans="1:29" ht="15.75" thickBot="1">
      <c r="A13" s="2871"/>
      <c r="B13" s="2877">
        <v>111</v>
      </c>
      <c r="C13" s="536"/>
      <c r="D13" s="537">
        <v>100</v>
      </c>
      <c r="E13" s="877"/>
      <c r="F13" s="252">
        <f>SUMIF(59:59,E13,60:60)-SUMIF(59:59,C13,60:60)+100</f>
        <v>100</v>
      </c>
      <c r="G13" s="877"/>
      <c r="H13" s="537">
        <f>SUMIF(59:59,G13,60:60)-SUMIF(59:59,C13,60:60)+100</f>
        <v>100</v>
      </c>
      <c r="I13" s="877"/>
      <c r="J13" s="537">
        <f>SUMIF(59:59,I13,60:60)-SUMIF(59:59,C13,60:60)+100</f>
        <v>100</v>
      </c>
      <c r="K13" s="578"/>
      <c r="L13" s="2125"/>
      <c r="M13" s="2117"/>
      <c r="N13" s="2117"/>
      <c r="O13" s="2124"/>
      <c r="P13" s="3587"/>
      <c r="Q13" s="1144">
        <f t="shared" si="6"/>
        <v>111</v>
      </c>
      <c r="R13" s="1552" t="s">
        <v>8</v>
      </c>
      <c r="S13" s="1553">
        <f t="shared" si="0"/>
        <v>100</v>
      </c>
      <c r="T13" s="1552" t="s">
        <v>8</v>
      </c>
      <c r="U13" s="1553">
        <f t="shared" si="1"/>
        <v>100</v>
      </c>
      <c r="V13" s="1552" t="s">
        <v>8</v>
      </c>
      <c r="W13" s="1553">
        <f t="shared" si="2"/>
        <v>100</v>
      </c>
      <c r="X13" s="1554"/>
      <c r="Y13" s="3523"/>
      <c r="Z13" s="1143">
        <f t="shared" si="7"/>
        <v>111</v>
      </c>
      <c r="AA13" s="1555">
        <f t="shared" si="3"/>
        <v>1</v>
      </c>
      <c r="AB13" s="1555">
        <f t="shared" si="4"/>
        <v>1</v>
      </c>
      <c r="AC13" s="1555">
        <f t="shared" si="5"/>
        <v>1</v>
      </c>
    </row>
    <row r="14" spans="1:29" ht="85.5">
      <c r="A14" s="2863" t="s">
        <v>2754</v>
      </c>
      <c r="B14" s="165"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589" t="s">
        <v>540</v>
      </c>
      <c r="Q14" s="1556" t="str">
        <f t="shared" si="6"/>
        <v>交通便捷度</v>
      </c>
      <c r="R14" s="1557" t="s">
        <v>8</v>
      </c>
      <c r="S14" s="1558">
        <f t="shared" si="0"/>
        <v>100</v>
      </c>
      <c r="T14" s="1557" t="s">
        <v>8</v>
      </c>
      <c r="U14" s="1558">
        <f t="shared" si="1"/>
        <v>100</v>
      </c>
      <c r="V14" s="1557" t="s">
        <v>8</v>
      </c>
      <c r="W14" s="1558">
        <f t="shared" si="2"/>
        <v>100</v>
      </c>
      <c r="X14" s="1551"/>
      <c r="Y14" s="3589"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590"/>
      <c r="Q15" s="1556"/>
      <c r="R15" s="1557"/>
      <c r="S15" s="1558"/>
      <c r="T15" s="1557"/>
      <c r="U15" s="1558"/>
      <c r="V15" s="1557"/>
      <c r="W15" s="1558"/>
      <c r="X15" s="1551"/>
      <c r="Y15" s="3590"/>
      <c r="Z15" s="1559"/>
      <c r="AA15" s="1560">
        <v>1</v>
      </c>
      <c r="AB15" s="1560">
        <v>1</v>
      </c>
      <c r="AC15" s="1560">
        <v>1</v>
      </c>
    </row>
    <row r="16" spans="1:29" ht="42.75">
      <c r="A16" s="529"/>
      <c r="B16" s="256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590"/>
      <c r="Q16" s="1556" t="str">
        <f>B16</f>
        <v>公共配套设施</v>
      </c>
      <c r="R16" s="1557" t="s">
        <v>8</v>
      </c>
      <c r="S16" s="1558">
        <f>F16</f>
        <v>100</v>
      </c>
      <c r="T16" s="1557" t="s">
        <v>8</v>
      </c>
      <c r="U16" s="1558">
        <f>H16</f>
        <v>100</v>
      </c>
      <c r="V16" s="1557" t="s">
        <v>8</v>
      </c>
      <c r="W16" s="1558">
        <f>J16</f>
        <v>100</v>
      </c>
      <c r="X16" s="1551"/>
      <c r="Y16" s="3590"/>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590"/>
      <c r="Q17" s="1556"/>
      <c r="R17" s="1557"/>
      <c r="S17" s="1558"/>
      <c r="T17" s="1557"/>
      <c r="U17" s="1558"/>
      <c r="V17" s="1557"/>
      <c r="W17" s="1558"/>
      <c r="X17" s="1551"/>
      <c r="Y17" s="3590"/>
      <c r="Z17" s="1559"/>
      <c r="AA17" s="1560">
        <v>1</v>
      </c>
      <c r="AB17" s="1560">
        <v>1</v>
      </c>
      <c r="AC17" s="1560">
        <v>1</v>
      </c>
    </row>
    <row r="18" spans="1:29" ht="28.5">
      <c r="A18" s="529"/>
      <c r="B18" s="255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590"/>
      <c r="Q18" s="2541" t="str">
        <f>B18</f>
        <v>基础设施水平</v>
      </c>
      <c r="R18" s="1557" t="s">
        <v>8</v>
      </c>
      <c r="S18" s="1558">
        <f>F18</f>
        <v>100</v>
      </c>
      <c r="T18" s="1557" t="s">
        <v>8</v>
      </c>
      <c r="U18" s="1558">
        <f>H18</f>
        <v>100</v>
      </c>
      <c r="V18" s="1557" t="s">
        <v>8</v>
      </c>
      <c r="W18" s="1558">
        <f>J18</f>
        <v>100</v>
      </c>
      <c r="X18" s="2543"/>
      <c r="Y18" s="3590"/>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590"/>
      <c r="Q19" s="2541"/>
      <c r="R19" s="1557"/>
      <c r="S19" s="1558"/>
      <c r="T19" s="1557"/>
      <c r="U19" s="1558"/>
      <c r="V19" s="1557"/>
      <c r="W19" s="1558"/>
      <c r="X19" s="2543"/>
      <c r="Y19" s="3590"/>
      <c r="Z19" s="2542"/>
      <c r="AA19" s="1560">
        <v>1</v>
      </c>
      <c r="AB19" s="1560">
        <v>1</v>
      </c>
      <c r="AC19" s="1560">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590"/>
      <c r="Q20" s="1556" t="str">
        <f>B20</f>
        <v>自然及人文环境</v>
      </c>
      <c r="R20" s="1557" t="s">
        <v>8</v>
      </c>
      <c r="S20" s="1558">
        <f>F20</f>
        <v>100</v>
      </c>
      <c r="T20" s="1557" t="s">
        <v>8</v>
      </c>
      <c r="U20" s="1558">
        <f>H20</f>
        <v>100</v>
      </c>
      <c r="V20" s="1557" t="s">
        <v>8</v>
      </c>
      <c r="W20" s="1558">
        <f>J20</f>
        <v>100</v>
      </c>
      <c r="X20" s="1551"/>
      <c r="Y20" s="3590"/>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590"/>
      <c r="Q21" s="1556"/>
      <c r="R21" s="1557"/>
      <c r="S21" s="1558"/>
      <c r="T21" s="1557"/>
      <c r="U21" s="1558"/>
      <c r="V21" s="1557"/>
      <c r="W21" s="1558"/>
      <c r="X21" s="1551"/>
      <c r="Y21" s="3590"/>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590"/>
      <c r="Q22" s="1556" t="str">
        <f>B22</f>
        <v>楼层</v>
      </c>
      <c r="R22" s="1557" t="s">
        <v>8</v>
      </c>
      <c r="S22" s="1558">
        <f>F22</f>
        <v>100</v>
      </c>
      <c r="T22" s="1557" t="s">
        <v>8</v>
      </c>
      <c r="U22" s="1558">
        <f>H22</f>
        <v>100</v>
      </c>
      <c r="V22" s="1557" t="s">
        <v>8</v>
      </c>
      <c r="W22" s="1558">
        <f>J22</f>
        <v>100</v>
      </c>
      <c r="X22" s="1551"/>
      <c r="Y22" s="3590"/>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590"/>
      <c r="Q23" s="1556">
        <f>B23</f>
        <v>111</v>
      </c>
      <c r="R23" s="1557" t="s">
        <v>8</v>
      </c>
      <c r="S23" s="1558">
        <f>F23</f>
        <v>100</v>
      </c>
      <c r="T23" s="1557" t="s">
        <v>8</v>
      </c>
      <c r="U23" s="1558">
        <f>H23</f>
        <v>100</v>
      </c>
      <c r="V23" s="1557" t="s">
        <v>8</v>
      </c>
      <c r="W23" s="1558">
        <f>J23</f>
        <v>100</v>
      </c>
      <c r="X23" s="1551"/>
      <c r="Y23" s="3590"/>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590"/>
      <c r="Q24" s="1556">
        <f t="shared" ref="Q24:Q34" si="11">B24</f>
        <v>111</v>
      </c>
      <c r="R24" s="1557" t="s">
        <v>8</v>
      </c>
      <c r="S24" s="1558">
        <f>F24</f>
        <v>100</v>
      </c>
      <c r="T24" s="1557" t="s">
        <v>8</v>
      </c>
      <c r="U24" s="1558">
        <f>H24</f>
        <v>100</v>
      </c>
      <c r="V24" s="1557" t="s">
        <v>8</v>
      </c>
      <c r="W24" s="1558">
        <f>J24</f>
        <v>100</v>
      </c>
      <c r="X24" s="1551"/>
      <c r="Y24" s="3590"/>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590"/>
      <c r="Q25" s="1144">
        <f t="shared" si="11"/>
        <v>111</v>
      </c>
      <c r="R25" s="1552" t="s">
        <v>8</v>
      </c>
      <c r="S25" s="1553">
        <f>F25</f>
        <v>100</v>
      </c>
      <c r="T25" s="1552" t="s">
        <v>8</v>
      </c>
      <c r="U25" s="1553">
        <f>H25</f>
        <v>100</v>
      </c>
      <c r="V25" s="1552" t="s">
        <v>8</v>
      </c>
      <c r="W25" s="1553">
        <f>J25</f>
        <v>100</v>
      </c>
      <c r="X25" s="1554"/>
      <c r="Y25" s="3590"/>
      <c r="Z25" s="1143">
        <f>Q25</f>
        <v>111</v>
      </c>
      <c r="AA25" s="1560">
        <f>D25/F25</f>
        <v>1</v>
      </c>
      <c r="AB25" s="1560">
        <f>D25/H25</f>
        <v>1</v>
      </c>
      <c r="AC25" s="1560">
        <f>D25/J25</f>
        <v>1</v>
      </c>
    </row>
    <row r="26" spans="1:29" ht="15">
      <c r="A26" s="2860" t="s">
        <v>2755</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59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592"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592"/>
      <c r="Q27" s="1588" t="str">
        <f t="shared" si="11"/>
        <v>成新率</v>
      </c>
      <c r="R27" s="1561" t="s">
        <v>8</v>
      </c>
      <c r="S27" s="1562" t="e">
        <f t="shared" si="12"/>
        <v>#N/A</v>
      </c>
      <c r="T27" s="1561" t="s">
        <v>8</v>
      </c>
      <c r="U27" s="1562" t="e">
        <f t="shared" si="13"/>
        <v>#N/A</v>
      </c>
      <c r="V27" s="1561" t="s">
        <v>8</v>
      </c>
      <c r="W27" s="1562" t="e">
        <f t="shared" si="14"/>
        <v>#N/A</v>
      </c>
      <c r="X27" s="1563"/>
      <c r="Y27" s="3592"/>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592"/>
      <c r="Q28" s="1556" t="str">
        <f t="shared" si="11"/>
        <v>物业等级</v>
      </c>
      <c r="R28" s="1557" t="s">
        <v>8</v>
      </c>
      <c r="S28" s="1558">
        <f t="shared" si="12"/>
        <v>100</v>
      </c>
      <c r="T28" s="1557" t="s">
        <v>8</v>
      </c>
      <c r="U28" s="1558">
        <f t="shared" si="13"/>
        <v>100</v>
      </c>
      <c r="V28" s="1557" t="s">
        <v>8</v>
      </c>
      <c r="W28" s="1558">
        <f t="shared" si="14"/>
        <v>100</v>
      </c>
      <c r="X28" s="1551"/>
      <c r="Y28" s="3592"/>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592"/>
      <c r="Q29" s="1556" t="str">
        <f t="shared" si="11"/>
        <v>有无电梯</v>
      </c>
      <c r="R29" s="1557" t="s">
        <v>8</v>
      </c>
      <c r="S29" s="1558">
        <f t="shared" si="12"/>
        <v>100</v>
      </c>
      <c r="T29" s="1557" t="s">
        <v>8</v>
      </c>
      <c r="U29" s="1558">
        <f t="shared" si="13"/>
        <v>100</v>
      </c>
      <c r="V29" s="1557" t="s">
        <v>8</v>
      </c>
      <c r="W29" s="1558">
        <f t="shared" si="14"/>
        <v>100</v>
      </c>
      <c r="X29" s="1551"/>
      <c r="Y29" s="3592"/>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592"/>
      <c r="Q30" s="1556" t="str">
        <f t="shared" si="11"/>
        <v>建筑面积</v>
      </c>
      <c r="R30" s="1557" t="s">
        <v>8</v>
      </c>
      <c r="S30" s="1558" t="e">
        <f t="shared" si="12"/>
        <v>#N/A</v>
      </c>
      <c r="T30" s="1557" t="s">
        <v>8</v>
      </c>
      <c r="U30" s="1558" t="e">
        <f t="shared" si="13"/>
        <v>#N/A</v>
      </c>
      <c r="V30" s="1557" t="s">
        <v>8</v>
      </c>
      <c r="W30" s="1558" t="e">
        <f t="shared" si="14"/>
        <v>#N/A</v>
      </c>
      <c r="X30" s="1551"/>
      <c r="Y30" s="3592"/>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592"/>
      <c r="Q31" s="1144" t="str">
        <f t="shared" si="11"/>
        <v>是否封闭</v>
      </c>
      <c r="R31" s="1552" t="s">
        <v>8</v>
      </c>
      <c r="S31" s="1553">
        <f t="shared" si="12"/>
        <v>100</v>
      </c>
      <c r="T31" s="1552" t="s">
        <v>8</v>
      </c>
      <c r="U31" s="1553">
        <f t="shared" si="13"/>
        <v>100</v>
      </c>
      <c r="V31" s="1552" t="s">
        <v>8</v>
      </c>
      <c r="W31" s="1553">
        <f t="shared" si="14"/>
        <v>100</v>
      </c>
      <c r="X31" s="1554"/>
      <c r="Y31" s="3592"/>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592" t="s">
        <v>550</v>
      </c>
      <c r="Q32" s="1556">
        <f t="shared" si="11"/>
        <v>111</v>
      </c>
      <c r="R32" s="1557" t="s">
        <v>8</v>
      </c>
      <c r="S32" s="1558">
        <f t="shared" si="12"/>
        <v>100</v>
      </c>
      <c r="T32" s="1557" t="s">
        <v>8</v>
      </c>
      <c r="U32" s="1558">
        <f t="shared" si="13"/>
        <v>100</v>
      </c>
      <c r="V32" s="1557" t="s">
        <v>8</v>
      </c>
      <c r="W32" s="1558">
        <f t="shared" si="14"/>
        <v>100</v>
      </c>
      <c r="X32" s="1551"/>
      <c r="Y32" s="3592"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592"/>
      <c r="Q33" s="1556">
        <f t="shared" si="11"/>
        <v>111</v>
      </c>
      <c r="R33" s="1557" t="s">
        <v>8</v>
      </c>
      <c r="S33" s="1558">
        <f t="shared" si="12"/>
        <v>100</v>
      </c>
      <c r="T33" s="1557" t="s">
        <v>8</v>
      </c>
      <c r="U33" s="1558">
        <f t="shared" si="13"/>
        <v>100</v>
      </c>
      <c r="V33" s="1557" t="s">
        <v>8</v>
      </c>
      <c r="W33" s="1558">
        <f t="shared" si="14"/>
        <v>100</v>
      </c>
      <c r="X33" s="1551"/>
      <c r="Y33" s="3592"/>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592"/>
      <c r="Q34" s="1556">
        <f t="shared" si="11"/>
        <v>111</v>
      </c>
      <c r="R34" s="1557" t="s">
        <v>8</v>
      </c>
      <c r="S34" s="1558">
        <f t="shared" si="12"/>
        <v>100</v>
      </c>
      <c r="T34" s="1557" t="s">
        <v>8</v>
      </c>
      <c r="U34" s="1558">
        <f t="shared" si="13"/>
        <v>100</v>
      </c>
      <c r="V34" s="1557" t="s">
        <v>8</v>
      </c>
      <c r="W34" s="1558">
        <f t="shared" si="14"/>
        <v>100</v>
      </c>
      <c r="X34" s="1551"/>
      <c r="Y34" s="3592"/>
      <c r="Z34" s="1559">
        <f t="shared" si="15"/>
        <v>111</v>
      </c>
      <c r="AA34" s="1560">
        <f t="shared" si="3"/>
        <v>1</v>
      </c>
      <c r="AB34" s="1560">
        <f t="shared" si="4"/>
        <v>1</v>
      </c>
      <c r="AC34" s="1560">
        <f t="shared" si="5"/>
        <v>1</v>
      </c>
    </row>
    <row r="35" spans="1:29" ht="15">
      <c r="A35" s="604" t="s">
        <v>736</v>
      </c>
      <c r="B35" s="884"/>
      <c r="C35" s="2589" t="s">
        <v>1</v>
      </c>
      <c r="D35" s="2590"/>
      <c r="E35" s="2591"/>
      <c r="F35" s="2592"/>
      <c r="G35" s="2593"/>
      <c r="H35" s="2594"/>
      <c r="I35" s="2591"/>
      <c r="J35" s="2594"/>
      <c r="K35" s="1594"/>
      <c r="L35" s="2127"/>
      <c r="M35" s="2128"/>
      <c r="N35" s="2117"/>
      <c r="O35" s="2128"/>
      <c r="P35" s="3587" t="str">
        <f>A35</f>
        <v>成交单价（元/平方米）</v>
      </c>
      <c r="Q35" s="3587"/>
      <c r="R35" s="3625">
        <f>E35</f>
        <v>0</v>
      </c>
      <c r="S35" s="3625"/>
      <c r="T35" s="3625">
        <f>G35</f>
        <v>0</v>
      </c>
      <c r="U35" s="3625"/>
      <c r="V35" s="3625">
        <f>I35</f>
        <v>0</v>
      </c>
      <c r="W35" s="3625"/>
      <c r="X35" s="1543"/>
      <c r="Y35" s="1565"/>
      <c r="Z35" s="1543"/>
      <c r="AA35" s="1543"/>
      <c r="AB35" s="1543"/>
      <c r="AC35" s="1543"/>
    </row>
    <row r="36" spans="1:29" ht="15.75" thickBot="1">
      <c r="A36" s="612" t="s">
        <v>2760</v>
      </c>
      <c r="B36" s="885"/>
      <c r="C36" s="2595" t="e">
        <f>R37</f>
        <v>#DIV/0!</v>
      </c>
      <c r="D36" s="2596"/>
      <c r="E36" s="2597" t="e">
        <f>R36</f>
        <v>#DIV/0!</v>
      </c>
      <c r="F36" s="2597"/>
      <c r="G36" s="2595" t="e">
        <f>T36</f>
        <v>#DIV/0!</v>
      </c>
      <c r="H36" s="2596"/>
      <c r="I36" s="2597" t="e">
        <f>V36</f>
        <v>#DIV/0!</v>
      </c>
      <c r="J36" s="2596"/>
      <c r="K36" s="1595"/>
      <c r="L36" s="2127"/>
      <c r="M36" s="2128"/>
      <c r="N36" s="2117"/>
      <c r="O36" s="2128"/>
      <c r="P36" s="3587" t="str">
        <f>A36</f>
        <v>比较价格（元/平方米）</v>
      </c>
      <c r="Q36" s="3587"/>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1543"/>
      <c r="Y36" s="1543"/>
      <c r="Z36" s="1543"/>
      <c r="AA36" s="1543"/>
      <c r="AB36" s="1543"/>
      <c r="AC36" s="1543"/>
    </row>
    <row r="37" spans="1:29" ht="15.75" thickBot="1">
      <c r="A37" s="618" t="s">
        <v>2936</v>
      </c>
      <c r="B37" s="619"/>
      <c r="C37" s="2598" t="e">
        <f>R37</f>
        <v>#DIV/0!</v>
      </c>
      <c r="D37" s="2598"/>
      <c r="E37" s="2598"/>
      <c r="F37" s="2598"/>
      <c r="G37" s="2598"/>
      <c r="H37" s="2598"/>
      <c r="I37" s="2598"/>
      <c r="J37" s="2598"/>
      <c r="K37" s="1596"/>
      <c r="L37" s="2127"/>
      <c r="M37" s="2128"/>
      <c r="N37" s="2128"/>
      <c r="O37" s="2128"/>
      <c r="P37" s="3608" t="str">
        <f>A37</f>
        <v>估价对象XX用房的比较价格（楼面单价，元/平方米）</v>
      </c>
      <c r="Q37" s="3609"/>
      <c r="R37" s="3624" t="e">
        <f>IF(F1="售价",ROUND(AVERAGE(R36:V36),0),ROUND(AVERAGE(R36:V36),1))</f>
        <v>#DIV/0!</v>
      </c>
      <c r="S37" s="3624"/>
      <c r="T37" s="3624"/>
      <c r="U37" s="3624"/>
      <c r="V37" s="3624"/>
      <c r="W37" s="3624"/>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529</v>
      </c>
      <c r="B46" s="643"/>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575</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531</v>
      </c>
      <c r="B49" s="645"/>
      <c r="C49" s="657" t="s">
        <v>576</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577</v>
      </c>
      <c r="B51" s="662" t="s">
        <v>534</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2557</v>
      </c>
      <c r="C63" s="705" t="s">
        <v>579</v>
      </c>
      <c r="D63" s="705" t="s">
        <v>580</v>
      </c>
      <c r="E63" s="705" t="s">
        <v>581</v>
      </c>
      <c r="F63" s="705" t="s">
        <v>582</v>
      </c>
      <c r="G63" s="705" t="s">
        <v>583</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2558</v>
      </c>
      <c r="C65" s="2560" t="s">
        <v>2559</v>
      </c>
      <c r="D65" s="2560" t="s">
        <v>2560</v>
      </c>
      <c r="E65" s="2560" t="s">
        <v>2561</v>
      </c>
      <c r="F65" s="2560" t="s">
        <v>2562</v>
      </c>
      <c r="G65" s="2560" t="s">
        <v>2563</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744</v>
      </c>
      <c r="C67" s="705" t="s">
        <v>579</v>
      </c>
      <c r="D67" s="705" t="s">
        <v>580</v>
      </c>
      <c r="E67" s="705" t="s">
        <v>581</v>
      </c>
      <c r="F67" s="705" t="s">
        <v>582</v>
      </c>
      <c r="G67" s="705" t="s">
        <v>583</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745</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551</v>
      </c>
      <c r="B77" s="662" t="s">
        <v>751</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817</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825</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827</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7" t="s">
        <v>2303</v>
      </c>
      <c r="C1" s="3680" t="s">
        <v>2304</v>
      </c>
      <c r="D1" s="3681"/>
      <c r="E1" s="3681"/>
      <c r="F1" s="3681"/>
      <c r="G1" s="3681"/>
      <c r="H1" s="3681"/>
      <c r="I1" s="3681"/>
      <c r="J1" s="3681"/>
      <c r="K1" s="3681"/>
      <c r="L1" s="3681"/>
      <c r="M1" s="3681"/>
      <c r="N1" s="3681"/>
      <c r="O1" s="3681"/>
      <c r="P1" s="3681"/>
      <c r="Q1" s="3681"/>
      <c r="R1" s="3681"/>
      <c r="S1" s="3682"/>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2929</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2928</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2927</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2940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830</v>
      </c>
      <c r="B22" s="52">
        <f>SUM(B24:B10000)</f>
        <v>0</v>
      </c>
      <c r="C22" s="3677" t="s">
        <v>20</v>
      </c>
      <c r="D22" s="3678"/>
      <c r="E22" s="3678"/>
      <c r="F22" s="3678"/>
      <c r="G22" s="3678"/>
      <c r="H22" s="3678"/>
      <c r="I22" s="3678"/>
      <c r="J22" s="3678"/>
      <c r="K22" s="3678"/>
      <c r="L22" s="3678"/>
      <c r="M22" s="3678"/>
      <c r="N22" s="3678"/>
      <c r="O22" s="3678"/>
      <c r="P22" s="3678"/>
      <c r="Q22" s="3679"/>
      <c r="R22" s="487" t="e">
        <f>ROUND(S22*10000/B22,0)</f>
        <v>#DIV/0!</v>
      </c>
      <c r="S22" s="52">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09"/>
      <c r="S525" s="254"/>
    </row>
    <row r="526" spans="1:19">
      <c r="A526" s="254"/>
      <c r="B526" s="56"/>
      <c r="C526" s="56"/>
      <c r="D526" s="56"/>
      <c r="E526" s="56"/>
      <c r="F526" s="56"/>
      <c r="G526" s="56"/>
      <c r="H526" s="56"/>
      <c r="I526" s="56"/>
      <c r="J526" s="56"/>
      <c r="K526" s="56"/>
      <c r="L526" s="56"/>
      <c r="M526" s="56"/>
      <c r="N526" s="56"/>
      <c r="O526" s="56"/>
      <c r="P526" s="56"/>
      <c r="Q526" s="56"/>
      <c r="R526" s="2209"/>
      <c r="S526" s="254"/>
    </row>
    <row r="527" spans="1:19">
      <c r="A527" s="254"/>
      <c r="B527" s="56"/>
      <c r="C527" s="56"/>
      <c r="D527" s="56"/>
      <c r="E527" s="56"/>
      <c r="F527" s="56"/>
      <c r="G527" s="56"/>
      <c r="H527" s="56"/>
      <c r="I527" s="56"/>
      <c r="J527" s="56"/>
      <c r="K527" s="56"/>
      <c r="L527" s="56"/>
      <c r="M527" s="56"/>
      <c r="N527" s="56"/>
      <c r="O527" s="56"/>
      <c r="P527" s="56"/>
      <c r="Q527" s="56"/>
      <c r="R527" s="2209"/>
      <c r="S527" s="254"/>
    </row>
    <row r="528" spans="1:19">
      <c r="A528" s="254"/>
      <c r="B528" s="56"/>
      <c r="C528" s="56"/>
      <c r="D528" s="56"/>
      <c r="E528" s="56"/>
      <c r="F528" s="56"/>
      <c r="G528" s="56"/>
      <c r="H528" s="56"/>
      <c r="I528" s="56"/>
      <c r="J528" s="56"/>
      <c r="K528" s="56"/>
      <c r="L528" s="56"/>
      <c r="M528" s="56"/>
      <c r="N528" s="56"/>
      <c r="O528" s="56"/>
      <c r="P528" s="56"/>
      <c r="Q528" s="56"/>
      <c r="R528" s="2209"/>
      <c r="S528" s="254"/>
    </row>
    <row r="529" spans="1:19">
      <c r="A529" s="254"/>
      <c r="B529" s="56"/>
      <c r="C529" s="56"/>
      <c r="D529" s="56"/>
      <c r="E529" s="56"/>
      <c r="F529" s="56"/>
      <c r="G529" s="56"/>
      <c r="H529" s="56"/>
      <c r="I529" s="56"/>
      <c r="J529" s="56"/>
      <c r="K529" s="56"/>
      <c r="L529" s="56"/>
      <c r="M529" s="56"/>
      <c r="N529" s="56"/>
      <c r="O529" s="56"/>
      <c r="P529" s="56"/>
      <c r="Q529" s="56"/>
      <c r="R529" s="2209"/>
      <c r="S529" s="254"/>
    </row>
    <row r="530" spans="1:19">
      <c r="A530" s="254"/>
      <c r="B530" s="56"/>
      <c r="C530" s="56"/>
      <c r="D530" s="56"/>
      <c r="E530" s="56"/>
      <c r="F530" s="56"/>
      <c r="G530" s="56"/>
      <c r="H530" s="56"/>
      <c r="I530" s="56"/>
      <c r="J530" s="56"/>
      <c r="K530" s="56"/>
      <c r="L530" s="56"/>
      <c r="M530" s="56"/>
      <c r="N530" s="56"/>
      <c r="O530" s="56"/>
      <c r="P530" s="56"/>
      <c r="Q530" s="56"/>
      <c r="R530" s="2209"/>
      <c r="S530" s="254"/>
    </row>
    <row r="531" spans="1:19">
      <c r="A531" s="254"/>
      <c r="B531" s="56"/>
      <c r="C531" s="56"/>
      <c r="D531" s="56"/>
      <c r="E531" s="56"/>
      <c r="F531" s="56"/>
      <c r="G531" s="56"/>
      <c r="H531" s="56"/>
      <c r="I531" s="56"/>
      <c r="J531" s="56"/>
      <c r="K531" s="56"/>
      <c r="L531" s="56"/>
      <c r="M531" s="56"/>
      <c r="N531" s="56"/>
      <c r="O531" s="56"/>
      <c r="P531" s="56"/>
      <c r="Q531" s="56"/>
      <c r="R531" s="2209"/>
      <c r="S531" s="254"/>
    </row>
    <row r="532" spans="1:19">
      <c r="A532" s="254"/>
      <c r="B532" s="56"/>
      <c r="C532" s="56"/>
      <c r="D532" s="56"/>
      <c r="E532" s="56"/>
      <c r="F532" s="56"/>
      <c r="G532" s="56"/>
      <c r="H532" s="56"/>
      <c r="I532" s="56"/>
      <c r="J532" s="56"/>
      <c r="K532" s="56"/>
      <c r="L532" s="56"/>
      <c r="M532" s="56"/>
      <c r="N532" s="56"/>
      <c r="O532" s="56"/>
      <c r="P532" s="56"/>
      <c r="Q532" s="56"/>
      <c r="R532" s="2209"/>
      <c r="S532" s="254"/>
    </row>
    <row r="533" spans="1:19">
      <c r="A533" s="254"/>
      <c r="B533" s="56"/>
      <c r="C533" s="56"/>
      <c r="D533" s="56"/>
      <c r="E533" s="56"/>
      <c r="F533" s="56"/>
      <c r="G533" s="56"/>
      <c r="H533" s="56"/>
      <c r="I533" s="56"/>
      <c r="J533" s="56"/>
      <c r="K533" s="56"/>
      <c r="L533" s="56"/>
      <c r="M533" s="56"/>
      <c r="N533" s="56"/>
      <c r="O533" s="56"/>
      <c r="P533" s="56"/>
      <c r="Q533" s="56"/>
      <c r="R533" s="2209"/>
      <c r="S533" s="254"/>
    </row>
    <row r="534" spans="1:19">
      <c r="A534" s="254"/>
      <c r="B534" s="56"/>
      <c r="C534" s="56"/>
      <c r="D534" s="56"/>
      <c r="E534" s="56"/>
      <c r="F534" s="56"/>
      <c r="G534" s="56"/>
      <c r="H534" s="56"/>
      <c r="I534" s="56"/>
      <c r="J534" s="56"/>
      <c r="K534" s="56"/>
      <c r="L534" s="56"/>
      <c r="M534" s="56"/>
      <c r="N534" s="56"/>
      <c r="O534" s="56"/>
      <c r="P534" s="56"/>
      <c r="Q534" s="56"/>
      <c r="R534" s="2209"/>
      <c r="S534" s="254"/>
    </row>
    <row r="535" spans="1:19">
      <c r="A535" s="254"/>
      <c r="B535" s="56"/>
      <c r="C535" s="56"/>
      <c r="D535" s="56"/>
      <c r="E535" s="56"/>
      <c r="F535" s="56"/>
      <c r="G535" s="56"/>
      <c r="H535" s="56"/>
      <c r="I535" s="56"/>
      <c r="J535" s="56"/>
      <c r="K535" s="56"/>
      <c r="L535" s="56"/>
      <c r="M535" s="56"/>
      <c r="N535" s="56"/>
      <c r="O535" s="56"/>
      <c r="P535" s="56"/>
      <c r="Q535" s="56"/>
      <c r="R535" s="2209"/>
      <c r="S535" s="254"/>
    </row>
    <row r="536" spans="1:19">
      <c r="A536" s="254"/>
      <c r="B536" s="56"/>
      <c r="C536" s="56"/>
      <c r="D536" s="56"/>
      <c r="E536" s="56"/>
      <c r="F536" s="56"/>
      <c r="G536" s="56"/>
      <c r="H536" s="56"/>
      <c r="I536" s="56"/>
      <c r="J536" s="56"/>
      <c r="K536" s="56"/>
      <c r="L536" s="56"/>
      <c r="M536" s="56"/>
      <c r="N536" s="56"/>
      <c r="O536" s="56"/>
      <c r="P536" s="56"/>
      <c r="Q536" s="56"/>
      <c r="R536" s="2209"/>
      <c r="S536" s="254"/>
    </row>
    <row r="537" spans="1:19">
      <c r="A537" s="254"/>
      <c r="B537" s="56"/>
      <c r="C537" s="56"/>
      <c r="D537" s="56"/>
      <c r="E537" s="56"/>
      <c r="F537" s="56"/>
      <c r="G537" s="56"/>
      <c r="H537" s="56"/>
      <c r="I537" s="56"/>
      <c r="J537" s="56"/>
      <c r="K537" s="56"/>
      <c r="L537" s="56"/>
      <c r="M537" s="56"/>
      <c r="N537" s="56"/>
      <c r="O537" s="56"/>
      <c r="P537" s="56"/>
      <c r="Q537" s="56"/>
      <c r="R537" s="2209"/>
      <c r="S537" s="254"/>
    </row>
    <row r="538" spans="1:19">
      <c r="A538" s="254"/>
      <c r="B538" s="56"/>
      <c r="C538" s="56"/>
      <c r="D538" s="56"/>
      <c r="E538" s="56"/>
      <c r="F538" s="56"/>
      <c r="G538" s="56"/>
      <c r="H538" s="56"/>
      <c r="I538" s="56"/>
      <c r="J538" s="56"/>
      <c r="K538" s="56"/>
      <c r="L538" s="56"/>
      <c r="M538" s="56"/>
      <c r="N538" s="56"/>
      <c r="O538" s="56"/>
      <c r="P538" s="56"/>
      <c r="Q538" s="56"/>
      <c r="R538" s="2209"/>
      <c r="S538" s="254"/>
    </row>
    <row r="539" spans="1:19">
      <c r="A539" s="254"/>
      <c r="B539" s="56"/>
      <c r="C539" s="56"/>
      <c r="D539" s="56"/>
      <c r="E539" s="56"/>
      <c r="F539" s="56"/>
      <c r="G539" s="56"/>
      <c r="H539" s="56"/>
      <c r="I539" s="56"/>
      <c r="J539" s="56"/>
      <c r="K539" s="56"/>
      <c r="L539" s="56"/>
      <c r="M539" s="56"/>
      <c r="N539" s="56"/>
      <c r="O539" s="56"/>
      <c r="P539" s="56"/>
      <c r="Q539" s="56"/>
      <c r="R539" s="2209"/>
      <c r="S539" s="254"/>
    </row>
    <row r="540" spans="1:19">
      <c r="A540" s="254"/>
      <c r="B540" s="56"/>
      <c r="C540" s="56"/>
      <c r="D540" s="56"/>
      <c r="E540" s="56"/>
      <c r="F540" s="56"/>
      <c r="G540" s="56"/>
      <c r="H540" s="56"/>
      <c r="I540" s="56"/>
      <c r="J540" s="56"/>
      <c r="K540" s="56"/>
      <c r="L540" s="56"/>
      <c r="M540" s="56"/>
      <c r="N540" s="56"/>
      <c r="O540" s="56"/>
      <c r="P540" s="56"/>
      <c r="Q540" s="56"/>
      <c r="R540" s="2209"/>
      <c r="S540" s="254"/>
    </row>
    <row r="541" spans="1:19">
      <c r="A541" s="254"/>
      <c r="B541" s="56"/>
      <c r="C541" s="56"/>
      <c r="D541" s="56"/>
      <c r="E541" s="56"/>
      <c r="F541" s="56"/>
      <c r="G541" s="56"/>
      <c r="H541" s="56"/>
      <c r="I541" s="56"/>
      <c r="J541" s="56"/>
      <c r="K541" s="56"/>
      <c r="L541" s="56"/>
      <c r="M541" s="56"/>
      <c r="N541" s="56"/>
      <c r="O541" s="56"/>
      <c r="P541" s="56"/>
      <c r="Q541" s="56"/>
      <c r="R541" s="2209"/>
      <c r="S541" s="254"/>
    </row>
    <row r="542" spans="1:19">
      <c r="A542" s="254"/>
      <c r="B542" s="56"/>
      <c r="C542" s="56"/>
      <c r="D542" s="56"/>
      <c r="E542" s="56"/>
      <c r="F542" s="56"/>
      <c r="G542" s="56"/>
      <c r="H542" s="56"/>
      <c r="I542" s="56"/>
      <c r="J542" s="56"/>
      <c r="K542" s="56"/>
      <c r="L542" s="56"/>
      <c r="M542" s="56"/>
      <c r="N542" s="56"/>
      <c r="O542" s="56"/>
      <c r="P542" s="56"/>
      <c r="Q542" s="56"/>
      <c r="R542" s="2209"/>
      <c r="S542" s="254"/>
    </row>
    <row r="543" spans="1:19">
      <c r="A543" s="254"/>
      <c r="B543" s="56"/>
      <c r="C543" s="56"/>
      <c r="D543" s="56"/>
      <c r="E543" s="56"/>
      <c r="F543" s="56"/>
      <c r="G543" s="56"/>
      <c r="H543" s="56"/>
      <c r="I543" s="56"/>
      <c r="J543" s="56"/>
      <c r="K543" s="56"/>
      <c r="L543" s="56"/>
      <c r="M543" s="56"/>
      <c r="N543" s="56"/>
      <c r="O543" s="56"/>
      <c r="P543" s="56"/>
      <c r="Q543" s="56"/>
      <c r="R543" s="2209"/>
      <c r="S543" s="254"/>
    </row>
    <row r="544" spans="1:19">
      <c r="A544" s="254"/>
      <c r="B544" s="56"/>
      <c r="C544" s="56"/>
      <c r="D544" s="56"/>
      <c r="E544" s="56"/>
      <c r="F544" s="56"/>
      <c r="G544" s="56"/>
      <c r="H544" s="56"/>
      <c r="I544" s="56"/>
      <c r="J544" s="56"/>
      <c r="K544" s="56"/>
      <c r="L544" s="56"/>
      <c r="M544" s="56"/>
      <c r="N544" s="56"/>
      <c r="O544" s="56"/>
      <c r="P544" s="56"/>
      <c r="Q544" s="56"/>
      <c r="R544" s="2209"/>
      <c r="S544" s="254"/>
    </row>
    <row r="545" spans="1:19">
      <c r="A545" s="254"/>
      <c r="B545" s="56"/>
      <c r="C545" s="56"/>
      <c r="D545" s="56"/>
      <c r="E545" s="56"/>
      <c r="F545" s="56"/>
      <c r="G545" s="56"/>
      <c r="H545" s="56"/>
      <c r="I545" s="56"/>
      <c r="J545" s="56"/>
      <c r="K545" s="56"/>
      <c r="L545" s="56"/>
      <c r="M545" s="56"/>
      <c r="N545" s="56"/>
      <c r="O545" s="56"/>
      <c r="P545" s="56"/>
      <c r="Q545" s="56"/>
      <c r="R545" s="2209"/>
      <c r="S545" s="254"/>
    </row>
    <row r="546" spans="1:19">
      <c r="A546" s="254"/>
      <c r="B546" s="56"/>
      <c r="C546" s="56"/>
      <c r="D546" s="56"/>
      <c r="E546" s="56"/>
      <c r="F546" s="56"/>
      <c r="G546" s="56"/>
      <c r="H546" s="56"/>
      <c r="I546" s="56"/>
      <c r="J546" s="56"/>
      <c r="K546" s="56"/>
      <c r="L546" s="56"/>
      <c r="M546" s="56"/>
      <c r="N546" s="56"/>
      <c r="O546" s="56"/>
      <c r="P546" s="56"/>
      <c r="Q546" s="56"/>
      <c r="R546" s="2209"/>
      <c r="S546" s="254"/>
    </row>
    <row r="547" spans="1:19">
      <c r="A547" s="254"/>
      <c r="B547" s="56"/>
      <c r="C547" s="56"/>
      <c r="D547" s="56"/>
      <c r="E547" s="56"/>
      <c r="F547" s="56"/>
      <c r="G547" s="56"/>
      <c r="H547" s="56"/>
      <c r="I547" s="56"/>
      <c r="J547" s="56"/>
      <c r="K547" s="56"/>
      <c r="L547" s="56"/>
      <c r="M547" s="56"/>
      <c r="N547" s="56"/>
      <c r="O547" s="56"/>
      <c r="P547" s="56"/>
      <c r="Q547" s="56"/>
      <c r="R547" s="2209"/>
      <c r="S547" s="254"/>
    </row>
    <row r="548" spans="1:19">
      <c r="A548" s="254"/>
      <c r="B548" s="56"/>
      <c r="C548" s="56"/>
      <c r="D548" s="56"/>
      <c r="E548" s="56"/>
      <c r="F548" s="56"/>
      <c r="G548" s="56"/>
      <c r="H548" s="56"/>
      <c r="I548" s="56"/>
      <c r="J548" s="56"/>
      <c r="K548" s="56"/>
      <c r="L548" s="56"/>
      <c r="M548" s="56"/>
      <c r="N548" s="56"/>
      <c r="O548" s="56"/>
      <c r="P548" s="56"/>
      <c r="Q548" s="56"/>
      <c r="R548" s="2209"/>
      <c r="S548" s="254"/>
    </row>
    <row r="549" spans="1:19">
      <c r="A549" s="254"/>
      <c r="B549" s="56"/>
      <c r="C549" s="56"/>
      <c r="D549" s="56"/>
      <c r="E549" s="56"/>
      <c r="F549" s="56"/>
      <c r="G549" s="56"/>
      <c r="H549" s="56"/>
      <c r="I549" s="56"/>
      <c r="J549" s="56"/>
      <c r="K549" s="56"/>
      <c r="L549" s="56"/>
      <c r="M549" s="56"/>
      <c r="N549" s="56"/>
      <c r="O549" s="56"/>
      <c r="P549" s="56"/>
      <c r="Q549" s="56"/>
      <c r="R549" s="2209"/>
      <c r="S549" s="254"/>
    </row>
    <row r="550" spans="1:19">
      <c r="A550" s="254"/>
      <c r="B550" s="56"/>
      <c r="C550" s="56"/>
      <c r="D550" s="56"/>
      <c r="E550" s="56"/>
      <c r="F550" s="56"/>
      <c r="G550" s="56"/>
      <c r="H550" s="56"/>
      <c r="I550" s="56"/>
      <c r="J550" s="56"/>
      <c r="K550" s="56"/>
      <c r="L550" s="56"/>
      <c r="M550" s="56"/>
      <c r="N550" s="56"/>
      <c r="O550" s="56"/>
      <c r="P550" s="56"/>
      <c r="Q550" s="56"/>
      <c r="R550" s="2209"/>
      <c r="S550" s="254"/>
    </row>
    <row r="551" spans="1:19">
      <c r="A551" s="254"/>
      <c r="B551" s="56"/>
      <c r="C551" s="56"/>
      <c r="D551" s="56"/>
      <c r="E551" s="56"/>
      <c r="F551" s="56"/>
      <c r="G551" s="56"/>
      <c r="H551" s="56"/>
      <c r="I551" s="56"/>
      <c r="J551" s="56"/>
      <c r="K551" s="56"/>
      <c r="L551" s="56"/>
      <c r="M551" s="56"/>
      <c r="N551" s="56"/>
      <c r="O551" s="56"/>
      <c r="P551" s="56"/>
      <c r="Q551" s="56"/>
      <c r="R551" s="2209"/>
      <c r="S551" s="254"/>
    </row>
    <row r="552" spans="1:19">
      <c r="A552" s="254"/>
      <c r="B552" s="56"/>
      <c r="C552" s="56"/>
      <c r="D552" s="56"/>
      <c r="E552" s="56"/>
      <c r="F552" s="56"/>
      <c r="G552" s="56"/>
      <c r="H552" s="56"/>
      <c r="I552" s="56"/>
      <c r="J552" s="56"/>
      <c r="K552" s="56"/>
      <c r="L552" s="56"/>
      <c r="M552" s="56"/>
      <c r="N552" s="56"/>
      <c r="O552" s="56"/>
      <c r="P552" s="56"/>
      <c r="Q552" s="56"/>
      <c r="R552" s="2209"/>
      <c r="S552" s="254"/>
    </row>
    <row r="553" spans="1:19">
      <c r="A553" s="254"/>
      <c r="B553" s="56"/>
      <c r="C553" s="56"/>
      <c r="D553" s="56"/>
      <c r="E553" s="56"/>
      <c r="F553" s="56"/>
      <c r="G553" s="56"/>
      <c r="H553" s="56"/>
      <c r="I553" s="56"/>
      <c r="J553" s="56"/>
      <c r="K553" s="56"/>
      <c r="L553" s="56"/>
      <c r="M553" s="56"/>
      <c r="N553" s="56"/>
      <c r="O553" s="56"/>
      <c r="P553" s="56"/>
      <c r="Q553" s="56"/>
      <c r="R553" s="2209"/>
      <c r="S553" s="254"/>
    </row>
    <row r="554" spans="1:19">
      <c r="A554" s="254"/>
      <c r="B554" s="56"/>
      <c r="C554" s="56"/>
      <c r="D554" s="56"/>
      <c r="E554" s="56"/>
      <c r="F554" s="56"/>
      <c r="G554" s="56"/>
      <c r="H554" s="56"/>
      <c r="I554" s="56"/>
      <c r="J554" s="56"/>
      <c r="K554" s="56"/>
      <c r="L554" s="56"/>
      <c r="M554" s="56"/>
      <c r="N554" s="56"/>
      <c r="O554" s="56"/>
      <c r="P554" s="56"/>
      <c r="Q554" s="56"/>
      <c r="R554" s="2209"/>
      <c r="S554" s="254"/>
    </row>
    <row r="555" spans="1:19">
      <c r="A555" s="254"/>
      <c r="B555" s="56"/>
      <c r="C555" s="56"/>
      <c r="D555" s="56"/>
      <c r="E555" s="56"/>
      <c r="F555" s="56"/>
      <c r="G555" s="56"/>
      <c r="H555" s="56"/>
      <c r="I555" s="56"/>
      <c r="J555" s="56"/>
      <c r="K555" s="56"/>
      <c r="L555" s="56"/>
      <c r="M555" s="56"/>
      <c r="N555" s="56"/>
      <c r="O555" s="56"/>
      <c r="P555" s="56"/>
      <c r="Q555" s="56"/>
      <c r="R555" s="2209"/>
      <c r="S555" s="254"/>
    </row>
    <row r="556" spans="1:19">
      <c r="A556" s="254"/>
      <c r="B556" s="56"/>
      <c r="C556" s="56"/>
      <c r="D556" s="56"/>
      <c r="E556" s="56"/>
      <c r="F556" s="56"/>
      <c r="G556" s="56"/>
      <c r="H556" s="56"/>
      <c r="I556" s="56"/>
      <c r="J556" s="56"/>
      <c r="K556" s="56"/>
      <c r="L556" s="56"/>
      <c r="M556" s="56"/>
      <c r="N556" s="56"/>
      <c r="O556" s="56"/>
      <c r="P556" s="56"/>
      <c r="Q556" s="56"/>
      <c r="R556" s="2209"/>
      <c r="S556" s="254"/>
    </row>
    <row r="557" spans="1:19">
      <c r="A557" s="254"/>
      <c r="B557" s="56"/>
      <c r="C557" s="56"/>
      <c r="D557" s="56"/>
      <c r="E557" s="56"/>
      <c r="F557" s="56"/>
      <c r="G557" s="56"/>
      <c r="H557" s="56"/>
      <c r="I557" s="56"/>
      <c r="J557" s="56"/>
      <c r="K557" s="56"/>
      <c r="L557" s="56"/>
      <c r="M557" s="56"/>
      <c r="N557" s="56"/>
      <c r="O557" s="56"/>
      <c r="P557" s="56"/>
      <c r="Q557" s="56"/>
      <c r="R557" s="2209"/>
      <c r="S557" s="254"/>
    </row>
    <row r="558" spans="1:19">
      <c r="A558" s="254"/>
      <c r="B558" s="56"/>
      <c r="C558" s="56"/>
      <c r="D558" s="56"/>
      <c r="E558" s="56"/>
      <c r="F558" s="56"/>
      <c r="G558" s="56"/>
      <c r="H558" s="56"/>
      <c r="I558" s="56"/>
      <c r="J558" s="56"/>
      <c r="K558" s="56"/>
      <c r="L558" s="56"/>
      <c r="M558" s="56"/>
      <c r="N558" s="56"/>
      <c r="O558" s="56"/>
      <c r="P558" s="56"/>
      <c r="Q558" s="56"/>
      <c r="R558" s="2209"/>
      <c r="S558" s="254"/>
    </row>
    <row r="559" spans="1:19">
      <c r="A559" s="254"/>
      <c r="B559" s="56"/>
      <c r="C559" s="56"/>
      <c r="D559" s="56"/>
      <c r="E559" s="56"/>
      <c r="F559" s="56"/>
      <c r="G559" s="56"/>
      <c r="H559" s="56"/>
      <c r="I559" s="56"/>
      <c r="J559" s="56"/>
      <c r="K559" s="56"/>
      <c r="L559" s="56"/>
      <c r="M559" s="56"/>
      <c r="N559" s="56"/>
      <c r="O559" s="56"/>
      <c r="P559" s="56"/>
      <c r="Q559" s="56"/>
      <c r="R559" s="2209"/>
      <c r="S559" s="254"/>
    </row>
    <row r="560" spans="1:19">
      <c r="A560" s="254"/>
      <c r="B560" s="56"/>
      <c r="C560" s="56"/>
      <c r="D560" s="56"/>
      <c r="E560" s="56"/>
      <c r="F560" s="56"/>
      <c r="G560" s="56"/>
      <c r="H560" s="56"/>
      <c r="I560" s="56"/>
      <c r="J560" s="56"/>
      <c r="K560" s="56"/>
      <c r="L560" s="56"/>
      <c r="M560" s="56"/>
      <c r="N560" s="56"/>
      <c r="O560" s="56"/>
      <c r="P560" s="56"/>
      <c r="Q560" s="56"/>
      <c r="R560" s="2209"/>
      <c r="S560" s="254"/>
    </row>
    <row r="561" spans="1:19">
      <c r="A561" s="254"/>
      <c r="B561" s="56"/>
      <c r="C561" s="56"/>
      <c r="D561" s="56"/>
      <c r="E561" s="56"/>
      <c r="F561" s="56"/>
      <c r="G561" s="56"/>
      <c r="H561" s="56"/>
      <c r="I561" s="56"/>
      <c r="J561" s="56"/>
      <c r="K561" s="56"/>
      <c r="L561" s="56"/>
      <c r="M561" s="56"/>
      <c r="N561" s="56"/>
      <c r="O561" s="56"/>
      <c r="P561" s="56"/>
      <c r="Q561" s="56"/>
      <c r="R561" s="2209"/>
      <c r="S561" s="254"/>
    </row>
    <row r="562" spans="1:19">
      <c r="A562" s="254"/>
      <c r="B562" s="56"/>
      <c r="C562" s="56"/>
      <c r="D562" s="56"/>
      <c r="E562" s="56"/>
      <c r="F562" s="56"/>
      <c r="G562" s="56"/>
      <c r="H562" s="56"/>
      <c r="I562" s="56"/>
      <c r="J562" s="56"/>
      <c r="K562" s="56"/>
      <c r="L562" s="56"/>
      <c r="M562" s="56"/>
      <c r="N562" s="56"/>
      <c r="O562" s="56"/>
      <c r="P562" s="56"/>
      <c r="Q562" s="56"/>
      <c r="R562" s="2209"/>
      <c r="S562" s="254"/>
    </row>
    <row r="563" spans="1:19">
      <c r="A563" s="254"/>
      <c r="B563" s="56"/>
      <c r="C563" s="56"/>
      <c r="D563" s="56"/>
      <c r="E563" s="56"/>
      <c r="F563" s="56"/>
      <c r="G563" s="56"/>
      <c r="H563" s="56"/>
      <c r="I563" s="56"/>
      <c r="J563" s="56"/>
      <c r="K563" s="56"/>
      <c r="L563" s="56"/>
      <c r="M563" s="56"/>
      <c r="N563" s="56"/>
      <c r="O563" s="56"/>
      <c r="P563" s="56"/>
      <c r="Q563" s="56"/>
      <c r="R563" s="2209"/>
      <c r="S563" s="254"/>
    </row>
    <row r="564" spans="1:19">
      <c r="A564" s="254"/>
      <c r="B564" s="56"/>
      <c r="C564" s="56"/>
      <c r="D564" s="56"/>
      <c r="E564" s="56"/>
      <c r="F564" s="56"/>
      <c r="G564" s="56"/>
      <c r="H564" s="56"/>
      <c r="I564" s="56"/>
      <c r="J564" s="56"/>
      <c r="K564" s="56"/>
      <c r="L564" s="56"/>
      <c r="M564" s="56"/>
      <c r="N564" s="56"/>
      <c r="O564" s="56"/>
      <c r="P564" s="56"/>
      <c r="Q564" s="56"/>
      <c r="R564" s="2209"/>
      <c r="S564" s="254"/>
    </row>
    <row r="565" spans="1:19">
      <c r="A565" s="254"/>
      <c r="B565" s="56"/>
      <c r="C565" s="56"/>
      <c r="D565" s="56"/>
      <c r="E565" s="56"/>
      <c r="F565" s="56"/>
      <c r="G565" s="56"/>
      <c r="H565" s="56"/>
      <c r="I565" s="56"/>
      <c r="J565" s="56"/>
      <c r="K565" s="56"/>
      <c r="L565" s="56"/>
      <c r="M565" s="56"/>
      <c r="N565" s="56"/>
      <c r="O565" s="56"/>
      <c r="P565" s="56"/>
      <c r="Q565" s="56"/>
      <c r="R565" s="2209"/>
      <c r="S565" s="254"/>
    </row>
    <row r="566" spans="1:19">
      <c r="A566" s="254"/>
      <c r="B566" s="56"/>
      <c r="C566" s="56"/>
      <c r="D566" s="56"/>
      <c r="E566" s="56"/>
      <c r="F566" s="56"/>
      <c r="G566" s="56"/>
      <c r="H566" s="56"/>
      <c r="I566" s="56"/>
      <c r="J566" s="56"/>
      <c r="K566" s="56"/>
      <c r="L566" s="56"/>
      <c r="M566" s="56"/>
      <c r="N566" s="56"/>
      <c r="O566" s="56"/>
      <c r="P566" s="56"/>
      <c r="Q566" s="56"/>
      <c r="R566" s="2209"/>
      <c r="S566" s="254"/>
    </row>
    <row r="567" spans="1:19">
      <c r="A567" s="254"/>
      <c r="B567" s="56"/>
      <c r="C567" s="56"/>
      <c r="D567" s="56"/>
      <c r="E567" s="56"/>
      <c r="F567" s="56"/>
      <c r="G567" s="56"/>
      <c r="H567" s="56"/>
      <c r="I567" s="56"/>
      <c r="J567" s="56"/>
      <c r="K567" s="56"/>
      <c r="L567" s="56"/>
      <c r="M567" s="56"/>
      <c r="N567" s="56"/>
      <c r="O567" s="56"/>
      <c r="P567" s="56"/>
      <c r="Q567" s="56"/>
      <c r="R567" s="2209"/>
      <c r="S567" s="254"/>
    </row>
    <row r="568" spans="1:19">
      <c r="A568" s="254"/>
      <c r="B568" s="56"/>
      <c r="C568" s="56"/>
      <c r="D568" s="56"/>
      <c r="E568" s="56"/>
      <c r="F568" s="56"/>
      <c r="G568" s="56"/>
      <c r="H568" s="56"/>
      <c r="I568" s="56"/>
      <c r="J568" s="56"/>
      <c r="K568" s="56"/>
      <c r="L568" s="56"/>
      <c r="M568" s="56"/>
      <c r="N568" s="56"/>
      <c r="O568" s="56"/>
      <c r="P568" s="56"/>
      <c r="Q568" s="56"/>
      <c r="R568" s="2209"/>
      <c r="S568" s="254"/>
    </row>
    <row r="569" spans="1:19">
      <c r="A569" s="254"/>
      <c r="B569" s="56"/>
      <c r="C569" s="56"/>
      <c r="D569" s="56"/>
      <c r="E569" s="56"/>
      <c r="F569" s="56"/>
      <c r="G569" s="56"/>
      <c r="H569" s="56"/>
      <c r="I569" s="56"/>
      <c r="J569" s="56"/>
      <c r="K569" s="56"/>
      <c r="L569" s="56"/>
      <c r="M569" s="56"/>
      <c r="N569" s="56"/>
      <c r="O569" s="56"/>
      <c r="P569" s="56"/>
      <c r="Q569" s="56"/>
      <c r="R569" s="2209"/>
      <c r="S569" s="254"/>
    </row>
    <row r="570" spans="1:19">
      <c r="A570" s="254"/>
      <c r="B570" s="56"/>
      <c r="C570" s="56"/>
      <c r="D570" s="56"/>
      <c r="E570" s="56"/>
      <c r="F570" s="56"/>
      <c r="G570" s="56"/>
      <c r="H570" s="56"/>
      <c r="I570" s="56"/>
      <c r="J570" s="56"/>
      <c r="K570" s="56"/>
      <c r="L570" s="56"/>
      <c r="M570" s="56"/>
      <c r="N570" s="56"/>
      <c r="O570" s="56"/>
      <c r="P570" s="56"/>
      <c r="Q570" s="56"/>
      <c r="R570" s="2209"/>
      <c r="S570" s="254"/>
    </row>
    <row r="571" spans="1:19">
      <c r="A571" s="254"/>
      <c r="B571" s="56"/>
      <c r="C571" s="56"/>
      <c r="D571" s="56"/>
      <c r="E571" s="56"/>
      <c r="F571" s="56"/>
      <c r="G571" s="56"/>
      <c r="H571" s="56"/>
      <c r="I571" s="56"/>
      <c r="J571" s="56"/>
      <c r="K571" s="56"/>
      <c r="L571" s="56"/>
      <c r="M571" s="56"/>
      <c r="N571" s="56"/>
      <c r="O571" s="56"/>
      <c r="P571" s="56"/>
      <c r="Q571" s="56"/>
      <c r="R571" s="2209"/>
      <c r="S571" s="254"/>
    </row>
    <row r="572" spans="1:19">
      <c r="A572" s="254"/>
      <c r="B572" s="56"/>
      <c r="C572" s="56"/>
      <c r="D572" s="56"/>
      <c r="E572" s="56"/>
      <c r="F572" s="56"/>
      <c r="G572" s="56"/>
      <c r="H572" s="56"/>
      <c r="I572" s="56"/>
      <c r="J572" s="56"/>
      <c r="K572" s="56"/>
      <c r="L572" s="56"/>
      <c r="M572" s="56"/>
      <c r="N572" s="56"/>
      <c r="O572" s="56"/>
      <c r="P572" s="56"/>
      <c r="Q572" s="56"/>
      <c r="R572" s="2209"/>
      <c r="S572" s="254"/>
    </row>
    <row r="573" spans="1:19">
      <c r="A573" s="254"/>
      <c r="B573" s="56"/>
      <c r="C573" s="56"/>
      <c r="D573" s="56"/>
      <c r="E573" s="56"/>
      <c r="F573" s="56"/>
      <c r="G573" s="56"/>
      <c r="H573" s="56"/>
      <c r="I573" s="56"/>
      <c r="J573" s="56"/>
      <c r="K573" s="56"/>
      <c r="L573" s="56"/>
      <c r="M573" s="56"/>
      <c r="N573" s="56"/>
      <c r="O573" s="56"/>
      <c r="P573" s="56"/>
      <c r="Q573" s="56"/>
      <c r="R573" s="2209"/>
      <c r="S573" s="254"/>
    </row>
    <row r="574" spans="1:19">
      <c r="A574" s="254"/>
      <c r="B574" s="56"/>
      <c r="C574" s="56"/>
      <c r="D574" s="56"/>
      <c r="E574" s="56"/>
      <c r="F574" s="56"/>
      <c r="G574" s="56"/>
      <c r="H574" s="56"/>
      <c r="I574" s="56"/>
      <c r="J574" s="56"/>
      <c r="K574" s="56"/>
      <c r="L574" s="56"/>
      <c r="M574" s="56"/>
      <c r="N574" s="56"/>
      <c r="O574" s="56"/>
      <c r="P574" s="56"/>
      <c r="Q574" s="56"/>
      <c r="R574" s="2209"/>
      <c r="S574" s="254"/>
    </row>
    <row r="575" spans="1:19">
      <c r="A575" s="254"/>
      <c r="B575" s="56"/>
      <c r="C575" s="56"/>
      <c r="D575" s="56"/>
      <c r="E575" s="56"/>
      <c r="F575" s="56"/>
      <c r="G575" s="56"/>
      <c r="H575" s="56"/>
      <c r="I575" s="56"/>
      <c r="J575" s="56"/>
      <c r="K575" s="56"/>
      <c r="L575" s="56"/>
      <c r="M575" s="56"/>
      <c r="N575" s="56"/>
      <c r="O575" s="56"/>
      <c r="P575" s="56"/>
      <c r="Q575" s="56"/>
      <c r="R575" s="2209"/>
      <c r="S575" s="254"/>
    </row>
    <row r="576" spans="1:19">
      <c r="A576" s="254"/>
      <c r="B576" s="56"/>
      <c r="C576" s="56"/>
      <c r="D576" s="56"/>
      <c r="E576" s="56"/>
      <c r="F576" s="56"/>
      <c r="G576" s="56"/>
      <c r="H576" s="56"/>
      <c r="I576" s="56"/>
      <c r="J576" s="56"/>
      <c r="K576" s="56"/>
      <c r="L576" s="56"/>
      <c r="M576" s="56"/>
      <c r="N576" s="56"/>
      <c r="O576" s="56"/>
      <c r="P576" s="56"/>
      <c r="Q576" s="56"/>
      <c r="R576" s="2209"/>
      <c r="S576" s="254"/>
    </row>
    <row r="577" spans="1:19">
      <c r="A577" s="254"/>
      <c r="B577" s="56"/>
      <c r="C577" s="56"/>
      <c r="D577" s="56"/>
      <c r="E577" s="56"/>
      <c r="F577" s="56"/>
      <c r="G577" s="56"/>
      <c r="H577" s="56"/>
      <c r="I577" s="56"/>
      <c r="J577" s="56"/>
      <c r="K577" s="56"/>
      <c r="L577" s="56"/>
      <c r="M577" s="56"/>
      <c r="N577" s="56"/>
      <c r="O577" s="56"/>
      <c r="P577" s="56"/>
      <c r="Q577" s="56"/>
      <c r="R577" s="2209"/>
      <c r="S577" s="254"/>
    </row>
    <row r="578" spans="1:19">
      <c r="A578" s="254"/>
      <c r="B578" s="56"/>
      <c r="C578" s="56"/>
      <c r="D578" s="56"/>
      <c r="E578" s="56"/>
      <c r="F578" s="56"/>
      <c r="G578" s="56"/>
      <c r="H578" s="56"/>
      <c r="I578" s="56"/>
      <c r="J578" s="56"/>
      <c r="K578" s="56"/>
      <c r="L578" s="56"/>
      <c r="M578" s="56"/>
      <c r="N578" s="56"/>
      <c r="O578" s="56"/>
      <c r="P578" s="56"/>
      <c r="Q578" s="56"/>
      <c r="R578" s="2209"/>
      <c r="S578" s="254"/>
    </row>
    <row r="579" spans="1:19">
      <c r="A579" s="254"/>
      <c r="B579" s="56"/>
      <c r="C579" s="56"/>
      <c r="D579" s="56"/>
      <c r="E579" s="56"/>
      <c r="F579" s="56"/>
      <c r="G579" s="56"/>
      <c r="H579" s="56"/>
      <c r="I579" s="56"/>
      <c r="J579" s="56"/>
      <c r="K579" s="56"/>
      <c r="L579" s="56"/>
      <c r="M579" s="56"/>
      <c r="N579" s="56"/>
      <c r="O579" s="56"/>
      <c r="P579" s="56"/>
      <c r="Q579" s="56"/>
      <c r="R579" s="2209"/>
      <c r="S579" s="254"/>
    </row>
    <row r="580" spans="1:19">
      <c r="A580" s="254"/>
      <c r="B580" s="56"/>
      <c r="C580" s="56"/>
      <c r="D580" s="56"/>
      <c r="E580" s="56"/>
      <c r="F580" s="56"/>
      <c r="G580" s="56"/>
      <c r="H580" s="56"/>
      <c r="I580" s="56"/>
      <c r="J580" s="56"/>
      <c r="K580" s="56"/>
      <c r="L580" s="56"/>
      <c r="M580" s="56"/>
      <c r="N580" s="56"/>
      <c r="O580" s="56"/>
      <c r="P580" s="56"/>
      <c r="Q580" s="56"/>
      <c r="R580" s="2209"/>
      <c r="S580" s="254"/>
    </row>
    <row r="581" spans="1:19">
      <c r="A581" s="254"/>
      <c r="B581" s="56"/>
      <c r="C581" s="56"/>
      <c r="D581" s="56"/>
      <c r="E581" s="56"/>
      <c r="F581" s="56"/>
      <c r="G581" s="56"/>
      <c r="H581" s="56"/>
      <c r="I581" s="56"/>
      <c r="J581" s="56"/>
      <c r="K581" s="56"/>
      <c r="L581" s="56"/>
      <c r="M581" s="56"/>
      <c r="N581" s="56"/>
      <c r="O581" s="56"/>
      <c r="P581" s="56"/>
      <c r="Q581" s="56"/>
      <c r="R581" s="2209"/>
      <c r="S581" s="254"/>
    </row>
    <row r="582" spans="1:19">
      <c r="A582" s="254"/>
      <c r="B582" s="56"/>
      <c r="C582" s="56"/>
      <c r="D582" s="56"/>
      <c r="E582" s="56"/>
      <c r="F582" s="56"/>
      <c r="G582" s="56"/>
      <c r="H582" s="56"/>
      <c r="I582" s="56"/>
      <c r="J582" s="56"/>
      <c r="K582" s="56"/>
      <c r="L582" s="56"/>
      <c r="M582" s="56"/>
      <c r="N582" s="56"/>
      <c r="O582" s="56"/>
      <c r="P582" s="56"/>
      <c r="Q582" s="56"/>
      <c r="R582" s="2209"/>
      <c r="S582" s="254"/>
    </row>
    <row r="583" spans="1:19">
      <c r="A583" s="254"/>
      <c r="B583" s="56"/>
      <c r="C583" s="56"/>
      <c r="D583" s="56"/>
      <c r="E583" s="56"/>
      <c r="F583" s="56"/>
      <c r="G583" s="56"/>
      <c r="H583" s="56"/>
      <c r="I583" s="56"/>
      <c r="J583" s="56"/>
      <c r="K583" s="56"/>
      <c r="L583" s="56"/>
      <c r="M583" s="56"/>
      <c r="N583" s="56"/>
      <c r="O583" s="56"/>
      <c r="P583" s="56"/>
      <c r="Q583" s="56"/>
      <c r="R583" s="2209"/>
      <c r="S583" s="254"/>
    </row>
    <row r="584" spans="1:19">
      <c r="A584" s="254"/>
      <c r="B584" s="56"/>
      <c r="C584" s="56"/>
      <c r="D584" s="56"/>
      <c r="E584" s="56"/>
      <c r="F584" s="56"/>
      <c r="G584" s="56"/>
      <c r="H584" s="56"/>
      <c r="I584" s="56"/>
      <c r="J584" s="56"/>
      <c r="K584" s="56"/>
      <c r="L584" s="56"/>
      <c r="M584" s="56"/>
      <c r="N584" s="56"/>
      <c r="O584" s="56"/>
      <c r="P584" s="56"/>
      <c r="Q584" s="56"/>
      <c r="R584" s="2209"/>
      <c r="S584" s="254"/>
    </row>
    <row r="585" spans="1:19">
      <c r="A585" s="254"/>
      <c r="B585" s="56"/>
      <c r="C585" s="56"/>
      <c r="D585" s="56"/>
      <c r="E585" s="56"/>
      <c r="F585" s="56"/>
      <c r="G585" s="56"/>
      <c r="H585" s="56"/>
      <c r="I585" s="56"/>
      <c r="J585" s="56"/>
      <c r="K585" s="56"/>
      <c r="L585" s="56"/>
      <c r="M585" s="56"/>
      <c r="N585" s="56"/>
      <c r="O585" s="56"/>
      <c r="P585" s="56"/>
      <c r="Q585" s="56"/>
      <c r="R585" s="2209"/>
      <c r="S585" s="254"/>
    </row>
    <row r="586" spans="1:19">
      <c r="A586" s="254"/>
      <c r="B586" s="56"/>
      <c r="C586" s="56"/>
      <c r="D586" s="56"/>
      <c r="E586" s="56"/>
      <c r="F586" s="56"/>
      <c r="G586" s="56"/>
      <c r="H586" s="56"/>
      <c r="I586" s="56"/>
      <c r="J586" s="56"/>
      <c r="K586" s="56"/>
      <c r="L586" s="56"/>
      <c r="M586" s="56"/>
      <c r="N586" s="56"/>
      <c r="O586" s="56"/>
      <c r="P586" s="56"/>
      <c r="Q586" s="56"/>
      <c r="R586" s="2209"/>
      <c r="S586" s="254"/>
    </row>
    <row r="587" spans="1:19">
      <c r="A587" s="254"/>
      <c r="B587" s="56"/>
      <c r="C587" s="56"/>
      <c r="D587" s="56"/>
      <c r="E587" s="56"/>
      <c r="F587" s="56"/>
      <c r="G587" s="56"/>
      <c r="H587" s="56"/>
      <c r="I587" s="56"/>
      <c r="J587" s="56"/>
      <c r="K587" s="56"/>
      <c r="L587" s="56"/>
      <c r="M587" s="56"/>
      <c r="N587" s="56"/>
      <c r="O587" s="56"/>
      <c r="P587" s="56"/>
      <c r="Q587" s="56"/>
      <c r="R587" s="2209"/>
      <c r="S587" s="254"/>
    </row>
    <row r="588" spans="1:19">
      <c r="A588" s="254"/>
      <c r="B588" s="56"/>
      <c r="C588" s="56"/>
      <c r="D588" s="56"/>
      <c r="E588" s="56"/>
      <c r="F588" s="56"/>
      <c r="G588" s="56"/>
      <c r="H588" s="56"/>
      <c r="I588" s="56"/>
      <c r="J588" s="56"/>
      <c r="K588" s="56"/>
      <c r="L588" s="56"/>
      <c r="M588" s="56"/>
      <c r="N588" s="56"/>
      <c r="O588" s="56"/>
      <c r="P588" s="56"/>
      <c r="Q588" s="56"/>
      <c r="R588" s="2209"/>
      <c r="S588" s="254"/>
    </row>
    <row r="589" spans="1:19">
      <c r="A589" s="254"/>
      <c r="B589" s="56"/>
      <c r="C589" s="56"/>
      <c r="D589" s="56"/>
      <c r="E589" s="56"/>
      <c r="F589" s="56"/>
      <c r="G589" s="56"/>
      <c r="H589" s="56"/>
      <c r="I589" s="56"/>
      <c r="J589" s="56"/>
      <c r="K589" s="56"/>
      <c r="L589" s="56"/>
      <c r="M589" s="56"/>
      <c r="N589" s="56"/>
      <c r="O589" s="56"/>
      <c r="P589" s="56"/>
      <c r="Q589" s="56"/>
      <c r="R589" s="2209"/>
      <c r="S589" s="254"/>
    </row>
    <row r="590" spans="1:19">
      <c r="A590" s="254"/>
      <c r="B590" s="56"/>
      <c r="C590" s="56"/>
      <c r="D590" s="56"/>
      <c r="E590" s="56"/>
      <c r="F590" s="56"/>
      <c r="G590" s="56"/>
      <c r="H590" s="56"/>
      <c r="I590" s="56"/>
      <c r="J590" s="56"/>
      <c r="K590" s="56"/>
      <c r="L590" s="56"/>
      <c r="M590" s="56"/>
      <c r="N590" s="56"/>
      <c r="O590" s="56"/>
      <c r="P590" s="56"/>
      <c r="Q590" s="56"/>
      <c r="R590" s="2209"/>
      <c r="S590" s="254"/>
    </row>
    <row r="591" spans="1:19">
      <c r="A591" s="254"/>
      <c r="B591" s="56"/>
      <c r="C591" s="56"/>
      <c r="D591" s="56"/>
      <c r="E591" s="56"/>
      <c r="F591" s="56"/>
      <c r="G591" s="56"/>
      <c r="H591" s="56"/>
      <c r="I591" s="56"/>
      <c r="J591" s="56"/>
      <c r="K591" s="56"/>
      <c r="L591" s="56"/>
      <c r="M591" s="56"/>
      <c r="N591" s="56"/>
      <c r="O591" s="56"/>
      <c r="P591" s="56"/>
      <c r="Q591" s="56"/>
      <c r="R591" s="2209"/>
      <c r="S591" s="254"/>
    </row>
    <row r="592" spans="1:19">
      <c r="A592" s="254"/>
      <c r="B592" s="56"/>
      <c r="C592" s="56"/>
      <c r="D592" s="56"/>
      <c r="E592" s="56"/>
      <c r="F592" s="56"/>
      <c r="G592" s="56"/>
      <c r="H592" s="56"/>
      <c r="I592" s="56"/>
      <c r="J592" s="56"/>
      <c r="K592" s="56"/>
      <c r="L592" s="56"/>
      <c r="M592" s="56"/>
      <c r="N592" s="56"/>
      <c r="O592" s="56"/>
      <c r="P592" s="56"/>
      <c r="Q592" s="56"/>
      <c r="R592" s="2209"/>
      <c r="S592" s="254"/>
    </row>
    <row r="593" spans="1:19">
      <c r="A593" s="254"/>
      <c r="B593" s="56"/>
      <c r="C593" s="56"/>
      <c r="D593" s="56"/>
      <c r="E593" s="56"/>
      <c r="F593" s="56"/>
      <c r="G593" s="56"/>
      <c r="H593" s="56"/>
      <c r="I593" s="56"/>
      <c r="J593" s="56"/>
      <c r="K593" s="56"/>
      <c r="L593" s="56"/>
      <c r="M593" s="56"/>
      <c r="N593" s="56"/>
      <c r="O593" s="56"/>
      <c r="P593" s="56"/>
      <c r="Q593" s="56"/>
      <c r="R593" s="2209"/>
      <c r="S593" s="254"/>
    </row>
    <row r="594" spans="1:19">
      <c r="A594" s="254"/>
      <c r="B594" s="56"/>
      <c r="C594" s="56"/>
      <c r="D594" s="56"/>
      <c r="E594" s="56"/>
      <c r="F594" s="56"/>
      <c r="G594" s="56"/>
      <c r="H594" s="56"/>
      <c r="I594" s="56"/>
      <c r="J594" s="56"/>
      <c r="K594" s="56"/>
      <c r="L594" s="56"/>
      <c r="M594" s="56"/>
      <c r="N594" s="56"/>
      <c r="O594" s="56"/>
      <c r="P594" s="56"/>
      <c r="Q594" s="56"/>
      <c r="R594" s="2209"/>
      <c r="S594" s="254"/>
    </row>
    <row r="595" spans="1:19">
      <c r="A595" s="254"/>
      <c r="B595" s="56"/>
      <c r="C595" s="56"/>
      <c r="D595" s="56"/>
      <c r="E595" s="56"/>
      <c r="F595" s="56"/>
      <c r="G595" s="56"/>
      <c r="H595" s="56"/>
      <c r="I595" s="56"/>
      <c r="J595" s="56"/>
      <c r="K595" s="56"/>
      <c r="L595" s="56"/>
      <c r="M595" s="56"/>
      <c r="N595" s="56"/>
      <c r="O595" s="56"/>
      <c r="P595" s="56"/>
      <c r="Q595" s="56"/>
      <c r="R595" s="2209"/>
      <c r="S595" s="254"/>
    </row>
    <row r="596" spans="1:19">
      <c r="A596" s="254"/>
      <c r="B596" s="56"/>
      <c r="C596" s="56"/>
      <c r="D596" s="56"/>
      <c r="E596" s="56"/>
      <c r="F596" s="56"/>
      <c r="G596" s="56"/>
      <c r="H596" s="56"/>
      <c r="I596" s="56"/>
      <c r="J596" s="56"/>
      <c r="K596" s="56"/>
      <c r="L596" s="56"/>
      <c r="M596" s="56"/>
      <c r="N596" s="56"/>
      <c r="O596" s="56"/>
      <c r="P596" s="56"/>
      <c r="Q596" s="56"/>
      <c r="R596" s="2209"/>
      <c r="S596" s="254"/>
    </row>
    <row r="597" spans="1:19">
      <c r="A597" s="254"/>
      <c r="B597" s="56"/>
      <c r="C597" s="56"/>
      <c r="D597" s="56"/>
      <c r="E597" s="56"/>
      <c r="F597" s="56"/>
      <c r="G597" s="56"/>
      <c r="H597" s="56"/>
      <c r="I597" s="56"/>
      <c r="J597" s="56"/>
      <c r="K597" s="56"/>
      <c r="L597" s="56"/>
      <c r="M597" s="56"/>
      <c r="N597" s="56"/>
      <c r="O597" s="56"/>
      <c r="P597" s="56"/>
      <c r="Q597" s="56"/>
      <c r="R597" s="2209"/>
      <c r="S597" s="254"/>
    </row>
    <row r="598" spans="1:19">
      <c r="A598" s="254"/>
      <c r="B598" s="56"/>
      <c r="C598" s="56"/>
      <c r="D598" s="56"/>
      <c r="E598" s="56"/>
      <c r="F598" s="56"/>
      <c r="G598" s="56"/>
      <c r="H598" s="56"/>
      <c r="I598" s="56"/>
      <c r="J598" s="56"/>
      <c r="K598" s="56"/>
      <c r="L598" s="56"/>
      <c r="M598" s="56"/>
      <c r="N598" s="56"/>
      <c r="O598" s="56"/>
      <c r="P598" s="56"/>
      <c r="Q598" s="56"/>
      <c r="R598" s="2209"/>
      <c r="S598" s="254"/>
    </row>
    <row r="599" spans="1:19">
      <c r="A599" s="254"/>
      <c r="B599" s="56"/>
      <c r="C599" s="56"/>
      <c r="D599" s="56"/>
      <c r="E599" s="56"/>
      <c r="F599" s="56"/>
      <c r="G599" s="56"/>
      <c r="H599" s="56"/>
      <c r="I599" s="56"/>
      <c r="J599" s="56"/>
      <c r="K599" s="56"/>
      <c r="L599" s="56"/>
      <c r="M599" s="56"/>
      <c r="N599" s="56"/>
      <c r="O599" s="56"/>
      <c r="P599" s="56"/>
      <c r="Q599" s="56"/>
      <c r="R599" s="2209"/>
      <c r="S599" s="254"/>
    </row>
    <row r="600" spans="1:19">
      <c r="A600" s="254"/>
      <c r="B600" s="56"/>
      <c r="C600" s="56"/>
      <c r="D600" s="56"/>
      <c r="E600" s="56"/>
      <c r="F600" s="56"/>
      <c r="G600" s="56"/>
      <c r="H600" s="56"/>
      <c r="I600" s="56"/>
      <c r="J600" s="56"/>
      <c r="K600" s="56"/>
      <c r="L600" s="56"/>
      <c r="M600" s="56"/>
      <c r="N600" s="56"/>
      <c r="O600" s="56"/>
      <c r="P600" s="56"/>
      <c r="Q600" s="56"/>
      <c r="R600" s="2209"/>
      <c r="S600" s="254"/>
    </row>
    <row r="601" spans="1:19">
      <c r="A601" s="254"/>
      <c r="B601" s="56"/>
      <c r="C601" s="56"/>
      <c r="D601" s="56"/>
      <c r="E601" s="56"/>
      <c r="F601" s="56"/>
      <c r="G601" s="56"/>
      <c r="H601" s="56"/>
      <c r="I601" s="56"/>
      <c r="J601" s="56"/>
      <c r="K601" s="56"/>
      <c r="L601" s="56"/>
      <c r="M601" s="56"/>
      <c r="N601" s="56"/>
      <c r="O601" s="56"/>
      <c r="P601" s="56"/>
      <c r="Q601" s="56"/>
      <c r="R601" s="2209"/>
      <c r="S601" s="254"/>
    </row>
    <row r="602" spans="1:19">
      <c r="A602" s="254"/>
      <c r="B602" s="56"/>
      <c r="C602" s="56"/>
      <c r="D602" s="56"/>
      <c r="E602" s="56"/>
      <c r="F602" s="56"/>
      <c r="G602" s="56"/>
      <c r="H602" s="56"/>
      <c r="I602" s="56"/>
      <c r="J602" s="56"/>
      <c r="K602" s="56"/>
      <c r="L602" s="56"/>
      <c r="M602" s="56"/>
      <c r="N602" s="56"/>
      <c r="O602" s="56"/>
      <c r="P602" s="56"/>
      <c r="Q602" s="56"/>
      <c r="R602" s="2209"/>
      <c r="S602" s="254"/>
    </row>
    <row r="603" spans="1:19">
      <c r="A603" s="254"/>
      <c r="B603" s="56"/>
      <c r="C603" s="56"/>
      <c r="D603" s="56"/>
      <c r="E603" s="56"/>
      <c r="F603" s="56"/>
      <c r="G603" s="56"/>
      <c r="H603" s="56"/>
      <c r="I603" s="56"/>
      <c r="J603" s="56"/>
      <c r="K603" s="56"/>
      <c r="L603" s="56"/>
      <c r="M603" s="56"/>
      <c r="N603" s="56"/>
      <c r="O603" s="56"/>
      <c r="P603" s="56"/>
      <c r="Q603" s="56"/>
      <c r="R603" s="2209"/>
      <c r="S603" s="254"/>
    </row>
    <row r="604" spans="1:19">
      <c r="A604" s="254"/>
      <c r="B604" s="56"/>
      <c r="C604" s="56"/>
      <c r="D604" s="56"/>
      <c r="E604" s="56"/>
      <c r="F604" s="56"/>
      <c r="G604" s="56"/>
      <c r="H604" s="56"/>
      <c r="I604" s="56"/>
      <c r="J604" s="56"/>
      <c r="K604" s="56"/>
      <c r="L604" s="56"/>
      <c r="M604" s="56"/>
      <c r="N604" s="56"/>
      <c r="O604" s="56"/>
      <c r="P604" s="56"/>
      <c r="Q604" s="56"/>
      <c r="R604" s="2209"/>
      <c r="S604" s="254"/>
    </row>
    <row r="605" spans="1:19">
      <c r="A605" s="254"/>
      <c r="B605" s="56"/>
      <c r="C605" s="56"/>
      <c r="D605" s="56"/>
      <c r="E605" s="56"/>
      <c r="F605" s="56"/>
      <c r="G605" s="56"/>
      <c r="H605" s="56"/>
      <c r="I605" s="56"/>
      <c r="J605" s="56"/>
      <c r="K605" s="56"/>
      <c r="L605" s="56"/>
      <c r="M605" s="56"/>
      <c r="N605" s="56"/>
      <c r="O605" s="56"/>
      <c r="P605" s="56"/>
      <c r="Q605" s="56"/>
      <c r="R605" s="2209"/>
      <c r="S605" s="254"/>
    </row>
    <row r="606" spans="1:19">
      <c r="A606" s="254"/>
      <c r="B606" s="56"/>
      <c r="C606" s="56"/>
      <c r="D606" s="56"/>
      <c r="E606" s="56"/>
      <c r="F606" s="56"/>
      <c r="G606" s="56"/>
      <c r="H606" s="56"/>
      <c r="I606" s="56"/>
      <c r="J606" s="56"/>
      <c r="K606" s="56"/>
      <c r="L606" s="56"/>
      <c r="M606" s="56"/>
      <c r="N606" s="56"/>
      <c r="O606" s="56"/>
      <c r="P606" s="56"/>
      <c r="Q606" s="56"/>
      <c r="R606" s="2209"/>
      <c r="S606" s="254"/>
    </row>
    <row r="607" spans="1:19">
      <c r="A607" s="254"/>
      <c r="B607" s="56"/>
      <c r="C607" s="56"/>
      <c r="D607" s="56"/>
      <c r="E607" s="56"/>
      <c r="F607" s="56"/>
      <c r="G607" s="56"/>
      <c r="H607" s="56"/>
      <c r="I607" s="56"/>
      <c r="J607" s="56"/>
      <c r="K607" s="56"/>
      <c r="L607" s="56"/>
      <c r="M607" s="56"/>
      <c r="N607" s="56"/>
      <c r="O607" s="56"/>
      <c r="P607" s="56"/>
      <c r="Q607" s="56"/>
      <c r="R607" s="2209"/>
      <c r="S607" s="254"/>
    </row>
    <row r="608" spans="1:19">
      <c r="A608" s="254"/>
      <c r="B608" s="56"/>
      <c r="C608" s="56"/>
      <c r="D608" s="56"/>
      <c r="E608" s="56"/>
      <c r="F608" s="56"/>
      <c r="G608" s="56"/>
      <c r="H608" s="56"/>
      <c r="I608" s="56"/>
      <c r="J608" s="56"/>
      <c r="K608" s="56"/>
      <c r="L608" s="56"/>
      <c r="M608" s="56"/>
      <c r="N608" s="56"/>
      <c r="O608" s="56"/>
      <c r="P608" s="56"/>
      <c r="Q608" s="56"/>
      <c r="R608" s="2209"/>
      <c r="S608" s="254"/>
    </row>
    <row r="609" spans="1:19">
      <c r="A609" s="254"/>
      <c r="B609" s="56"/>
      <c r="C609" s="56"/>
      <c r="D609" s="56"/>
      <c r="E609" s="56"/>
      <c r="F609" s="56"/>
      <c r="G609" s="56"/>
      <c r="H609" s="56"/>
      <c r="I609" s="56"/>
      <c r="J609" s="56"/>
      <c r="K609" s="56"/>
      <c r="L609" s="56"/>
      <c r="M609" s="56"/>
      <c r="N609" s="56"/>
      <c r="O609" s="56"/>
      <c r="P609" s="56"/>
      <c r="Q609" s="56"/>
      <c r="R609" s="2209"/>
      <c r="S609" s="254"/>
    </row>
    <row r="610" spans="1:19">
      <c r="A610" s="254"/>
      <c r="B610" s="56"/>
      <c r="C610" s="56"/>
      <c r="D610" s="56"/>
      <c r="E610" s="56"/>
      <c r="F610" s="56"/>
      <c r="G610" s="56"/>
      <c r="H610" s="56"/>
      <c r="I610" s="56"/>
      <c r="J610" s="56"/>
      <c r="K610" s="56"/>
      <c r="L610" s="56"/>
      <c r="M610" s="56"/>
      <c r="N610" s="56"/>
      <c r="O610" s="56"/>
      <c r="P610" s="56"/>
      <c r="Q610" s="56"/>
      <c r="R610" s="2209"/>
      <c r="S610" s="254"/>
    </row>
    <row r="611" spans="1:19">
      <c r="A611" s="254"/>
      <c r="B611" s="56"/>
      <c r="C611" s="56"/>
      <c r="D611" s="56"/>
      <c r="E611" s="56"/>
      <c r="F611" s="56"/>
      <c r="G611" s="56"/>
      <c r="H611" s="56"/>
      <c r="I611" s="56"/>
      <c r="J611" s="56"/>
      <c r="K611" s="56"/>
      <c r="L611" s="56"/>
      <c r="M611" s="56"/>
      <c r="N611" s="56"/>
      <c r="O611" s="56"/>
      <c r="P611" s="56"/>
      <c r="Q611" s="56"/>
      <c r="R611" s="2209"/>
      <c r="S611" s="254"/>
    </row>
    <row r="612" spans="1:19">
      <c r="A612" s="254"/>
      <c r="B612" s="56"/>
      <c r="C612" s="56"/>
      <c r="D612" s="56"/>
      <c r="E612" s="56"/>
      <c r="F612" s="56"/>
      <c r="G612" s="56"/>
      <c r="H612" s="56"/>
      <c r="I612" s="56"/>
      <c r="J612" s="56"/>
      <c r="K612" s="56"/>
      <c r="L612" s="56"/>
      <c r="M612" s="56"/>
      <c r="N612" s="56"/>
      <c r="O612" s="56"/>
      <c r="P612" s="56"/>
      <c r="Q612" s="56"/>
      <c r="R612" s="2209"/>
      <c r="S612" s="254"/>
    </row>
    <row r="613" spans="1:19">
      <c r="A613" s="254"/>
      <c r="B613" s="56"/>
      <c r="C613" s="56"/>
      <c r="D613" s="56"/>
      <c r="E613" s="56"/>
      <c r="F613" s="56"/>
      <c r="G613" s="56"/>
      <c r="H613" s="56"/>
      <c r="I613" s="56"/>
      <c r="J613" s="56"/>
      <c r="K613" s="56"/>
      <c r="L613" s="56"/>
      <c r="M613" s="56"/>
      <c r="N613" s="56"/>
      <c r="O613" s="56"/>
      <c r="P613" s="56"/>
      <c r="Q613" s="56"/>
      <c r="R613" s="2209"/>
      <c r="S613" s="254"/>
    </row>
    <row r="614" spans="1:19">
      <c r="A614" s="254"/>
      <c r="B614" s="56"/>
      <c r="C614" s="56"/>
      <c r="D614" s="56"/>
      <c r="E614" s="56"/>
      <c r="F614" s="56"/>
      <c r="G614" s="56"/>
      <c r="H614" s="56"/>
      <c r="I614" s="56"/>
      <c r="J614" s="56"/>
      <c r="K614" s="56"/>
      <c r="L614" s="56"/>
      <c r="M614" s="56"/>
      <c r="N614" s="56"/>
      <c r="O614" s="56"/>
      <c r="P614" s="56"/>
      <c r="Q614" s="56"/>
      <c r="R614" s="2209"/>
      <c r="S614" s="254"/>
    </row>
    <row r="615" spans="1:19">
      <c r="A615" s="254"/>
      <c r="B615" s="56"/>
      <c r="C615" s="56"/>
      <c r="D615" s="56"/>
      <c r="E615" s="56"/>
      <c r="F615" s="56"/>
      <c r="G615" s="56"/>
      <c r="H615" s="56"/>
      <c r="I615" s="56"/>
      <c r="J615" s="56"/>
      <c r="K615" s="56"/>
      <c r="L615" s="56"/>
      <c r="M615" s="56"/>
      <c r="N615" s="56"/>
      <c r="O615" s="56"/>
      <c r="P615" s="56"/>
      <c r="Q615" s="56"/>
      <c r="R615" s="2209"/>
      <c r="S615" s="254"/>
    </row>
    <row r="616" spans="1:19">
      <c r="A616" s="254"/>
      <c r="B616" s="56"/>
      <c r="C616" s="56"/>
      <c r="D616" s="56"/>
      <c r="E616" s="56"/>
      <c r="F616" s="56"/>
      <c r="G616" s="56"/>
      <c r="H616" s="56"/>
      <c r="I616" s="56"/>
      <c r="J616" s="56"/>
      <c r="K616" s="56"/>
      <c r="L616" s="56"/>
      <c r="M616" s="56"/>
      <c r="N616" s="56"/>
      <c r="O616" s="56"/>
      <c r="P616" s="56"/>
      <c r="Q616" s="56"/>
      <c r="R616" s="2209"/>
      <c r="S616" s="254"/>
    </row>
    <row r="617" spans="1:19">
      <c r="A617" s="254"/>
      <c r="B617" s="56"/>
      <c r="C617" s="56"/>
      <c r="D617" s="56"/>
      <c r="E617" s="56"/>
      <c r="F617" s="56"/>
      <c r="G617" s="56"/>
      <c r="H617" s="56"/>
      <c r="I617" s="56"/>
      <c r="J617" s="56"/>
      <c r="K617" s="56"/>
      <c r="L617" s="56"/>
      <c r="M617" s="56"/>
      <c r="N617" s="56"/>
      <c r="O617" s="56"/>
      <c r="P617" s="56"/>
      <c r="Q617" s="56"/>
      <c r="R617" s="2209"/>
      <c r="S617" s="254"/>
    </row>
    <row r="618" spans="1:19">
      <c r="A618" s="254"/>
      <c r="B618" s="56"/>
      <c r="C618" s="56"/>
      <c r="D618" s="56"/>
      <c r="E618" s="56"/>
      <c r="F618" s="56"/>
      <c r="G618" s="56"/>
      <c r="H618" s="56"/>
      <c r="I618" s="56"/>
      <c r="J618" s="56"/>
      <c r="K618" s="56"/>
      <c r="L618" s="56"/>
      <c r="M618" s="56"/>
      <c r="N618" s="56"/>
      <c r="O618" s="56"/>
      <c r="P618" s="56"/>
      <c r="Q618" s="56"/>
      <c r="R618" s="2209"/>
      <c r="S618" s="254"/>
    </row>
    <row r="619" spans="1:19">
      <c r="A619" s="254"/>
      <c r="B619" s="56"/>
      <c r="C619" s="56"/>
      <c r="D619" s="56"/>
      <c r="E619" s="56"/>
      <c r="F619" s="56"/>
      <c r="G619" s="56"/>
      <c r="H619" s="56"/>
      <c r="I619" s="56"/>
      <c r="J619" s="56"/>
      <c r="K619" s="56"/>
      <c r="L619" s="56"/>
      <c r="M619" s="56"/>
      <c r="N619" s="56"/>
      <c r="O619" s="56"/>
      <c r="P619" s="56"/>
      <c r="Q619" s="56"/>
      <c r="R619" s="2209"/>
      <c r="S619" s="254"/>
    </row>
    <row r="620" spans="1:19">
      <c r="A620" s="254"/>
      <c r="B620" s="56"/>
      <c r="C620" s="56"/>
      <c r="D620" s="56"/>
      <c r="E620" s="56"/>
      <c r="F620" s="56"/>
      <c r="G620" s="56"/>
      <c r="H620" s="56"/>
      <c r="I620" s="56"/>
      <c r="J620" s="56"/>
      <c r="K620" s="56"/>
      <c r="L620" s="56"/>
      <c r="M620" s="56"/>
      <c r="N620" s="56"/>
      <c r="O620" s="56"/>
      <c r="P620" s="56"/>
      <c r="Q620" s="56"/>
      <c r="R620" s="2209"/>
      <c r="S620" s="254"/>
    </row>
    <row r="621" spans="1:19">
      <c r="A621" s="254"/>
      <c r="B621" s="56"/>
      <c r="C621" s="56"/>
      <c r="D621" s="56"/>
      <c r="E621" s="56"/>
      <c r="F621" s="56"/>
      <c r="G621" s="56"/>
      <c r="H621" s="56"/>
      <c r="I621" s="56"/>
      <c r="J621" s="56"/>
      <c r="K621" s="56"/>
      <c r="L621" s="56"/>
      <c r="M621" s="56"/>
      <c r="N621" s="56"/>
      <c r="O621" s="56"/>
      <c r="P621" s="56"/>
      <c r="Q621" s="56"/>
      <c r="R621" s="2209"/>
      <c r="S621" s="254"/>
    </row>
    <row r="622" spans="1:19">
      <c r="A622" s="254"/>
      <c r="B622" s="56"/>
      <c r="C622" s="56"/>
      <c r="D622" s="56"/>
      <c r="E622" s="56"/>
      <c r="F622" s="56"/>
      <c r="G622" s="56"/>
      <c r="H622" s="56"/>
      <c r="I622" s="56"/>
      <c r="J622" s="56"/>
      <c r="K622" s="56"/>
      <c r="L622" s="56"/>
      <c r="M622" s="56"/>
      <c r="N622" s="56"/>
      <c r="O622" s="56"/>
      <c r="P622" s="56"/>
      <c r="Q622" s="56"/>
      <c r="R622" s="2209"/>
      <c r="S622" s="254"/>
    </row>
    <row r="623" spans="1:19">
      <c r="A623" s="254"/>
      <c r="B623" s="56"/>
      <c r="C623" s="56"/>
      <c r="D623" s="56"/>
      <c r="E623" s="56"/>
      <c r="F623" s="56"/>
      <c r="G623" s="56"/>
      <c r="H623" s="56"/>
      <c r="I623" s="56"/>
      <c r="J623" s="56"/>
      <c r="K623" s="56"/>
      <c r="L623" s="56"/>
      <c r="M623" s="56"/>
      <c r="N623" s="56"/>
      <c r="O623" s="56"/>
      <c r="P623" s="56"/>
      <c r="Q623" s="56"/>
      <c r="R623" s="2209"/>
      <c r="S623" s="254"/>
    </row>
    <row r="624" spans="1:19">
      <c r="A624" s="254"/>
      <c r="B624" s="56"/>
      <c r="C624" s="56"/>
      <c r="D624" s="56"/>
      <c r="E624" s="56"/>
      <c r="F624" s="56"/>
      <c r="G624" s="56"/>
      <c r="H624" s="56"/>
      <c r="I624" s="56"/>
      <c r="J624" s="56"/>
      <c r="K624" s="56"/>
      <c r="L624" s="56"/>
      <c r="M624" s="56"/>
      <c r="N624" s="56"/>
      <c r="O624" s="56"/>
      <c r="P624" s="56"/>
      <c r="Q624" s="56"/>
      <c r="R624" s="2209"/>
      <c r="S624" s="254"/>
    </row>
    <row r="625" spans="1:19">
      <c r="A625" s="254"/>
      <c r="B625" s="56"/>
      <c r="C625" s="56"/>
      <c r="D625" s="56"/>
      <c r="E625" s="56"/>
      <c r="F625" s="56"/>
      <c r="G625" s="56"/>
      <c r="H625" s="56"/>
      <c r="I625" s="56"/>
      <c r="J625" s="56"/>
      <c r="K625" s="56"/>
      <c r="L625" s="56"/>
      <c r="M625" s="56"/>
      <c r="N625" s="56"/>
      <c r="O625" s="56"/>
      <c r="P625" s="56"/>
      <c r="Q625" s="56"/>
      <c r="R625" s="2209"/>
      <c r="S625" s="254"/>
    </row>
    <row r="626" spans="1:19">
      <c r="A626" s="254"/>
      <c r="B626" s="56"/>
      <c r="C626" s="56"/>
      <c r="D626" s="56"/>
      <c r="E626" s="56"/>
      <c r="F626" s="56"/>
      <c r="G626" s="56"/>
      <c r="H626" s="56"/>
      <c r="I626" s="56"/>
      <c r="J626" s="56"/>
      <c r="K626" s="56"/>
      <c r="L626" s="56"/>
      <c r="M626" s="56"/>
      <c r="N626" s="56"/>
      <c r="O626" s="56"/>
      <c r="P626" s="56"/>
      <c r="Q626" s="56"/>
      <c r="R626" s="2209"/>
      <c r="S626" s="254"/>
    </row>
    <row r="627" spans="1:19">
      <c r="A627" s="254"/>
      <c r="B627" s="56"/>
      <c r="C627" s="56"/>
      <c r="D627" s="56"/>
      <c r="E627" s="56"/>
      <c r="F627" s="56"/>
      <c r="G627" s="56"/>
      <c r="H627" s="56"/>
      <c r="I627" s="56"/>
      <c r="J627" s="56"/>
      <c r="K627" s="56"/>
      <c r="L627" s="56"/>
      <c r="M627" s="56"/>
      <c r="N627" s="56"/>
      <c r="O627" s="56"/>
      <c r="P627" s="56"/>
      <c r="Q627" s="56"/>
      <c r="R627" s="2209"/>
      <c r="S627" s="254"/>
    </row>
    <row r="628" spans="1:19">
      <c r="A628" s="254"/>
      <c r="B628" s="56"/>
      <c r="C628" s="56"/>
      <c r="D628" s="56"/>
      <c r="E628" s="56"/>
      <c r="F628" s="56"/>
      <c r="G628" s="56"/>
      <c r="H628" s="56"/>
      <c r="I628" s="56"/>
      <c r="J628" s="56"/>
      <c r="K628" s="56"/>
      <c r="L628" s="56"/>
      <c r="M628" s="56"/>
      <c r="N628" s="56"/>
      <c r="O628" s="56"/>
      <c r="P628" s="56"/>
      <c r="Q628" s="56"/>
      <c r="R628" s="2209"/>
      <c r="S628" s="254"/>
    </row>
    <row r="629" spans="1:19">
      <c r="A629" s="254"/>
      <c r="B629" s="56"/>
      <c r="C629" s="56"/>
      <c r="D629" s="56"/>
      <c r="E629" s="56"/>
      <c r="F629" s="56"/>
      <c r="G629" s="56"/>
      <c r="H629" s="56"/>
      <c r="I629" s="56"/>
      <c r="J629" s="56"/>
      <c r="K629" s="56"/>
      <c r="L629" s="56"/>
      <c r="M629" s="56"/>
      <c r="N629" s="56"/>
      <c r="O629" s="56"/>
      <c r="P629" s="56"/>
      <c r="Q629" s="56"/>
      <c r="R629" s="2209"/>
      <c r="S629" s="254"/>
    </row>
    <row r="630" spans="1:19">
      <c r="A630" s="254"/>
      <c r="B630" s="56"/>
      <c r="C630" s="56"/>
      <c r="D630" s="56"/>
      <c r="E630" s="56"/>
      <c r="F630" s="56"/>
      <c r="G630" s="56"/>
      <c r="H630" s="56"/>
      <c r="I630" s="56"/>
      <c r="J630" s="56"/>
      <c r="K630" s="56"/>
      <c r="L630" s="56"/>
      <c r="M630" s="56"/>
      <c r="N630" s="56"/>
      <c r="O630" s="56"/>
      <c r="P630" s="56"/>
      <c r="Q630" s="56"/>
      <c r="R630" s="2209"/>
      <c r="S630" s="254"/>
    </row>
    <row r="631" spans="1:19">
      <c r="A631" s="254"/>
      <c r="B631" s="56"/>
      <c r="C631" s="56"/>
      <c r="D631" s="56"/>
      <c r="E631" s="56"/>
      <c r="F631" s="56"/>
      <c r="G631" s="56"/>
      <c r="H631" s="56"/>
      <c r="I631" s="56"/>
      <c r="J631" s="56"/>
      <c r="K631" s="56"/>
      <c r="L631" s="56"/>
      <c r="M631" s="56"/>
      <c r="N631" s="56"/>
      <c r="O631" s="56"/>
      <c r="P631" s="56"/>
      <c r="Q631" s="56"/>
      <c r="R631" s="2209"/>
      <c r="S631" s="254"/>
    </row>
    <row r="632" spans="1:19">
      <c r="A632" s="254"/>
      <c r="B632" s="56"/>
      <c r="C632" s="56"/>
      <c r="D632" s="56"/>
      <c r="E632" s="56"/>
      <c r="F632" s="56"/>
      <c r="G632" s="56"/>
      <c r="H632" s="56"/>
      <c r="I632" s="56"/>
      <c r="J632" s="56"/>
      <c r="K632" s="56"/>
      <c r="L632" s="56"/>
      <c r="M632" s="56"/>
      <c r="N632" s="56"/>
      <c r="O632" s="56"/>
      <c r="P632" s="56"/>
      <c r="Q632" s="56"/>
      <c r="R632" s="2209"/>
      <c r="S632" s="254"/>
    </row>
    <row r="633" spans="1:19">
      <c r="A633" s="254"/>
      <c r="B633" s="56"/>
      <c r="C633" s="56"/>
      <c r="D633" s="56"/>
      <c r="E633" s="56"/>
      <c r="F633" s="56"/>
      <c r="G633" s="56"/>
      <c r="H633" s="56"/>
      <c r="I633" s="56"/>
      <c r="J633" s="56"/>
      <c r="K633" s="56"/>
      <c r="L633" s="56"/>
      <c r="M633" s="56"/>
      <c r="N633" s="56"/>
      <c r="O633" s="56"/>
      <c r="P633" s="56"/>
      <c r="Q633" s="56"/>
      <c r="R633" s="2209"/>
      <c r="S633" s="254"/>
    </row>
    <row r="634" spans="1:19">
      <c r="A634" s="254"/>
      <c r="B634" s="56"/>
      <c r="C634" s="56"/>
      <c r="D634" s="56"/>
      <c r="E634" s="56"/>
      <c r="F634" s="56"/>
      <c r="G634" s="56"/>
      <c r="H634" s="56"/>
      <c r="I634" s="56"/>
      <c r="J634" s="56"/>
      <c r="K634" s="56"/>
      <c r="L634" s="56"/>
      <c r="M634" s="56"/>
      <c r="N634" s="56"/>
      <c r="O634" s="56"/>
      <c r="P634" s="56"/>
      <c r="Q634" s="56"/>
      <c r="R634" s="2209"/>
      <c r="S634" s="254"/>
    </row>
    <row r="635" spans="1:19">
      <c r="A635" s="254"/>
      <c r="B635" s="56"/>
      <c r="C635" s="56"/>
      <c r="D635" s="56"/>
      <c r="E635" s="56"/>
      <c r="F635" s="56"/>
      <c r="G635" s="56"/>
      <c r="H635" s="56"/>
      <c r="I635" s="56"/>
      <c r="J635" s="56"/>
      <c r="K635" s="56"/>
      <c r="L635" s="56"/>
      <c r="M635" s="56"/>
      <c r="N635" s="56"/>
      <c r="O635" s="56"/>
      <c r="P635" s="56"/>
      <c r="Q635" s="56"/>
      <c r="R635" s="2209"/>
      <c r="S635" s="254"/>
    </row>
    <row r="636" spans="1:19">
      <c r="A636" s="254"/>
      <c r="B636" s="56"/>
      <c r="C636" s="56"/>
      <c r="D636" s="56"/>
      <c r="E636" s="56"/>
      <c r="F636" s="56"/>
      <c r="G636" s="56"/>
      <c r="H636" s="56"/>
      <c r="I636" s="56"/>
      <c r="J636" s="56"/>
      <c r="K636" s="56"/>
      <c r="L636" s="56"/>
      <c r="M636" s="56"/>
      <c r="N636" s="56"/>
      <c r="O636" s="56"/>
      <c r="P636" s="56"/>
      <c r="Q636" s="56"/>
      <c r="R636" s="2209"/>
      <c r="S636" s="254"/>
    </row>
    <row r="637" spans="1:19">
      <c r="A637" s="254"/>
      <c r="B637" s="56"/>
      <c r="C637" s="56"/>
      <c r="D637" s="56"/>
      <c r="E637" s="56"/>
      <c r="F637" s="56"/>
      <c r="G637" s="56"/>
      <c r="H637" s="56"/>
      <c r="I637" s="56"/>
      <c r="J637" s="56"/>
      <c r="K637" s="56"/>
      <c r="L637" s="56"/>
      <c r="M637" s="56"/>
      <c r="N637" s="56"/>
      <c r="O637" s="56"/>
      <c r="P637" s="56"/>
      <c r="Q637" s="56"/>
      <c r="R637" s="2209"/>
      <c r="S637" s="254"/>
    </row>
    <row r="638" spans="1:19">
      <c r="A638" s="254"/>
      <c r="B638" s="56"/>
      <c r="C638" s="56"/>
      <c r="D638" s="56"/>
      <c r="E638" s="56"/>
      <c r="F638" s="56"/>
      <c r="G638" s="56"/>
      <c r="H638" s="56"/>
      <c r="I638" s="56"/>
      <c r="J638" s="56"/>
      <c r="K638" s="56"/>
      <c r="L638" s="56"/>
      <c r="M638" s="56"/>
      <c r="N638" s="56"/>
      <c r="O638" s="56"/>
      <c r="P638" s="56"/>
      <c r="Q638" s="56"/>
      <c r="R638" s="2209"/>
      <c r="S638" s="254"/>
    </row>
    <row r="639" spans="1:19">
      <c r="A639" s="254"/>
      <c r="B639" s="56"/>
      <c r="C639" s="56"/>
      <c r="D639" s="56"/>
      <c r="E639" s="56"/>
      <c r="F639" s="56"/>
      <c r="G639" s="56"/>
      <c r="H639" s="56"/>
      <c r="I639" s="56"/>
      <c r="J639" s="56"/>
      <c r="K639" s="56"/>
      <c r="L639" s="56"/>
      <c r="M639" s="56"/>
      <c r="N639" s="56"/>
      <c r="O639" s="56"/>
      <c r="P639" s="56"/>
      <c r="Q639" s="56"/>
      <c r="R639" s="2209"/>
      <c r="S639" s="254"/>
    </row>
    <row r="640" spans="1:19">
      <c r="A640" s="254"/>
      <c r="B640" s="56"/>
      <c r="C640" s="56"/>
      <c r="D640" s="56"/>
      <c r="E640" s="56"/>
      <c r="F640" s="56"/>
      <c r="G640" s="56"/>
      <c r="H640" s="56"/>
      <c r="I640" s="56"/>
      <c r="J640" s="56"/>
      <c r="K640" s="56"/>
      <c r="L640" s="56"/>
      <c r="M640" s="56"/>
      <c r="N640" s="56"/>
      <c r="O640" s="56"/>
      <c r="P640" s="56"/>
      <c r="Q640" s="56"/>
      <c r="R640" s="2209"/>
      <c r="S640" s="254"/>
    </row>
    <row r="641" spans="1:19">
      <c r="A641" s="254"/>
      <c r="B641" s="56"/>
      <c r="C641" s="56"/>
      <c r="D641" s="56"/>
      <c r="E641" s="56"/>
      <c r="F641" s="56"/>
      <c r="G641" s="56"/>
      <c r="H641" s="56"/>
      <c r="I641" s="56"/>
      <c r="J641" s="56"/>
      <c r="K641" s="56"/>
      <c r="L641" s="56"/>
      <c r="M641" s="56"/>
      <c r="N641" s="56"/>
      <c r="O641" s="56"/>
      <c r="P641" s="56"/>
      <c r="Q641" s="56"/>
      <c r="R641" s="2209"/>
      <c r="S641" s="254"/>
    </row>
    <row r="642" spans="1:19">
      <c r="A642" s="254"/>
      <c r="B642" s="56"/>
      <c r="C642" s="56"/>
      <c r="D642" s="56"/>
      <c r="E642" s="56"/>
      <c r="F642" s="56"/>
      <c r="G642" s="56"/>
      <c r="H642" s="56"/>
      <c r="I642" s="56"/>
      <c r="J642" s="56"/>
      <c r="K642" s="56"/>
      <c r="L642" s="56"/>
      <c r="M642" s="56"/>
      <c r="N642" s="56"/>
      <c r="O642" s="56"/>
      <c r="P642" s="56"/>
      <c r="Q642" s="56"/>
      <c r="R642" s="2209"/>
      <c r="S642" s="254"/>
    </row>
    <row r="643" spans="1:19">
      <c r="A643" s="254"/>
      <c r="B643" s="56"/>
      <c r="C643" s="56"/>
      <c r="D643" s="56"/>
      <c r="E643" s="56"/>
      <c r="F643" s="56"/>
      <c r="G643" s="56"/>
      <c r="H643" s="56"/>
      <c r="I643" s="56"/>
      <c r="J643" s="56"/>
      <c r="K643" s="56"/>
      <c r="L643" s="56"/>
      <c r="M643" s="56"/>
      <c r="N643" s="56"/>
      <c r="O643" s="56"/>
      <c r="P643" s="56"/>
      <c r="Q643" s="56"/>
      <c r="R643" s="2209"/>
      <c r="S643" s="254"/>
    </row>
    <row r="644" spans="1:19">
      <c r="A644" s="254"/>
      <c r="B644" s="56"/>
      <c r="C644" s="56"/>
      <c r="D644" s="56"/>
      <c r="E644" s="56"/>
      <c r="F644" s="56"/>
      <c r="G644" s="56"/>
      <c r="H644" s="56"/>
      <c r="I644" s="56"/>
      <c r="J644" s="56"/>
      <c r="K644" s="56"/>
      <c r="L644" s="56"/>
      <c r="M644" s="56"/>
      <c r="N644" s="56"/>
      <c r="O644" s="56"/>
      <c r="P644" s="56"/>
      <c r="Q644" s="56"/>
      <c r="R644" s="2209"/>
      <c r="S644" s="254"/>
    </row>
    <row r="645" spans="1:19">
      <c r="A645" s="254"/>
      <c r="B645" s="56"/>
      <c r="C645" s="56"/>
      <c r="D645" s="56"/>
      <c r="E645" s="56"/>
      <c r="F645" s="56"/>
      <c r="G645" s="56"/>
      <c r="H645" s="56"/>
      <c r="I645" s="56"/>
      <c r="J645" s="56"/>
      <c r="K645" s="56"/>
      <c r="L645" s="56"/>
      <c r="M645" s="56"/>
      <c r="N645" s="56"/>
      <c r="O645" s="56"/>
      <c r="P645" s="56"/>
      <c r="Q645" s="56"/>
      <c r="R645" s="2209"/>
      <c r="S645" s="254"/>
    </row>
    <row r="646" spans="1:19">
      <c r="A646" s="254"/>
      <c r="B646" s="56"/>
      <c r="C646" s="56"/>
      <c r="D646" s="56"/>
      <c r="E646" s="56"/>
      <c r="F646" s="56"/>
      <c r="G646" s="56"/>
      <c r="H646" s="56"/>
      <c r="I646" s="56"/>
      <c r="J646" s="56"/>
      <c r="K646" s="56"/>
      <c r="L646" s="56"/>
      <c r="M646" s="56"/>
      <c r="N646" s="56"/>
      <c r="O646" s="56"/>
      <c r="P646" s="56"/>
      <c r="Q646" s="56"/>
      <c r="R646" s="2209"/>
      <c r="S646" s="254"/>
    </row>
    <row r="647" spans="1:19">
      <c r="A647" s="254"/>
      <c r="B647" s="56"/>
      <c r="C647" s="56"/>
      <c r="D647" s="56"/>
      <c r="E647" s="56"/>
      <c r="F647" s="56"/>
      <c r="G647" s="56"/>
      <c r="H647" s="56"/>
      <c r="I647" s="56"/>
      <c r="J647" s="56"/>
      <c r="K647" s="56"/>
      <c r="L647" s="56"/>
      <c r="M647" s="56"/>
      <c r="N647" s="56"/>
      <c r="O647" s="56"/>
      <c r="P647" s="56"/>
      <c r="Q647" s="56"/>
      <c r="R647" s="2209"/>
      <c r="S647" s="254"/>
    </row>
    <row r="648" spans="1:19">
      <c r="A648" s="254"/>
      <c r="B648" s="56"/>
      <c r="C648" s="56"/>
      <c r="D648" s="56"/>
      <c r="E648" s="56"/>
      <c r="F648" s="56"/>
      <c r="G648" s="56"/>
      <c r="H648" s="56"/>
      <c r="I648" s="56"/>
      <c r="J648" s="56"/>
      <c r="K648" s="56"/>
      <c r="L648" s="56"/>
      <c r="M648" s="56"/>
      <c r="N648" s="56"/>
      <c r="O648" s="56"/>
      <c r="P648" s="56"/>
      <c r="Q648" s="56"/>
      <c r="R648" s="2209"/>
      <c r="S648" s="254"/>
    </row>
    <row r="649" spans="1:19">
      <c r="A649" s="254"/>
      <c r="B649" s="56"/>
      <c r="C649" s="56"/>
      <c r="D649" s="56"/>
      <c r="E649" s="56"/>
      <c r="F649" s="56"/>
      <c r="G649" s="56"/>
      <c r="H649" s="56"/>
      <c r="I649" s="56"/>
      <c r="J649" s="56"/>
      <c r="K649" s="56"/>
      <c r="L649" s="56"/>
      <c r="M649" s="56"/>
      <c r="N649" s="56"/>
      <c r="O649" s="56"/>
      <c r="P649" s="56"/>
      <c r="Q649" s="56"/>
      <c r="R649" s="2209"/>
      <c r="S649" s="254"/>
    </row>
    <row r="650" spans="1:19">
      <c r="A650" s="254"/>
      <c r="B650" s="56"/>
      <c r="C650" s="56"/>
      <c r="D650" s="56"/>
      <c r="E650" s="56"/>
      <c r="F650" s="56"/>
      <c r="G650" s="56"/>
      <c r="H650" s="56"/>
      <c r="I650" s="56"/>
      <c r="J650" s="56"/>
      <c r="K650" s="56"/>
      <c r="L650" s="56"/>
      <c r="M650" s="56"/>
      <c r="N650" s="56"/>
      <c r="O650" s="56"/>
      <c r="P650" s="56"/>
      <c r="Q650" s="56"/>
      <c r="R650" s="2209"/>
      <c r="S650" s="254"/>
    </row>
    <row r="651" spans="1:19">
      <c r="A651" s="254"/>
      <c r="B651" s="56"/>
      <c r="C651" s="56"/>
      <c r="D651" s="56"/>
      <c r="E651" s="56"/>
      <c r="F651" s="56"/>
      <c r="G651" s="56"/>
      <c r="H651" s="56"/>
      <c r="I651" s="56"/>
      <c r="J651" s="56"/>
      <c r="K651" s="56"/>
      <c r="L651" s="56"/>
      <c r="M651" s="56"/>
      <c r="N651" s="56"/>
      <c r="O651" s="56"/>
      <c r="P651" s="56"/>
      <c r="Q651" s="56"/>
      <c r="R651" s="2209"/>
      <c r="S651" s="254"/>
    </row>
    <row r="652" spans="1:19">
      <c r="A652" s="254"/>
      <c r="B652" s="56"/>
      <c r="C652" s="56"/>
      <c r="D652" s="56"/>
      <c r="E652" s="56"/>
      <c r="F652" s="56"/>
      <c r="G652" s="56"/>
      <c r="H652" s="56"/>
      <c r="I652" s="56"/>
      <c r="J652" s="56"/>
      <c r="K652" s="56"/>
      <c r="L652" s="56"/>
      <c r="M652" s="56"/>
      <c r="N652" s="56"/>
      <c r="O652" s="56"/>
      <c r="P652" s="56"/>
      <c r="Q652" s="56"/>
      <c r="R652" s="2209"/>
      <c r="S652" s="254"/>
    </row>
    <row r="653" spans="1:19">
      <c r="A653" s="254"/>
      <c r="B653" s="56"/>
      <c r="C653" s="56"/>
      <c r="D653" s="56"/>
      <c r="E653" s="56"/>
      <c r="F653" s="56"/>
      <c r="G653" s="56"/>
      <c r="H653" s="56"/>
      <c r="I653" s="56"/>
      <c r="J653" s="56"/>
      <c r="K653" s="56"/>
      <c r="L653" s="56"/>
      <c r="M653" s="56"/>
      <c r="N653" s="56"/>
      <c r="O653" s="56"/>
      <c r="P653" s="56"/>
      <c r="Q653" s="56"/>
      <c r="R653" s="2209"/>
      <c r="S653" s="254"/>
    </row>
    <row r="654" spans="1:19">
      <c r="A654" s="254"/>
      <c r="B654" s="56"/>
      <c r="C654" s="56"/>
      <c r="D654" s="56"/>
      <c r="E654" s="56"/>
      <c r="F654" s="56"/>
      <c r="G654" s="56"/>
      <c r="H654" s="56"/>
      <c r="I654" s="56"/>
      <c r="J654" s="56"/>
      <c r="K654" s="56"/>
      <c r="L654" s="56"/>
      <c r="M654" s="56"/>
      <c r="N654" s="56"/>
      <c r="O654" s="56"/>
      <c r="P654" s="56"/>
      <c r="Q654" s="56"/>
      <c r="R654" s="2209"/>
      <c r="S654" s="254"/>
    </row>
    <row r="655" spans="1:19">
      <c r="A655" s="254"/>
      <c r="B655" s="56"/>
      <c r="C655" s="56"/>
      <c r="D655" s="56"/>
      <c r="E655" s="56"/>
      <c r="F655" s="56"/>
      <c r="G655" s="56"/>
      <c r="H655" s="56"/>
      <c r="I655" s="56"/>
      <c r="J655" s="56"/>
      <c r="K655" s="56"/>
      <c r="L655" s="56"/>
      <c r="M655" s="56"/>
      <c r="N655" s="56"/>
      <c r="O655" s="56"/>
      <c r="P655" s="56"/>
      <c r="Q655" s="56"/>
      <c r="R655" s="2209"/>
      <c r="S655" s="254"/>
    </row>
    <row r="656" spans="1:19">
      <c r="A656" s="254"/>
      <c r="B656" s="56"/>
      <c r="C656" s="56"/>
      <c r="D656" s="56"/>
      <c r="E656" s="56"/>
      <c r="F656" s="56"/>
      <c r="G656" s="56"/>
      <c r="H656" s="56"/>
      <c r="I656" s="56"/>
      <c r="J656" s="56"/>
      <c r="K656" s="56"/>
      <c r="L656" s="56"/>
      <c r="M656" s="56"/>
      <c r="N656" s="56"/>
      <c r="O656" s="56"/>
      <c r="P656" s="56"/>
      <c r="Q656" s="56"/>
      <c r="R656" s="2209"/>
      <c r="S656" s="254"/>
    </row>
    <row r="657" spans="1:19">
      <c r="A657" s="254"/>
      <c r="B657" s="56"/>
      <c r="C657" s="56"/>
      <c r="D657" s="56"/>
      <c r="E657" s="56"/>
      <c r="F657" s="56"/>
      <c r="G657" s="56"/>
      <c r="H657" s="56"/>
      <c r="I657" s="56"/>
      <c r="J657" s="56"/>
      <c r="K657" s="56"/>
      <c r="L657" s="56"/>
      <c r="M657" s="56"/>
      <c r="N657" s="56"/>
      <c r="O657" s="56"/>
      <c r="P657" s="56"/>
      <c r="Q657" s="56"/>
      <c r="R657" s="2209"/>
      <c r="S657" s="254"/>
    </row>
    <row r="658" spans="1:19">
      <c r="A658" s="254"/>
      <c r="B658" s="56"/>
      <c r="C658" s="56"/>
      <c r="D658" s="56"/>
      <c r="E658" s="56"/>
      <c r="F658" s="56"/>
      <c r="G658" s="56"/>
      <c r="H658" s="56"/>
      <c r="I658" s="56"/>
      <c r="J658" s="56"/>
      <c r="K658" s="56"/>
      <c r="L658" s="56"/>
      <c r="M658" s="56"/>
      <c r="N658" s="56"/>
      <c r="O658" s="56"/>
      <c r="P658" s="56"/>
      <c r="Q658" s="56"/>
      <c r="R658" s="2209"/>
      <c r="S658" s="254"/>
    </row>
    <row r="659" spans="1:19">
      <c r="A659" s="254"/>
      <c r="B659" s="56"/>
      <c r="C659" s="56"/>
      <c r="D659" s="56"/>
      <c r="E659" s="56"/>
      <c r="F659" s="56"/>
      <c r="G659" s="56"/>
      <c r="H659" s="56"/>
      <c r="I659" s="56"/>
      <c r="J659" s="56"/>
      <c r="K659" s="56"/>
      <c r="L659" s="56"/>
      <c r="M659" s="56"/>
      <c r="N659" s="56"/>
      <c r="O659" s="56"/>
      <c r="P659" s="56"/>
      <c r="Q659" s="56"/>
      <c r="R659" s="2209"/>
      <c r="S659" s="254"/>
    </row>
    <row r="660" spans="1:19">
      <c r="A660" s="254"/>
      <c r="B660" s="56"/>
      <c r="C660" s="56"/>
      <c r="D660" s="56"/>
      <c r="E660" s="56"/>
      <c r="F660" s="56"/>
      <c r="G660" s="56"/>
      <c r="H660" s="56"/>
      <c r="I660" s="56"/>
      <c r="J660" s="56"/>
      <c r="K660" s="56"/>
      <c r="L660" s="56"/>
      <c r="M660" s="56"/>
      <c r="N660" s="56"/>
      <c r="O660" s="56"/>
      <c r="P660" s="56"/>
      <c r="Q660" s="56"/>
      <c r="R660" s="2209"/>
      <c r="S660" s="254"/>
    </row>
    <row r="661" spans="1:19">
      <c r="A661" s="254"/>
      <c r="B661" s="56"/>
      <c r="C661" s="56"/>
      <c r="D661" s="56"/>
      <c r="E661" s="56"/>
      <c r="F661" s="56"/>
      <c r="G661" s="56"/>
      <c r="H661" s="56"/>
      <c r="I661" s="56"/>
      <c r="J661" s="56"/>
      <c r="K661" s="56"/>
      <c r="L661" s="56"/>
      <c r="M661" s="56"/>
      <c r="N661" s="56"/>
      <c r="O661" s="56"/>
      <c r="P661" s="56"/>
      <c r="Q661" s="56"/>
      <c r="R661" s="2209"/>
      <c r="S661" s="254"/>
    </row>
    <row r="662" spans="1:19">
      <c r="A662" s="254"/>
      <c r="B662" s="56"/>
      <c r="C662" s="56"/>
      <c r="D662" s="56"/>
      <c r="E662" s="56"/>
      <c r="F662" s="56"/>
      <c r="G662" s="56"/>
      <c r="H662" s="56"/>
      <c r="I662" s="56"/>
      <c r="J662" s="56"/>
      <c r="K662" s="56"/>
      <c r="L662" s="56"/>
      <c r="M662" s="56"/>
      <c r="N662" s="56"/>
      <c r="O662" s="56"/>
      <c r="P662" s="56"/>
      <c r="Q662" s="56"/>
      <c r="R662" s="2209"/>
      <c r="S662" s="254"/>
    </row>
    <row r="663" spans="1:19">
      <c r="A663" s="254"/>
      <c r="B663" s="56"/>
      <c r="C663" s="56"/>
      <c r="D663" s="56"/>
      <c r="E663" s="56"/>
      <c r="F663" s="56"/>
      <c r="G663" s="56"/>
      <c r="H663" s="56"/>
      <c r="I663" s="56"/>
      <c r="J663" s="56"/>
      <c r="K663" s="56"/>
      <c r="L663" s="56"/>
      <c r="M663" s="56"/>
      <c r="N663" s="56"/>
      <c r="O663" s="56"/>
      <c r="P663" s="56"/>
      <c r="Q663" s="56"/>
      <c r="R663" s="2209"/>
      <c r="S663" s="254"/>
    </row>
    <row r="664" spans="1:19">
      <c r="A664" s="254"/>
      <c r="B664" s="56"/>
      <c r="C664" s="56"/>
      <c r="D664" s="56"/>
      <c r="E664" s="56"/>
      <c r="F664" s="56"/>
      <c r="G664" s="56"/>
      <c r="H664" s="56"/>
      <c r="I664" s="56"/>
      <c r="J664" s="56"/>
      <c r="K664" s="56"/>
      <c r="L664" s="56"/>
      <c r="M664" s="56"/>
      <c r="N664" s="56"/>
      <c r="O664" s="56"/>
      <c r="P664" s="56"/>
      <c r="Q664" s="56"/>
      <c r="R664" s="2209"/>
      <c r="S664" s="254"/>
    </row>
    <row r="665" spans="1:19">
      <c r="A665" s="254"/>
      <c r="B665" s="56"/>
      <c r="C665" s="56"/>
      <c r="D665" s="56"/>
      <c r="E665" s="56"/>
      <c r="F665" s="56"/>
      <c r="G665" s="56"/>
      <c r="H665" s="56"/>
      <c r="I665" s="56"/>
      <c r="J665" s="56"/>
      <c r="K665" s="56"/>
      <c r="L665" s="56"/>
      <c r="M665" s="56"/>
      <c r="N665" s="56"/>
      <c r="O665" s="56"/>
      <c r="P665" s="56"/>
      <c r="Q665" s="56"/>
      <c r="R665" s="2209"/>
      <c r="S665" s="254"/>
    </row>
    <row r="666" spans="1:19">
      <c r="A666" s="254"/>
      <c r="B666" s="56"/>
      <c r="C666" s="56"/>
      <c r="D666" s="56"/>
      <c r="E666" s="56"/>
      <c r="F666" s="56"/>
      <c r="G666" s="56"/>
      <c r="H666" s="56"/>
      <c r="I666" s="56"/>
      <c r="J666" s="56"/>
      <c r="K666" s="56"/>
      <c r="L666" s="56"/>
      <c r="M666" s="56"/>
      <c r="N666" s="56"/>
      <c r="O666" s="56"/>
      <c r="P666" s="56"/>
      <c r="Q666" s="56"/>
      <c r="R666" s="2209"/>
      <c r="S666" s="254"/>
    </row>
    <row r="667" spans="1:19">
      <c r="A667" s="254"/>
      <c r="B667" s="56"/>
      <c r="C667" s="56"/>
      <c r="D667" s="56"/>
      <c r="E667" s="56"/>
      <c r="F667" s="56"/>
      <c r="G667" s="56"/>
      <c r="H667" s="56"/>
      <c r="I667" s="56"/>
      <c r="J667" s="56"/>
      <c r="K667" s="56"/>
      <c r="L667" s="56"/>
      <c r="M667" s="56"/>
      <c r="N667" s="56"/>
      <c r="O667" s="56"/>
      <c r="P667" s="56"/>
      <c r="Q667" s="56"/>
      <c r="R667" s="2209"/>
      <c r="S667" s="254"/>
    </row>
    <row r="668" spans="1:19">
      <c r="A668" s="254"/>
      <c r="B668" s="56"/>
      <c r="C668" s="56"/>
      <c r="D668" s="56"/>
      <c r="E668" s="56"/>
      <c r="F668" s="56"/>
      <c r="G668" s="56"/>
      <c r="H668" s="56"/>
      <c r="I668" s="56"/>
      <c r="J668" s="56"/>
      <c r="K668" s="56"/>
      <c r="L668" s="56"/>
      <c r="M668" s="56"/>
      <c r="N668" s="56"/>
      <c r="O668" s="56"/>
      <c r="P668" s="56"/>
      <c r="Q668" s="56"/>
      <c r="R668" s="2209"/>
      <c r="S668" s="254"/>
    </row>
    <row r="669" spans="1:19">
      <c r="A669" s="254"/>
      <c r="B669" s="56"/>
      <c r="C669" s="56"/>
      <c r="D669" s="56"/>
      <c r="E669" s="56"/>
      <c r="F669" s="56"/>
      <c r="G669" s="56"/>
      <c r="H669" s="56"/>
      <c r="I669" s="56"/>
      <c r="J669" s="56"/>
      <c r="K669" s="56"/>
      <c r="L669" s="56"/>
      <c r="M669" s="56"/>
      <c r="N669" s="56"/>
      <c r="O669" s="56"/>
      <c r="P669" s="56"/>
      <c r="Q669" s="56"/>
      <c r="R669" s="2209"/>
      <c r="S669" s="254"/>
    </row>
    <row r="670" spans="1:19">
      <c r="A670" s="254"/>
      <c r="B670" s="56"/>
      <c r="C670" s="56"/>
      <c r="D670" s="56"/>
      <c r="E670" s="56"/>
      <c r="F670" s="56"/>
      <c r="G670" s="56"/>
      <c r="H670" s="56"/>
      <c r="I670" s="56"/>
      <c r="J670" s="56"/>
      <c r="K670" s="56"/>
      <c r="L670" s="56"/>
      <c r="M670" s="56"/>
      <c r="N670" s="56"/>
      <c r="O670" s="56"/>
      <c r="P670" s="56"/>
      <c r="Q670" s="56"/>
      <c r="R670" s="2209"/>
      <c r="S670" s="254"/>
    </row>
    <row r="671" spans="1:19">
      <c r="A671" s="254"/>
      <c r="B671" s="56"/>
      <c r="C671" s="56"/>
      <c r="D671" s="56"/>
      <c r="E671" s="56"/>
      <c r="F671" s="56"/>
      <c r="G671" s="56"/>
      <c r="H671" s="56"/>
      <c r="I671" s="56"/>
      <c r="J671" s="56"/>
      <c r="K671" s="56"/>
      <c r="L671" s="56"/>
      <c r="M671" s="56"/>
      <c r="N671" s="56"/>
      <c r="O671" s="56"/>
      <c r="P671" s="56"/>
      <c r="Q671" s="56"/>
      <c r="R671" s="2209"/>
      <c r="S671" s="254"/>
    </row>
    <row r="672" spans="1:19">
      <c r="A672" s="254"/>
      <c r="B672" s="56"/>
      <c r="C672" s="56"/>
      <c r="D672" s="56"/>
      <c r="E672" s="56"/>
      <c r="F672" s="56"/>
      <c r="G672" s="56"/>
      <c r="H672" s="56"/>
      <c r="I672" s="56"/>
      <c r="J672" s="56"/>
      <c r="K672" s="56"/>
      <c r="L672" s="56"/>
      <c r="M672" s="56"/>
      <c r="N672" s="56"/>
      <c r="O672" s="56"/>
      <c r="P672" s="56"/>
      <c r="Q672" s="56"/>
      <c r="R672" s="2209"/>
      <c r="S672" s="254"/>
    </row>
    <row r="673" spans="1:19">
      <c r="A673" s="254"/>
      <c r="B673" s="56"/>
      <c r="C673" s="56"/>
      <c r="D673" s="56"/>
      <c r="E673" s="56"/>
      <c r="F673" s="56"/>
      <c r="G673" s="56"/>
      <c r="H673" s="56"/>
      <c r="I673" s="56"/>
      <c r="J673" s="56"/>
      <c r="K673" s="56"/>
      <c r="L673" s="56"/>
      <c r="M673" s="56"/>
      <c r="N673" s="56"/>
      <c r="O673" s="56"/>
      <c r="P673" s="56"/>
      <c r="Q673" s="56"/>
      <c r="R673" s="2209"/>
      <c r="S673" s="254"/>
    </row>
    <row r="674" spans="1:19">
      <c r="A674" s="254"/>
      <c r="B674" s="56"/>
      <c r="C674" s="56"/>
      <c r="D674" s="56"/>
      <c r="E674" s="56"/>
      <c r="F674" s="56"/>
      <c r="G674" s="56"/>
      <c r="H674" s="56"/>
      <c r="I674" s="56"/>
      <c r="J674" s="56"/>
      <c r="K674" s="56"/>
      <c r="L674" s="56"/>
      <c r="M674" s="56"/>
      <c r="N674" s="56"/>
      <c r="O674" s="56"/>
      <c r="P674" s="56"/>
      <c r="Q674" s="56"/>
      <c r="R674" s="2209"/>
      <c r="S674" s="254"/>
    </row>
    <row r="675" spans="1:19">
      <c r="A675" s="254"/>
      <c r="B675" s="56"/>
      <c r="C675" s="56"/>
      <c r="D675" s="56"/>
      <c r="E675" s="56"/>
      <c r="F675" s="56"/>
      <c r="G675" s="56"/>
      <c r="H675" s="56"/>
      <c r="I675" s="56"/>
      <c r="J675" s="56"/>
      <c r="K675" s="56"/>
      <c r="L675" s="56"/>
      <c r="M675" s="56"/>
      <c r="N675" s="56"/>
      <c r="O675" s="56"/>
      <c r="P675" s="56"/>
      <c r="Q675" s="56"/>
      <c r="R675" s="2209"/>
      <c r="S675" s="254"/>
    </row>
    <row r="676" spans="1:19">
      <c r="A676" s="254"/>
      <c r="B676" s="56"/>
      <c r="C676" s="56"/>
      <c r="D676" s="56"/>
      <c r="E676" s="56"/>
      <c r="F676" s="56"/>
      <c r="G676" s="56"/>
      <c r="H676" s="56"/>
      <c r="I676" s="56"/>
      <c r="J676" s="56"/>
      <c r="K676" s="56"/>
      <c r="L676" s="56"/>
      <c r="M676" s="56"/>
      <c r="N676" s="56"/>
      <c r="O676" s="56"/>
      <c r="P676" s="56"/>
      <c r="Q676" s="56"/>
      <c r="R676" s="2209"/>
      <c r="S676" s="254"/>
    </row>
    <row r="677" spans="1:19">
      <c r="A677" s="254"/>
      <c r="B677" s="56"/>
      <c r="C677" s="56"/>
      <c r="D677" s="56"/>
      <c r="E677" s="56"/>
      <c r="F677" s="56"/>
      <c r="G677" s="56"/>
      <c r="H677" s="56"/>
      <c r="I677" s="56"/>
      <c r="J677" s="56"/>
      <c r="K677" s="56"/>
      <c r="L677" s="56"/>
      <c r="M677" s="56"/>
      <c r="N677" s="56"/>
      <c r="O677" s="56"/>
      <c r="P677" s="56"/>
      <c r="Q677" s="56"/>
      <c r="R677" s="2209"/>
      <c r="S677" s="254"/>
    </row>
    <row r="678" spans="1:19">
      <c r="A678" s="254"/>
      <c r="B678" s="56"/>
      <c r="C678" s="56"/>
      <c r="D678" s="56"/>
      <c r="E678" s="56"/>
      <c r="F678" s="56"/>
      <c r="G678" s="56"/>
      <c r="H678" s="56"/>
      <c r="I678" s="56"/>
      <c r="J678" s="56"/>
      <c r="K678" s="56"/>
      <c r="L678" s="56"/>
      <c r="M678" s="56"/>
      <c r="N678" s="56"/>
      <c r="O678" s="56"/>
      <c r="P678" s="56"/>
      <c r="Q678" s="56"/>
      <c r="R678" s="2209"/>
      <c r="S678" s="254"/>
    </row>
    <row r="679" spans="1:19">
      <c r="A679" s="254"/>
      <c r="B679" s="56"/>
      <c r="C679" s="56"/>
      <c r="D679" s="56"/>
      <c r="E679" s="56"/>
      <c r="F679" s="56"/>
      <c r="G679" s="56"/>
      <c r="H679" s="56"/>
      <c r="I679" s="56"/>
      <c r="J679" s="56"/>
      <c r="K679" s="56"/>
      <c r="L679" s="56"/>
      <c r="M679" s="56"/>
      <c r="N679" s="56"/>
      <c r="O679" s="56"/>
      <c r="P679" s="56"/>
      <c r="Q679" s="56"/>
      <c r="R679" s="2209"/>
      <c r="S679" s="254"/>
    </row>
    <row r="680" spans="1:19">
      <c r="A680" s="254"/>
      <c r="B680" s="56"/>
      <c r="C680" s="56"/>
      <c r="D680" s="56"/>
      <c r="E680" s="56"/>
      <c r="F680" s="56"/>
      <c r="G680" s="56"/>
      <c r="H680" s="56"/>
      <c r="I680" s="56"/>
      <c r="J680" s="56"/>
      <c r="K680" s="56"/>
      <c r="L680" s="56"/>
      <c r="M680" s="56"/>
      <c r="N680" s="56"/>
      <c r="O680" s="56"/>
      <c r="P680" s="56"/>
      <c r="Q680" s="56"/>
      <c r="R680" s="2209"/>
      <c r="S680" s="254"/>
    </row>
    <row r="681" spans="1:19">
      <c r="A681" s="254"/>
      <c r="B681" s="56"/>
      <c r="C681" s="56"/>
      <c r="D681" s="56"/>
      <c r="E681" s="56"/>
      <c r="F681" s="56"/>
      <c r="G681" s="56"/>
      <c r="H681" s="56"/>
      <c r="I681" s="56"/>
      <c r="J681" s="56"/>
      <c r="K681" s="56"/>
      <c r="L681" s="56"/>
      <c r="M681" s="56"/>
      <c r="N681" s="56"/>
      <c r="O681" s="56"/>
      <c r="P681" s="56"/>
      <c r="Q681" s="56"/>
      <c r="R681" s="2209"/>
      <c r="S681" s="254"/>
    </row>
    <row r="682" spans="1:19">
      <c r="A682" s="254"/>
      <c r="B682" s="56"/>
      <c r="C682" s="56"/>
      <c r="D682" s="56"/>
      <c r="E682" s="56"/>
      <c r="F682" s="56"/>
      <c r="G682" s="56"/>
      <c r="H682" s="56"/>
      <c r="I682" s="56"/>
      <c r="J682" s="56"/>
      <c r="K682" s="56"/>
      <c r="L682" s="56"/>
      <c r="M682" s="56"/>
      <c r="N682" s="56"/>
      <c r="O682" s="56"/>
      <c r="P682" s="56"/>
      <c r="Q682" s="56"/>
      <c r="R682" s="2209"/>
      <c r="S682" s="254"/>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43780</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3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1:P104"/>
  <sheetViews>
    <sheetView workbookViewId="0">
      <selection activeCell="N103" sqref="N103"/>
    </sheetView>
  </sheetViews>
  <sheetFormatPr defaultRowHeight="13.5"/>
  <cols>
    <col min="14" max="15" width="11.625" bestFit="1" customWidth="1"/>
  </cols>
  <sheetData>
    <row r="41" spans="13:15">
      <c r="M41" s="3232" t="s">
        <v>3252</v>
      </c>
      <c r="N41" s="3298">
        <v>43429</v>
      </c>
      <c r="O41">
        <v>62763.11</v>
      </c>
    </row>
    <row r="42" spans="13:15">
      <c r="M42">
        <f>(21204.4+21229.15)/2</f>
        <v>21216.775000000001</v>
      </c>
    </row>
    <row r="79" spans="13:15">
      <c r="M79" s="3232" t="s">
        <v>3253</v>
      </c>
      <c r="N79" s="3298">
        <v>43499</v>
      </c>
      <c r="O79">
        <v>109329.29</v>
      </c>
    </row>
    <row r="80" spans="13:15">
      <c r="M80">
        <f>(25007.51+26587.69+25220.65+25248.83+26585.61+26275.51+26238.47+25222.02+25207.64+25157.31+25008.93+25185.74)/12</f>
        <v>25578.825833333332</v>
      </c>
    </row>
    <row r="103" spans="14:16">
      <c r="N103" s="3232" t="s">
        <v>3193</v>
      </c>
      <c r="O103" s="3298">
        <v>43429</v>
      </c>
      <c r="P103">
        <v>1402.65</v>
      </c>
    </row>
    <row r="104" spans="14:16">
      <c r="N104">
        <v>21527.42</v>
      </c>
    </row>
  </sheetData>
  <phoneticPr fontId="231"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D1" workbookViewId="0">
      <selection activeCell="K6" sqref="K6"/>
    </sheetView>
  </sheetViews>
  <sheetFormatPr defaultRowHeight="13.5"/>
  <cols>
    <col min="3" max="3" width="8.5" customWidth="1"/>
  </cols>
  <sheetData>
    <row r="1" spans="1:21">
      <c r="C1" s="3232" t="s">
        <v>3249</v>
      </c>
      <c r="G1" s="3232" t="s">
        <v>3250</v>
      </c>
      <c r="J1" s="3232" t="s">
        <v>3251</v>
      </c>
    </row>
    <row r="2" spans="1:21" ht="14.25" thickBot="1">
      <c r="A2" s="3329">
        <v>0.6</v>
      </c>
      <c r="B2">
        <f>A2/100+1</f>
        <v>1.006</v>
      </c>
      <c r="C2" s="3340">
        <f>B2*B3*B4*B5*B6*B7*B8*B9*B10*B11*B12*B13*B14*B15*B16*B17*B18*B19*B20*B21*B22*B23*B24</f>
        <v>1.6662849494278604</v>
      </c>
      <c r="E2" s="3329">
        <v>0.67</v>
      </c>
      <c r="F2">
        <f>E2/100+1</f>
        <v>1.0066999999999999</v>
      </c>
      <c r="G2" s="3340">
        <f>F2*F3*F4*F5*F6*F7*F8*F9*F10*F11*F12*F13*F14*F15*F16*F17*F18*F19*F20*F21*F22*F23*F24</f>
        <v>1.3968533455325611</v>
      </c>
      <c r="I2" s="3329">
        <v>0.61</v>
      </c>
      <c r="J2">
        <f>I2/100+1</f>
        <v>1.0061</v>
      </c>
      <c r="K2" s="3341">
        <f>J2*J3*J4*J5*J6*J7*J8*J9*J10*J11*J12*J13*J14*J15*J16*J17*J18*J19*J20*J21*J22*J23*J24</f>
        <v>1.5977177085661327</v>
      </c>
    </row>
    <row r="3" spans="1:21">
      <c r="A3" s="2618">
        <v>1.62</v>
      </c>
      <c r="B3">
        <f t="shared" ref="B3:B24" si="0">A3/100+1</f>
        <v>1.0162</v>
      </c>
      <c r="C3">
        <v>1.6133999999999999</v>
      </c>
      <c r="E3" s="2618">
        <v>1.01</v>
      </c>
      <c r="F3">
        <f t="shared" ref="F3:F24" si="1">E3/100+1</f>
        <v>1.0101</v>
      </c>
      <c r="G3">
        <v>1.3649</v>
      </c>
      <c r="I3" s="2618">
        <v>1.53</v>
      </c>
      <c r="J3">
        <f t="shared" ref="J3:J24" si="2">I3/100+1</f>
        <v>1.0153000000000001</v>
      </c>
      <c r="K3">
        <v>1.3649</v>
      </c>
    </row>
    <row r="4" spans="1:21" ht="14.25" thickBot="1">
      <c r="A4" s="2620">
        <v>0.63</v>
      </c>
      <c r="B4">
        <f t="shared" si="0"/>
        <v>1.0063</v>
      </c>
      <c r="C4">
        <f ca="1">汇总表!G5</f>
        <v>5879</v>
      </c>
      <c r="E4" s="2620">
        <v>0.37</v>
      </c>
      <c r="F4">
        <f t="shared" si="1"/>
        <v>1.0037</v>
      </c>
      <c r="G4">
        <f ca="1">汇总表!G6</f>
        <v>4595</v>
      </c>
      <c r="I4" s="2620">
        <v>0.6</v>
      </c>
      <c r="J4">
        <f t="shared" si="2"/>
        <v>1.006</v>
      </c>
      <c r="K4">
        <f ca="1">汇总表!G7</f>
        <v>4526</v>
      </c>
    </row>
    <row r="5" spans="1:21">
      <c r="A5" s="2618">
        <v>0.92</v>
      </c>
      <c r="B5">
        <f t="shared" si="0"/>
        <v>1.0092000000000001</v>
      </c>
      <c r="C5">
        <f ca="1">ROUND(C4/C3*C2,0)</f>
        <v>6072</v>
      </c>
      <c r="E5" s="2618">
        <v>1.03</v>
      </c>
      <c r="F5">
        <f t="shared" si="1"/>
        <v>1.0103</v>
      </c>
      <c r="G5">
        <f ca="1">ROUND(G4/G3*G2,0)</f>
        <v>4703</v>
      </c>
      <c r="I5" s="2618">
        <v>0.96</v>
      </c>
      <c r="J5">
        <f t="shared" si="2"/>
        <v>1.0096000000000001</v>
      </c>
      <c r="K5">
        <f ca="1">ROUND(K4/K3*K2,0)</f>
        <v>5298</v>
      </c>
    </row>
    <row r="6" spans="1:21">
      <c r="A6" s="2620">
        <v>1.52</v>
      </c>
      <c r="B6">
        <f t="shared" si="0"/>
        <v>1.0152000000000001</v>
      </c>
      <c r="E6" s="2620">
        <v>1.41</v>
      </c>
      <c r="F6">
        <f t="shared" si="1"/>
        <v>1.0141</v>
      </c>
      <c r="I6" s="2620">
        <v>1.51</v>
      </c>
      <c r="J6">
        <f t="shared" si="2"/>
        <v>1.0150999999999999</v>
      </c>
    </row>
    <row r="7" spans="1:21">
      <c r="A7" s="2621">
        <v>1.58</v>
      </c>
      <c r="B7">
        <f t="shared" si="0"/>
        <v>1.0158</v>
      </c>
      <c r="E7" s="2621">
        <v>0.96</v>
      </c>
      <c r="F7">
        <f t="shared" si="1"/>
        <v>1.0096000000000001</v>
      </c>
      <c r="I7" s="2621">
        <v>1.49</v>
      </c>
      <c r="J7">
        <f t="shared" si="2"/>
        <v>1.0148999999999999</v>
      </c>
    </row>
    <row r="8" spans="1:21" ht="14.25" thickBot="1">
      <c r="A8" s="2620">
        <v>1.64</v>
      </c>
      <c r="B8">
        <f t="shared" si="0"/>
        <v>1.0164</v>
      </c>
      <c r="E8" s="2620">
        <v>1.92</v>
      </c>
      <c r="F8">
        <f t="shared" si="1"/>
        <v>1.0192000000000001</v>
      </c>
      <c r="I8" s="2620">
        <v>1.7</v>
      </c>
      <c r="J8">
        <f t="shared" si="2"/>
        <v>1.0169999999999999</v>
      </c>
    </row>
    <row r="9" spans="1:21">
      <c r="A9" s="2618">
        <v>1.71</v>
      </c>
      <c r="B9">
        <f t="shared" si="0"/>
        <v>1.0170999999999999</v>
      </c>
      <c r="E9" s="2618">
        <v>1.78</v>
      </c>
      <c r="F9">
        <f t="shared" si="1"/>
        <v>1.0178</v>
      </c>
      <c r="I9" s="2618">
        <v>1.71</v>
      </c>
      <c r="J9">
        <f t="shared" si="2"/>
        <v>1.0170999999999999</v>
      </c>
    </row>
    <row r="10" spans="1:21" ht="28.5">
      <c r="A10" s="2620">
        <v>3.24</v>
      </c>
      <c r="B10">
        <f t="shared" si="0"/>
        <v>1.0324</v>
      </c>
      <c r="E10" s="2620">
        <v>2.11</v>
      </c>
      <c r="F10">
        <f t="shared" si="1"/>
        <v>1.0210999999999999</v>
      </c>
      <c r="I10" s="2620">
        <v>2.98</v>
      </c>
      <c r="J10">
        <f t="shared" si="2"/>
        <v>1.0298</v>
      </c>
      <c r="M10" s="3285" t="s">
        <v>2999</v>
      </c>
      <c r="N10" s="3280" t="s">
        <v>3000</v>
      </c>
      <c r="O10" s="3277" t="s">
        <v>3001</v>
      </c>
      <c r="P10" s="3280" t="s">
        <v>3002</v>
      </c>
      <c r="Q10" s="3277" t="s">
        <v>3001</v>
      </c>
      <c r="R10" s="3280" t="s">
        <v>3003</v>
      </c>
      <c r="S10" s="3277" t="s">
        <v>3001</v>
      </c>
      <c r="T10" s="3280" t="s">
        <v>3004</v>
      </c>
      <c r="U10" s="3280" t="s">
        <v>3184</v>
      </c>
    </row>
    <row r="11" spans="1:21" ht="17.25" customHeight="1">
      <c r="A11" s="2621">
        <v>3.82</v>
      </c>
      <c r="B11">
        <f t="shared" si="0"/>
        <v>1.0382</v>
      </c>
      <c r="E11" s="2621">
        <v>2</v>
      </c>
      <c r="F11">
        <f t="shared" si="1"/>
        <v>1.02</v>
      </c>
      <c r="I11" s="2621">
        <v>3.4</v>
      </c>
      <c r="J11">
        <f t="shared" si="2"/>
        <v>1.034</v>
      </c>
      <c r="M11" s="3283" t="s">
        <v>3007</v>
      </c>
      <c r="N11" s="3275">
        <f ca="1">C5</f>
        <v>6072</v>
      </c>
      <c r="O11" s="3275">
        <v>0.4</v>
      </c>
      <c r="P11" s="3275">
        <f ca="1">汇总表!I5</f>
        <v>6306</v>
      </c>
      <c r="Q11" s="3275">
        <f>1-O11</f>
        <v>0.6</v>
      </c>
      <c r="R11" s="3275">
        <v>0</v>
      </c>
      <c r="S11" s="3275">
        <v>0</v>
      </c>
      <c r="T11" s="3275">
        <f ca="1">ROUND(N11*O11+P11*Q11+R11*S11,0)</f>
        <v>6212</v>
      </c>
      <c r="U11" s="3292">
        <f ca="1">ROUND(T11*0.25,0)</f>
        <v>1553</v>
      </c>
    </row>
    <row r="12" spans="1:21" ht="14.25" thickBot="1">
      <c r="A12" s="2620">
        <v>3.92</v>
      </c>
      <c r="B12">
        <f t="shared" si="0"/>
        <v>1.0391999999999999</v>
      </c>
      <c r="E12" s="2620">
        <v>1.92</v>
      </c>
      <c r="F12">
        <f t="shared" si="1"/>
        <v>1.0192000000000001</v>
      </c>
      <c r="I12" s="2620">
        <v>3.45</v>
      </c>
      <c r="J12">
        <f t="shared" si="2"/>
        <v>1.0345</v>
      </c>
      <c r="M12" s="3283" t="s">
        <v>3010</v>
      </c>
      <c r="N12" s="3278">
        <f ca="1">G5</f>
        <v>4703</v>
      </c>
      <c r="O12" s="3275">
        <f>O11</f>
        <v>0.4</v>
      </c>
      <c r="P12" s="3278">
        <f ca="1">[4]结果表!$D$20</f>
        <v>5453</v>
      </c>
      <c r="Q12" s="3278">
        <f>Q11</f>
        <v>0.6</v>
      </c>
      <c r="R12" s="3278">
        <v>0</v>
      </c>
      <c r="S12" s="3278">
        <v>0</v>
      </c>
      <c r="T12" s="3275">
        <f ca="1">ROUND(N12*O12+P12*Q12+R12*S12,0)</f>
        <v>5153</v>
      </c>
      <c r="U12" s="3292">
        <f t="shared" ref="U12:U13" ca="1" si="3">ROUND(T12*0.25,0)</f>
        <v>1288</v>
      </c>
    </row>
    <row r="13" spans="1:21">
      <c r="A13" s="2618">
        <v>5.32</v>
      </c>
      <c r="B13">
        <f t="shared" si="0"/>
        <v>1.0531999999999999</v>
      </c>
      <c r="E13" s="2618">
        <v>2.15</v>
      </c>
      <c r="F13">
        <f t="shared" si="1"/>
        <v>1.0215000000000001</v>
      </c>
      <c r="I13" s="2618">
        <v>4.5599999999999996</v>
      </c>
      <c r="J13">
        <f t="shared" si="2"/>
        <v>1.0456000000000001</v>
      </c>
      <c r="M13" s="3284" t="s">
        <v>3059</v>
      </c>
      <c r="N13" s="3278">
        <f ca="1">K5</f>
        <v>5298</v>
      </c>
      <c r="O13" s="3278">
        <f>O12</f>
        <v>0.4</v>
      </c>
      <c r="P13" s="3278">
        <f ca="1">[3]结果表!$D$20</f>
        <v>4749</v>
      </c>
      <c r="Q13" s="3278">
        <f>Q12</f>
        <v>0.6</v>
      </c>
      <c r="R13" s="3278">
        <v>0</v>
      </c>
      <c r="S13" s="3278">
        <v>0</v>
      </c>
      <c r="T13" s="3275">
        <f ca="1">ROUND(N13*O13+P13*Q13+R13*S13,0)</f>
        <v>4969</v>
      </c>
      <c r="U13" s="3292">
        <f t="shared" ca="1" si="3"/>
        <v>1242</v>
      </c>
    </row>
    <row r="14" spans="1:21">
      <c r="A14" s="2620">
        <v>4.79</v>
      </c>
      <c r="B14">
        <f t="shared" si="0"/>
        <v>1.0479000000000001</v>
      </c>
      <c r="E14" s="2620">
        <v>2</v>
      </c>
      <c r="F14">
        <f t="shared" si="1"/>
        <v>1.02</v>
      </c>
      <c r="I14" s="2620">
        <v>4.12</v>
      </c>
      <c r="J14">
        <f t="shared" si="2"/>
        <v>1.0411999999999999</v>
      </c>
    </row>
    <row r="15" spans="1:21">
      <c r="A15" s="2621">
        <v>4.4800000000000004</v>
      </c>
      <c r="B15">
        <f t="shared" si="0"/>
        <v>1.0448</v>
      </c>
      <c r="E15" s="2621">
        <v>1.95</v>
      </c>
      <c r="F15">
        <f t="shared" si="1"/>
        <v>1.0195000000000001</v>
      </c>
      <c r="I15" s="2621">
        <v>3.85</v>
      </c>
      <c r="J15">
        <f t="shared" si="2"/>
        <v>1.0385</v>
      </c>
    </row>
    <row r="16" spans="1:21">
      <c r="A16" s="2620">
        <v>4.54</v>
      </c>
      <c r="B16">
        <f t="shared" si="0"/>
        <v>1.0454000000000001</v>
      </c>
      <c r="E16" s="2620">
        <v>2.93</v>
      </c>
      <c r="F16">
        <f t="shared" si="1"/>
        <v>1.0293000000000001</v>
      </c>
      <c r="I16" s="2620">
        <v>4.09</v>
      </c>
      <c r="J16">
        <f t="shared" si="2"/>
        <v>1.0408999999999999</v>
      </c>
    </row>
    <row r="17" spans="1:10" ht="14.25" thickBot="1">
      <c r="A17" s="2636">
        <v>1.77</v>
      </c>
      <c r="B17">
        <f t="shared" si="0"/>
        <v>1.0177</v>
      </c>
      <c r="E17" s="2636">
        <v>1.1100000000000001</v>
      </c>
      <c r="F17">
        <f t="shared" si="1"/>
        <v>1.0111000000000001</v>
      </c>
      <c r="I17" s="2636">
        <v>1.63</v>
      </c>
      <c r="J17">
        <f t="shared" si="2"/>
        <v>1.0163</v>
      </c>
    </row>
    <row r="18" spans="1:10">
      <c r="A18" s="2641">
        <v>1.88</v>
      </c>
      <c r="B18">
        <f t="shared" si="0"/>
        <v>1.0187999999999999</v>
      </c>
      <c r="E18" s="2641">
        <v>0.92</v>
      </c>
      <c r="F18">
        <f t="shared" si="1"/>
        <v>1.0092000000000001</v>
      </c>
      <c r="I18" s="2641">
        <v>1.65</v>
      </c>
      <c r="J18">
        <f t="shared" si="2"/>
        <v>1.0165</v>
      </c>
    </row>
    <row r="19" spans="1:10">
      <c r="A19" s="2621">
        <v>0.8</v>
      </c>
      <c r="B19">
        <f t="shared" si="0"/>
        <v>1.008</v>
      </c>
      <c r="E19" s="2621">
        <v>0.69</v>
      </c>
      <c r="F19">
        <f t="shared" si="1"/>
        <v>1.0068999999999999</v>
      </c>
      <c r="I19" s="2621">
        <v>0.77</v>
      </c>
      <c r="J19">
        <f t="shared" si="2"/>
        <v>1.0077</v>
      </c>
    </row>
    <row r="20" spans="1:10">
      <c r="A20" s="2620">
        <v>0.48</v>
      </c>
      <c r="B20">
        <f t="shared" si="0"/>
        <v>1.0047999999999999</v>
      </c>
      <c r="E20" s="2620">
        <v>0.54</v>
      </c>
      <c r="F20">
        <f t="shared" si="1"/>
        <v>1.0054000000000001</v>
      </c>
      <c r="I20" s="2620">
        <v>0.51</v>
      </c>
      <c r="J20">
        <f t="shared" si="2"/>
        <v>1.0051000000000001</v>
      </c>
    </row>
    <row r="21" spans="1:10" ht="14.25" thickBot="1">
      <c r="A21" s="2636">
        <v>0.12</v>
      </c>
      <c r="B21">
        <f t="shared" si="0"/>
        <v>1.0012000000000001</v>
      </c>
      <c r="E21" s="2636">
        <v>0.41</v>
      </c>
      <c r="F21">
        <f t="shared" si="1"/>
        <v>1.0041</v>
      </c>
      <c r="I21" s="2636">
        <v>0.21</v>
      </c>
      <c r="J21">
        <f t="shared" si="2"/>
        <v>1.0021</v>
      </c>
    </row>
    <row r="22" spans="1:10">
      <c r="A22" s="2646">
        <v>0.65</v>
      </c>
      <c r="B22">
        <f t="shared" si="0"/>
        <v>1.0065</v>
      </c>
      <c r="E22" s="2646">
        <v>1.47</v>
      </c>
      <c r="F22">
        <f t="shared" si="1"/>
        <v>1.0146999999999999</v>
      </c>
      <c r="I22" s="2646">
        <v>0.83</v>
      </c>
      <c r="J22">
        <f t="shared" si="2"/>
        <v>1.0083</v>
      </c>
    </row>
    <row r="23" spans="1:10" ht="14.25" thickBot="1">
      <c r="A23" s="2636">
        <v>2.59</v>
      </c>
      <c r="B23">
        <f t="shared" si="0"/>
        <v>1.0259</v>
      </c>
      <c r="E23" s="2636">
        <v>2.0299999999999998</v>
      </c>
      <c r="F23">
        <f t="shared" si="1"/>
        <v>1.0203</v>
      </c>
      <c r="I23" s="2636">
        <v>2.4</v>
      </c>
      <c r="J23">
        <f t="shared" si="2"/>
        <v>1.024</v>
      </c>
    </row>
    <row r="24" spans="1:10">
      <c r="A24" s="2650">
        <v>3.28</v>
      </c>
      <c r="B24">
        <f t="shared" si="0"/>
        <v>1.0327999999999999</v>
      </c>
      <c r="E24" s="2650">
        <v>2.34</v>
      </c>
      <c r="F24">
        <f t="shared" si="1"/>
        <v>1.0234000000000001</v>
      </c>
      <c r="I24" s="2650">
        <v>2.97</v>
      </c>
      <c r="J24">
        <f t="shared" si="2"/>
        <v>1.0297000000000001</v>
      </c>
    </row>
  </sheetData>
  <phoneticPr fontId="23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9" t="s">
        <v>2038</v>
      </c>
      <c r="B1" s="3349"/>
      <c r="C1" s="3349"/>
      <c r="D1" s="3349"/>
      <c r="E1" s="3349"/>
      <c r="F1" s="3349"/>
      <c r="G1" s="3349"/>
      <c r="H1" s="3349"/>
      <c r="I1" s="3349"/>
      <c r="J1" s="3349"/>
      <c r="K1" s="3349"/>
      <c r="L1" s="3349"/>
      <c r="M1" s="3349"/>
      <c r="N1" s="3349"/>
      <c r="O1" s="3349"/>
      <c r="P1" s="3349"/>
      <c r="Q1" s="3349"/>
      <c r="R1" s="3349"/>
    </row>
    <row r="2" spans="1:18">
      <c r="A2" s="1790" t="s">
        <v>2040</v>
      </c>
      <c r="B2" s="1790"/>
      <c r="C2" s="1790"/>
      <c r="D2" s="1790"/>
      <c r="E2" s="1790"/>
      <c r="F2" s="1790"/>
      <c r="G2" s="1790"/>
      <c r="H2" s="1790"/>
      <c r="I2" s="1791"/>
      <c r="J2" s="1791"/>
      <c r="K2" s="1792" t="str">
        <f>"估价期日："&amp;TEXT(项目基本情况!D3,"yyyy年m月d日;;")</f>
        <v>估价期日：2019年11月11日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350" t="s">
        <v>2029</v>
      </c>
      <c r="B3" s="3350" t="s">
        <v>2731</v>
      </c>
      <c r="C3" s="3351" t="s">
        <v>2030</v>
      </c>
      <c r="D3" s="3350" t="s">
        <v>2735</v>
      </c>
      <c r="E3" s="3353" t="s">
        <v>2031</v>
      </c>
      <c r="F3" s="3353"/>
      <c r="G3" s="3353"/>
      <c r="H3" s="3353" t="s">
        <v>2032</v>
      </c>
      <c r="I3" s="3353"/>
      <c r="J3" s="3353"/>
      <c r="K3" s="3351" t="s">
        <v>2033</v>
      </c>
      <c r="L3" s="3351" t="s">
        <v>2034</v>
      </c>
      <c r="M3" s="3350" t="s">
        <v>2732</v>
      </c>
      <c r="N3" s="3352" t="str">
        <f>"（分摊）"&amp;项目基本情况!B16&amp;"国有建设用地使用权面积/㎡"</f>
        <v>（分摊）出让国有建设用地使用权面积/㎡</v>
      </c>
      <c r="O3" s="3350" t="s">
        <v>2063</v>
      </c>
      <c r="P3" s="3351" t="s">
        <v>2043</v>
      </c>
      <c r="Q3" s="3351" t="s">
        <v>2064</v>
      </c>
      <c r="R3" s="3351" t="s">
        <v>2035</v>
      </c>
    </row>
    <row r="4" spans="1:18" ht="36.75" customHeight="1">
      <c r="A4" s="3350"/>
      <c r="B4" s="3350"/>
      <c r="C4" s="3351"/>
      <c r="D4" s="3350"/>
      <c r="E4" s="2611" t="s">
        <v>2042</v>
      </c>
      <c r="F4" s="2611" t="s">
        <v>2744</v>
      </c>
      <c r="G4" s="2611" t="s">
        <v>2036</v>
      </c>
      <c r="H4" s="2611" t="s">
        <v>2037</v>
      </c>
      <c r="I4" s="2611" t="s">
        <v>2745</v>
      </c>
      <c r="J4" s="2611" t="s">
        <v>2036</v>
      </c>
      <c r="K4" s="3351"/>
      <c r="L4" s="3351"/>
      <c r="M4" s="3350"/>
      <c r="N4" s="3352"/>
      <c r="O4" s="3350"/>
      <c r="P4" s="3351"/>
      <c r="Q4" s="3351"/>
      <c r="R4" s="3351"/>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64531.28</v>
      </c>
      <c r="O5" s="1793">
        <f>项目基本情况!C21</f>
        <v>120662</v>
      </c>
      <c r="P5" s="1793">
        <f ca="1">结果表!E42</f>
        <v>11552</v>
      </c>
      <c r="Q5" s="1793">
        <f ca="1">结果表!D42</f>
        <v>6178</v>
      </c>
      <c r="R5" s="1794">
        <f ca="1">结果表!C42</f>
        <v>74548</v>
      </c>
    </row>
    <row r="6" spans="1:18">
      <c r="A6" s="3346" t="str">
        <f>IF(项目基本情况!B9="市场价格","——","抵押价格")</f>
        <v>抵押价格</v>
      </c>
      <c r="B6" s="3347"/>
      <c r="C6" s="3347"/>
      <c r="D6" s="3347"/>
      <c r="E6" s="3347"/>
      <c r="F6" s="3347"/>
      <c r="G6" s="3347"/>
      <c r="H6" s="3347"/>
      <c r="I6" s="3347"/>
      <c r="J6" s="3347"/>
      <c r="K6" s="3347"/>
      <c r="L6" s="3347"/>
      <c r="M6" s="3347"/>
      <c r="N6" s="3347"/>
      <c r="O6" s="3347"/>
      <c r="P6" s="3347"/>
      <c r="Q6" s="3348"/>
      <c r="R6" s="1795" t="str">
        <f>结果表!O39</f>
        <v>——</v>
      </c>
    </row>
    <row r="7" spans="1:18">
      <c r="A7" s="3346" t="str">
        <f>IF(项目基本情况!B9="市场价格","——",IF(项目基本情况!E8="已注销及未注销","抵押担保权已注销时的抵押价格","——"))</f>
        <v>——</v>
      </c>
      <c r="B7" s="3347"/>
      <c r="C7" s="3347"/>
      <c r="D7" s="3347"/>
      <c r="E7" s="3347"/>
      <c r="F7" s="3347"/>
      <c r="G7" s="3347"/>
      <c r="H7" s="3347"/>
      <c r="I7" s="3347"/>
      <c r="J7" s="3347"/>
      <c r="K7" s="3347"/>
      <c r="L7" s="3347"/>
      <c r="M7" s="3347"/>
      <c r="N7" s="3347"/>
      <c r="O7" s="3347"/>
      <c r="P7" s="3347"/>
      <c r="Q7" s="3348"/>
      <c r="R7" s="1795" t="str">
        <f>结果表!O40</f>
        <v>——</v>
      </c>
    </row>
    <row r="8" spans="1:18">
      <c r="A8" s="3346">
        <f>IF(项目基本情况!B9="市场价格","——",项目基本情况!E9)</f>
        <v>0</v>
      </c>
      <c r="B8" s="3347"/>
      <c r="C8" s="3347"/>
      <c r="D8" s="3347"/>
      <c r="E8" s="3347"/>
      <c r="F8" s="3347"/>
      <c r="G8" s="3347"/>
      <c r="H8" s="3347"/>
      <c r="I8" s="3347"/>
      <c r="J8" s="3347"/>
      <c r="K8" s="3347"/>
      <c r="L8" s="3347"/>
      <c r="M8" s="3347"/>
      <c r="N8" s="3347"/>
      <c r="O8" s="3347"/>
      <c r="P8" s="3347"/>
      <c r="Q8" s="3348"/>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354" t="s">
        <v>2065</v>
      </c>
      <c r="B1" s="3354"/>
      <c r="C1" s="3354"/>
      <c r="D1" s="3354"/>
    </row>
    <row r="2" spans="1:4" ht="47.25" customHeight="1">
      <c r="A2" s="3358" t="str">
        <f>"1.权利限制："&amp;项目基本情况!L24&amp;"未设定租赁等其他他项权利。"</f>
        <v>1.权利限制：根据估价对象《不动产权证书》原件、《国有土地使用权》复印件，截至估价期日，估价对象抵押权未见登记。未设定租赁等其他他项权利。</v>
      </c>
      <c r="B2" s="3358"/>
      <c r="C2" s="3358"/>
      <c r="D2" s="3358"/>
    </row>
    <row r="3" spans="1:4" ht="48" customHeight="1">
      <c r="A3" s="33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4"/>
      <c r="C3" s="3354"/>
      <c r="D3" s="3354"/>
    </row>
    <row r="4" spans="1:4" ht="36.75" customHeight="1">
      <c r="A4" s="3354" t="str">
        <f>"3.估价规划限制条件：详见"&amp;项目基本情况!E21&amp;"。"</f>
        <v>3.估价规划限制条件：详见《建设工程规划许可证》[]、《出让合同》[]。</v>
      </c>
      <c r="B4" s="3354"/>
      <c r="C4" s="3354"/>
      <c r="D4" s="3354"/>
    </row>
    <row r="5" spans="1:4">
      <c r="A5" s="3357" t="s">
        <v>2066</v>
      </c>
      <c r="B5" s="3357"/>
      <c r="C5" s="3357"/>
      <c r="D5" s="3357"/>
    </row>
    <row r="6" spans="1:4">
      <c r="A6" s="3354" t="s">
        <v>2044</v>
      </c>
      <c r="B6" s="3354"/>
      <c r="C6" s="3354"/>
      <c r="D6" s="3354"/>
    </row>
    <row r="7" spans="1:4" ht="33" customHeight="1">
      <c r="A7" s="3354" t="s">
        <v>2575</v>
      </c>
      <c r="B7" s="3354"/>
      <c r="C7" s="3354"/>
      <c r="D7" s="3354"/>
    </row>
    <row r="8" spans="1:4" ht="32.25" customHeight="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4"/>
      <c r="C8" s="3354"/>
      <c r="D8" s="3354"/>
    </row>
    <row r="9" spans="1:4" ht="33.75" customHeight="1">
      <c r="A9" s="3354" t="str">
        <f>IF(项目基本情况!B8="抵押","3.抵押双方在办理抵押登记手续时，应使用本公司出具的正式《土地估价报告》，特提请报告使用者注意。","——")</f>
        <v>——</v>
      </c>
      <c r="B9" s="3354"/>
      <c r="C9" s="3354"/>
      <c r="D9" s="3354"/>
    </row>
    <row r="10" spans="1:4">
      <c r="A10" s="3354" t="str">
        <f>IF(项目基本情况!B8="抵押","4.估价师所知悉的法定优先受偿款情况为：","——")</f>
        <v>——</v>
      </c>
      <c r="B10" s="3354"/>
      <c r="C10" s="3354"/>
      <c r="D10" s="3354"/>
    </row>
    <row r="11" spans="1:4" ht="37.5" customHeight="1">
      <c r="A11" s="3356" t="str">
        <f>IF(项目基本情况!B8="抵押","（1）"&amp;CONCATENATE(项目基本情况!L24,项目基本情况!L25,项目基本情况!L26),"——")</f>
        <v>——</v>
      </c>
      <c r="B11" s="3356"/>
      <c r="C11" s="3356"/>
      <c r="D11" s="3356"/>
    </row>
    <row r="12" spans="1:4" ht="168" customHeight="1">
      <c r="A12" s="3357" t="s">
        <v>2068</v>
      </c>
      <c r="B12" s="3357"/>
      <c r="C12" s="3357"/>
      <c r="D12" s="3357"/>
    </row>
    <row r="13" spans="1:4">
      <c r="A13" s="3355" t="s">
        <v>2746</v>
      </c>
      <c r="B13" s="3355"/>
      <c r="C13" s="3355"/>
      <c r="D13" s="3355"/>
    </row>
    <row r="14" spans="1:4">
      <c r="A14" s="3356" t="str">
        <f>IF(项目基本情况!B8="抵押","综上，"&amp;结果表!K47,"——")</f>
        <v>——</v>
      </c>
      <c r="B14" s="3356"/>
      <c r="C14" s="3356"/>
      <c r="D14" s="3356"/>
    </row>
    <row r="15" spans="1:4" ht="58.5" customHeight="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354"/>
      <c r="C15" s="3354"/>
      <c r="D15" s="3354"/>
    </row>
    <row r="16" spans="1:4" ht="70.5" customHeight="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4"/>
      <c r="C16" s="3354"/>
      <c r="D16" s="3354"/>
    </row>
    <row r="17" spans="1:4">
      <c r="A17" s="3354" t="s">
        <v>2702</v>
      </c>
      <c r="B17" s="3354"/>
      <c r="C17" s="3354"/>
      <c r="D17" s="3354"/>
    </row>
    <row r="18" spans="1:4">
      <c r="A18" s="3354" t="s">
        <v>2694</v>
      </c>
      <c r="B18" s="3354"/>
      <c r="C18" s="3354"/>
      <c r="D18" s="3354"/>
    </row>
    <row r="19" spans="1:4">
      <c r="A19" s="2821" t="s">
        <v>2695</v>
      </c>
      <c r="B19" s="2821" t="s">
        <v>2696</v>
      </c>
      <c r="C19" s="2821" t="s">
        <v>2697</v>
      </c>
      <c r="D19" s="2821" t="s">
        <v>2698</v>
      </c>
    </row>
    <row r="20" spans="1:4">
      <c r="A20" s="2821" t="str">
        <f>项目基本情况!B4</f>
        <v>土地估价师</v>
      </c>
      <c r="B20" s="2821">
        <f>项目基本情况!C4</f>
        <v>0</v>
      </c>
      <c r="C20" s="2823"/>
      <c r="D20" s="1783" t="s">
        <v>2703</v>
      </c>
    </row>
    <row r="21" spans="1:4">
      <c r="A21" s="2821" t="str">
        <f>项目基本情况!D4</f>
        <v>土地估价师</v>
      </c>
      <c r="B21" s="2821">
        <f>项目基本情况!E4</f>
        <v>0</v>
      </c>
      <c r="C21" s="2823"/>
      <c r="D21" s="1783" t="s">
        <v>2704</v>
      </c>
    </row>
    <row r="23" spans="1:4">
      <c r="A23" s="3354" t="s">
        <v>2699</v>
      </c>
      <c r="B23" s="3354"/>
      <c r="C23" s="3354"/>
      <c r="D23" s="3354"/>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66" t="s">
        <v>53</v>
      </c>
      <c r="B15" s="3367" t="s">
        <v>846</v>
      </c>
      <c r="C15" s="3363"/>
    </row>
    <row r="16" spans="1:7" ht="14.25">
      <c r="A16" s="3366"/>
      <c r="B16" s="3364" t="s">
        <v>54</v>
      </c>
      <c r="C16" s="1165" t="s">
        <v>53</v>
      </c>
    </row>
    <row r="17" spans="1:3" ht="14.25">
      <c r="A17" s="3366"/>
      <c r="B17" s="3364"/>
      <c r="C17" s="1165" t="s">
        <v>55</v>
      </c>
    </row>
    <row r="18" spans="1:3" ht="14.25">
      <c r="A18" s="3366"/>
      <c r="B18" s="3364"/>
      <c r="C18" s="1165" t="s">
        <v>56</v>
      </c>
    </row>
    <row r="19" spans="1:3" ht="14.25">
      <c r="A19" s="3366"/>
      <c r="B19" s="3362" t="s">
        <v>57</v>
      </c>
      <c r="C19" s="3363"/>
    </row>
    <row r="20" spans="1:3" ht="14.25">
      <c r="A20" s="1166" t="s">
        <v>58</v>
      </c>
      <c r="B20" s="1167"/>
      <c r="C20" s="1168"/>
    </row>
    <row r="21" spans="1:3" ht="14.25">
      <c r="A21" s="3365" t="s">
        <v>59</v>
      </c>
      <c r="B21" s="3362" t="s">
        <v>60</v>
      </c>
      <c r="C21" s="3363"/>
    </row>
    <row r="22" spans="1:3" ht="14.25">
      <c r="A22" s="3365"/>
      <c r="B22" s="3362" t="s">
        <v>61</v>
      </c>
      <c r="C22" s="3363"/>
    </row>
    <row r="23" spans="1:3" ht="14.25">
      <c r="A23" s="3365"/>
      <c r="B23" s="3362" t="s">
        <v>62</v>
      </c>
      <c r="C23" s="3363"/>
    </row>
    <row r="24" spans="1:3" ht="14.25">
      <c r="A24" s="3365"/>
      <c r="B24" s="3368" t="s">
        <v>63</v>
      </c>
      <c r="C24" s="1169" t="s">
        <v>837</v>
      </c>
    </row>
    <row r="25" spans="1:3" ht="14.25">
      <c r="A25" s="3365"/>
      <c r="B25" s="3369"/>
      <c r="C25" s="1169" t="s">
        <v>838</v>
      </c>
    </row>
    <row r="26" spans="1:3" ht="14.25">
      <c r="A26" s="3365"/>
      <c r="B26" s="3369"/>
      <c r="C26" s="1169" t="s">
        <v>839</v>
      </c>
    </row>
    <row r="27" spans="1:3" ht="14.25">
      <c r="A27" s="3365"/>
      <c r="B27" s="3369"/>
      <c r="C27" s="1169" t="s">
        <v>840</v>
      </c>
    </row>
    <row r="28" spans="1:3" ht="14.25">
      <c r="A28" s="3365"/>
      <c r="B28" s="3369"/>
      <c r="C28" s="1169" t="s">
        <v>841</v>
      </c>
    </row>
    <row r="29" spans="1:3" ht="14.25">
      <c r="A29" s="3365"/>
      <c r="B29" s="3369"/>
      <c r="C29" s="1169" t="s">
        <v>842</v>
      </c>
    </row>
    <row r="30" spans="1:3" ht="14.25">
      <c r="A30" s="3365"/>
      <c r="B30" s="3369"/>
      <c r="C30" s="1169" t="s">
        <v>843</v>
      </c>
    </row>
    <row r="31" spans="1:3" ht="14.25">
      <c r="A31" s="3365"/>
      <c r="B31" s="3369"/>
      <c r="C31" s="1169" t="s">
        <v>844</v>
      </c>
    </row>
    <row r="32" spans="1:3" ht="14.25">
      <c r="A32" s="3365"/>
      <c r="B32" s="3369"/>
      <c r="C32" s="1169" t="s">
        <v>1646</v>
      </c>
    </row>
    <row r="33" spans="1:3" ht="14.25">
      <c r="A33" s="3365"/>
      <c r="B33" s="3359" t="s">
        <v>1652</v>
      </c>
      <c r="C33" s="1169" t="s">
        <v>1647</v>
      </c>
    </row>
    <row r="34" spans="1:3" ht="14.25">
      <c r="A34" s="3365"/>
      <c r="B34" s="3360"/>
      <c r="C34" s="1174" t="s">
        <v>1648</v>
      </c>
    </row>
    <row r="35" spans="1:3" ht="14.25">
      <c r="A35" s="3365"/>
      <c r="B35" s="3360"/>
      <c r="C35" s="1175" t="s">
        <v>1649</v>
      </c>
    </row>
    <row r="36" spans="1:3" ht="14.25">
      <c r="A36" s="3365"/>
      <c r="B36" s="3360"/>
      <c r="C36" s="1175" t="s">
        <v>1650</v>
      </c>
    </row>
    <row r="37" spans="1:3" ht="14.25">
      <c r="A37" s="3365"/>
      <c r="B37" s="336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43796</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2574</v>
      </c>
      <c r="B15" s="3129">
        <f ca="1">IF(C15&lt;B2,"已过期",1120070085)</f>
        <v>1120070085</v>
      </c>
      <c r="C15" s="3133">
        <v>43814</v>
      </c>
      <c r="D15" s="3129" t="s">
        <v>2983</v>
      </c>
      <c r="E15" s="3129">
        <f ca="1">IF(F15&lt;B2,"已过期",2004110128)</f>
        <v>2004110128</v>
      </c>
      <c r="F15" s="3135">
        <v>47118</v>
      </c>
    </row>
    <row r="16" spans="1:6" ht="20.25" customHeight="1">
      <c r="A16" s="3129" t="s">
        <v>1923</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370" t="s">
        <v>1926</v>
      </c>
      <c r="B25" s="3370"/>
      <c r="C25" s="3370"/>
      <c r="D25" s="3370"/>
      <c r="E25" s="3370"/>
      <c r="F25" s="3370"/>
      <c r="G25" s="3370"/>
    </row>
    <row r="26" spans="1:7" ht="20.25" customHeight="1">
      <c r="A26" s="3371" t="s">
        <v>1927</v>
      </c>
      <c r="B26" s="3371"/>
      <c r="C26" s="3371"/>
      <c r="D26" s="3371" t="s">
        <v>1928</v>
      </c>
      <c r="E26" s="3371"/>
      <c r="F26" s="3371"/>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2993</v>
      </c>
      <c r="F29" s="3141">
        <v>43646</v>
      </c>
    </row>
    <row r="30" spans="1:7" ht="20.25" customHeight="1">
      <c r="C30" s="3143"/>
      <c r="D30" s="3143"/>
    </row>
  </sheetData>
  <sheetProtection sheet="1" objects="1" scenarios="1"/>
  <mergeCells count="3">
    <mergeCell ref="A25:G25"/>
    <mergeCell ref="A26:C26"/>
    <mergeCell ref="D26:F26"/>
  </mergeCells>
  <phoneticPr fontId="6"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2" t="s">
        <v>2955</v>
      </c>
      <c r="C18" s="1538"/>
    </row>
    <row r="19" spans="1:3">
      <c r="A19" s="8" t="s">
        <v>120</v>
      </c>
      <c r="B19" s="3062" t="s">
        <v>2963</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372"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c r="D53" s="1750"/>
      <c r="E53" s="1750"/>
    </row>
    <row r="54" spans="1:5">
      <c r="A54" s="3372"/>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72"/>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72"/>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72"/>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2" t="s">
        <v>2052</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建安汇总</vt:lpstr>
      <vt:lpstr>结果汇总表</vt:lpstr>
      <vt:lpstr>商住比</vt:lpstr>
      <vt:lpstr>汇总表</vt:lpstr>
      <vt:lpstr>结果初审</vt:lpstr>
      <vt:lpstr>2019.1.15示例</vt:lpstr>
      <vt:lpstr>结果表</vt:lpstr>
      <vt:lpstr>基准地价</vt:lpstr>
      <vt:lpstr>剩余法-待开发</vt:lpstr>
      <vt:lpstr>剩余法-现房</vt:lpstr>
      <vt:lpstr>比较法-住宅、综合</vt:lpstr>
      <vt:lpstr>比较法-工业</vt:lpstr>
      <vt:lpstr>不动产比较法-住宅</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住宅销售案例</vt:lpstr>
      <vt:lpstr>Sheet1</vt:lpstr>
      <vt:lpstr>Sheet2</vt:lpstr>
      <vt:lpstr>'2019.1.15示例'!Print_Area</vt:lpstr>
      <vt:lpstr>汇总表!Print_Area</vt:lpstr>
      <vt:lpstr>'2019.1.15示例'!Print_Titles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2019-11-27T08:39:31Z</dcterms:modified>
</cp:coreProperties>
</file>