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3" activeTab="42"/>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r:id="rId39"/>
    <sheet name="存贷款利率" sheetId="65" state="hidden" r:id="rId40"/>
    <sheet name="Sheet1" sheetId="68" r:id="rId41"/>
    <sheet name="面积表" sheetId="69" state="hidden" r:id="rId42"/>
    <sheet name="Sheet2" sheetId="70" r:id="rId43"/>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K4" i="70" l="1"/>
  <c r="K5" i="70"/>
  <c r="K6" i="70"/>
  <c r="K7" i="70"/>
  <c r="K8" i="70"/>
  <c r="K9" i="70"/>
  <c r="K10" i="70"/>
  <c r="K3" i="70"/>
  <c r="J4" i="70"/>
  <c r="J5" i="70"/>
  <c r="J6" i="70"/>
  <c r="J7" i="70"/>
  <c r="J8" i="70"/>
  <c r="J9" i="70"/>
  <c r="J10" i="70"/>
  <c r="J3" i="70"/>
  <c r="I10" i="70"/>
  <c r="H10" i="70"/>
  <c r="F10" i="70"/>
  <c r="E10" i="70"/>
  <c r="C10" i="70"/>
  <c r="B10" i="70"/>
  <c r="I9" i="39"/>
  <c r="G9" i="39"/>
  <c r="E9" i="39"/>
  <c r="E22" i="69"/>
  <c r="H22" i="69"/>
  <c r="E24" i="69"/>
  <c r="H24" i="69"/>
  <c r="H29" i="69"/>
  <c r="G22" i="69"/>
  <c r="G23" i="69"/>
  <c r="G24" i="69"/>
  <c r="G28" i="69"/>
  <c r="G29" i="69"/>
  <c r="F22" i="69"/>
  <c r="F24" i="69"/>
  <c r="F29" i="69"/>
  <c r="E29" i="69"/>
  <c r="D22" i="69"/>
  <c r="D23" i="69"/>
  <c r="D24" i="69"/>
  <c r="D25" i="69"/>
  <c r="D26" i="69"/>
  <c r="D27" i="69"/>
  <c r="D28" i="69"/>
  <c r="D29" i="69"/>
  <c r="C23" i="69"/>
  <c r="C25" i="69"/>
  <c r="C26" i="69"/>
  <c r="C27" i="69"/>
  <c r="C28" i="69"/>
  <c r="C29" i="69"/>
  <c r="B29" i="69"/>
  <c r="T20" i="1"/>
  <c r="T21" i="1"/>
  <c r="U7" i="1"/>
  <c r="A6" i="1"/>
  <c r="A7" i="1"/>
  <c r="G1" i="15"/>
  <c r="F6" i="15"/>
  <c r="F8" i="15"/>
  <c r="F20" i="6"/>
  <c r="E20" i="6"/>
  <c r="K7" i="1"/>
  <c r="F7" i="15"/>
  <c r="F9" i="15"/>
  <c r="C6" i="15"/>
  <c r="D3" i="4"/>
  <c r="C1" i="65"/>
  <c r="N1" i="65"/>
  <c r="N4" i="65"/>
  <c r="C4" i="65"/>
  <c r="B39" i="1"/>
  <c r="F11" i="15"/>
  <c r="C10" i="15"/>
  <c r="C5" i="15"/>
  <c r="B43" i="1"/>
  <c r="B41" i="1"/>
  <c r="F32" i="15"/>
  <c r="C32" i="15"/>
  <c r="F33" i="15"/>
  <c r="C33" i="15"/>
  <c r="BC13" i="3"/>
  <c r="BB13" i="3"/>
  <c r="BD13" i="3"/>
  <c r="BE13" i="3"/>
  <c r="BF13" i="3"/>
  <c r="BG13" i="3"/>
  <c r="BH13" i="3"/>
  <c r="BI13" i="3"/>
  <c r="BJ13" i="3"/>
  <c r="BK13" i="3"/>
  <c r="BA13" i="3"/>
  <c r="BS13" i="3"/>
  <c r="BO13" i="3"/>
  <c r="BM13" i="3"/>
  <c r="BN13" i="3"/>
  <c r="BP13" i="3"/>
  <c r="BQ13" i="3"/>
  <c r="BR13" i="3"/>
  <c r="BT13" i="3"/>
  <c r="BL13" i="3"/>
  <c r="AZ13" i="3"/>
  <c r="BC14" i="3"/>
  <c r="BB14" i="3"/>
  <c r="BD14" i="3"/>
  <c r="BE14" i="3"/>
  <c r="BF14" i="3"/>
  <c r="BG14" i="3"/>
  <c r="BH14" i="3"/>
  <c r="BI14" i="3"/>
  <c r="BJ14" i="3"/>
  <c r="BK14" i="3"/>
  <c r="BA14" i="3"/>
  <c r="BS14" i="3"/>
  <c r="BO14" i="3"/>
  <c r="BM14" i="3"/>
  <c r="BN14" i="3"/>
  <c r="BP14" i="3"/>
  <c r="BQ14" i="3"/>
  <c r="BR14" i="3"/>
  <c r="BT14" i="3"/>
  <c r="BL14" i="3"/>
  <c r="AZ14" i="3"/>
  <c r="BC15" i="3"/>
  <c r="BB15" i="3"/>
  <c r="BD15" i="3"/>
  <c r="BE15" i="3"/>
  <c r="BF15" i="3"/>
  <c r="BG15" i="3"/>
  <c r="BH15" i="3"/>
  <c r="BI15" i="3"/>
  <c r="BJ15" i="3"/>
  <c r="BK15" i="3"/>
  <c r="BA15" i="3"/>
  <c r="BS15" i="3"/>
  <c r="BO15" i="3"/>
  <c r="BM15" i="3"/>
  <c r="BN15" i="3"/>
  <c r="BP15" i="3"/>
  <c r="BQ15" i="3"/>
  <c r="BR15" i="3"/>
  <c r="BT15" i="3"/>
  <c r="BL15" i="3"/>
  <c r="AZ15" i="3"/>
  <c r="BC16" i="3"/>
  <c r="BB16" i="3"/>
  <c r="BD16" i="3"/>
  <c r="BE16" i="3"/>
  <c r="BF16" i="3"/>
  <c r="BG16" i="3"/>
  <c r="BH16" i="3"/>
  <c r="BI16" i="3"/>
  <c r="BJ16" i="3"/>
  <c r="BK16" i="3"/>
  <c r="BA16" i="3"/>
  <c r="BS16" i="3"/>
  <c r="BO16" i="3"/>
  <c r="BM16" i="3"/>
  <c r="BN16" i="3"/>
  <c r="BP16" i="3"/>
  <c r="BQ16" i="3"/>
  <c r="BR16" i="3"/>
  <c r="BT16" i="3"/>
  <c r="BL16" i="3"/>
  <c r="AZ16" i="3"/>
  <c r="BC17" i="3"/>
  <c r="BB17" i="3"/>
  <c r="BD17" i="3"/>
  <c r="BE17" i="3"/>
  <c r="BF17" i="3"/>
  <c r="BG17" i="3"/>
  <c r="BH17" i="3"/>
  <c r="BI17" i="3"/>
  <c r="BJ17" i="3"/>
  <c r="BK17" i="3"/>
  <c r="BA17" i="3"/>
  <c r="BS17" i="3"/>
  <c r="BO17" i="3"/>
  <c r="BM17" i="3"/>
  <c r="BN17" i="3"/>
  <c r="BP17" i="3"/>
  <c r="BQ17" i="3"/>
  <c r="BR17" i="3"/>
  <c r="BT17" i="3"/>
  <c r="BL17" i="3"/>
  <c r="AZ17" i="3"/>
  <c r="BC18" i="3"/>
  <c r="BB18" i="3"/>
  <c r="BD18" i="3"/>
  <c r="BE18" i="3"/>
  <c r="BF18" i="3"/>
  <c r="BG18" i="3"/>
  <c r="BH18" i="3"/>
  <c r="BI18" i="3"/>
  <c r="BJ18" i="3"/>
  <c r="BK18" i="3"/>
  <c r="BA18" i="3"/>
  <c r="BS18" i="3"/>
  <c r="BO18" i="3"/>
  <c r="BM18" i="3"/>
  <c r="BN18" i="3"/>
  <c r="BP18" i="3"/>
  <c r="BQ18" i="3"/>
  <c r="BR18" i="3"/>
  <c r="BT18" i="3"/>
  <c r="BL18" i="3"/>
  <c r="AZ18" i="3"/>
  <c r="BC19" i="3"/>
  <c r="BB19" i="3"/>
  <c r="BD19" i="3"/>
  <c r="BE19" i="3"/>
  <c r="BF19" i="3"/>
  <c r="BG19" i="3"/>
  <c r="BH19" i="3"/>
  <c r="BI19" i="3"/>
  <c r="BJ19" i="3"/>
  <c r="BK19" i="3"/>
  <c r="BA19" i="3"/>
  <c r="BS19" i="3"/>
  <c r="BO19" i="3"/>
  <c r="BM19" i="3"/>
  <c r="BN19" i="3"/>
  <c r="BP19" i="3"/>
  <c r="BQ19" i="3"/>
  <c r="BR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AT5" i="3"/>
  <c r="B3" i="3"/>
  <c r="AY6" i="3"/>
  <c r="D3" i="6"/>
  <c r="E3" i="6"/>
  <c r="D20" i="6"/>
  <c r="BA5" i="3"/>
  <c r="F19" i="6"/>
  <c r="E19" i="6"/>
  <c r="E21" i="6"/>
  <c r="E22" i="6"/>
  <c r="E23" i="6"/>
  <c r="E24" i="6"/>
  <c r="E25" i="6"/>
  <c r="E26" i="6"/>
  <c r="E27" i="6"/>
  <c r="BS5" i="3"/>
  <c r="BQ5" i="3"/>
  <c r="F28" i="6"/>
  <c r="BR5" i="3"/>
  <c r="BT5" i="3"/>
  <c r="G28" i="6"/>
  <c r="E28" i="6"/>
  <c r="K20" i="6"/>
  <c r="L20" i="6"/>
  <c r="M20" i="6"/>
  <c r="I20" i="6"/>
  <c r="H20" i="6"/>
  <c r="R20" i="6"/>
  <c r="R7" i="1"/>
  <c r="F35" i="15"/>
  <c r="B52" i="1"/>
  <c r="F34" i="15"/>
  <c r="C34" i="15"/>
  <c r="C31" i="15"/>
  <c r="M7" i="1"/>
  <c r="K14" i="1"/>
  <c r="M14" i="1"/>
  <c r="S7" i="1"/>
  <c r="K19" i="6"/>
  <c r="S6" i="1"/>
  <c r="A8" i="1"/>
  <c r="S8" i="1"/>
  <c r="A9" i="1"/>
  <c r="S9" i="1"/>
  <c r="A10" i="1"/>
  <c r="S10" i="1"/>
  <c r="A11" i="1"/>
  <c r="S11" i="1"/>
  <c r="A12" i="1"/>
  <c r="S12" i="1"/>
  <c r="A13" i="1"/>
  <c r="S13" i="1"/>
  <c r="S16" i="1"/>
  <c r="T4" i="1"/>
  <c r="T7" i="1"/>
  <c r="C14" i="15"/>
  <c r="F15" i="15"/>
  <c r="C15" i="15"/>
  <c r="F16" i="15"/>
  <c r="C16" i="15"/>
  <c r="F43" i="15"/>
  <c r="F17" i="15"/>
  <c r="C17" i="15"/>
  <c r="F18" i="15"/>
  <c r="C18" i="15"/>
  <c r="C19" i="15"/>
  <c r="F20" i="15"/>
  <c r="C20" i="15"/>
  <c r="H1" i="65"/>
  <c r="I6" i="65"/>
  <c r="B22" i="1"/>
  <c r="C2" i="65"/>
  <c r="I1" i="65"/>
  <c r="I5" i="65"/>
  <c r="E2" i="65"/>
  <c r="B40" i="1"/>
  <c r="F24" i="15"/>
  <c r="F23" i="15"/>
  <c r="C23" i="15"/>
  <c r="F26" i="15"/>
  <c r="C26" i="15"/>
  <c r="F21" i="15"/>
  <c r="C24" i="15"/>
  <c r="C27" i="15"/>
  <c r="F28" i="15"/>
  <c r="B2" i="1"/>
  <c r="C42" i="1"/>
  <c r="C28" i="15"/>
  <c r="C29" i="15"/>
  <c r="F36" i="15"/>
  <c r="C36" i="15"/>
  <c r="F13" i="15"/>
  <c r="C13" i="15"/>
  <c r="F37" i="15"/>
  <c r="C37" i="15"/>
  <c r="F38" i="15"/>
  <c r="C38" i="15"/>
  <c r="C30" i="15"/>
  <c r="C39" i="15"/>
  <c r="F42" i="15"/>
  <c r="F40" i="15"/>
  <c r="E19" i="4"/>
  <c r="F7" i="1"/>
  <c r="L48" i="15"/>
  <c r="M47" i="15"/>
  <c r="J50" i="15"/>
  <c r="J51" i="15"/>
  <c r="J53" i="15"/>
  <c r="F1" i="15"/>
  <c r="AE7" i="1"/>
  <c r="F41" i="15"/>
  <c r="C40" i="15"/>
  <c r="M6" i="15"/>
  <c r="M8" i="15"/>
  <c r="M7" i="15"/>
  <c r="M9" i="15"/>
  <c r="J6" i="15"/>
  <c r="M11" i="15"/>
  <c r="J10" i="15"/>
  <c r="J5" i="15"/>
  <c r="J26" i="15"/>
  <c r="J29" i="15"/>
  <c r="J60" i="15"/>
  <c r="L46" i="15"/>
  <c r="B2" i="15"/>
  <c r="B3" i="15"/>
  <c r="D8" i="12"/>
  <c r="D9" i="12"/>
  <c r="D10" i="12"/>
  <c r="C9" i="12"/>
  <c r="R47" i="21"/>
  <c r="C7" i="21"/>
  <c r="E7" i="21"/>
  <c r="C58" i="21"/>
  <c r="D58" i="21"/>
  <c r="E58" i="21"/>
  <c r="F58" i="21"/>
  <c r="G58" i="21"/>
  <c r="H58" i="21"/>
  <c r="I58" i="21"/>
  <c r="J58" i="21"/>
  <c r="K58" i="21"/>
  <c r="L58" i="21"/>
  <c r="M58" i="21"/>
  <c r="N58" i="21"/>
  <c r="O58" i="21"/>
  <c r="F7" i="21"/>
  <c r="AA7" i="21"/>
  <c r="F8" i="21"/>
  <c r="AA8" i="21"/>
  <c r="C63" i="21"/>
  <c r="F9" i="21"/>
  <c r="AA9" i="21"/>
  <c r="F10" i="21"/>
  <c r="AA10" i="21"/>
  <c r="F11" i="21"/>
  <c r="AA11" i="21"/>
  <c r="B70" i="21"/>
  <c r="F12" i="21"/>
  <c r="AA12" i="21"/>
  <c r="B72" i="21"/>
  <c r="F13" i="21"/>
  <c r="AA13" i="21"/>
  <c r="B74" i="21"/>
  <c r="F14" i="21"/>
  <c r="AA14" i="21"/>
  <c r="D77" i="21"/>
  <c r="E77" i="21"/>
  <c r="F15" i="21"/>
  <c r="AA15" i="21"/>
  <c r="D79" i="21"/>
  <c r="E79" i="21"/>
  <c r="F17" i="21"/>
  <c r="AA17" i="21"/>
  <c r="D81" i="21"/>
  <c r="E81" i="21"/>
  <c r="F19" i="21"/>
  <c r="AA19"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D101" i="21"/>
  <c r="E101" i="21"/>
  <c r="F32" i="21"/>
  <c r="AA32" i="21"/>
  <c r="F33" i="21"/>
  <c r="AA33" i="21"/>
  <c r="F34" i="21"/>
  <c r="AA34" i="21"/>
  <c r="D108" i="21"/>
  <c r="F35" i="21"/>
  <c r="AA35" i="21"/>
  <c r="F36" i="21"/>
  <c r="AA36" i="21"/>
  <c r="D113" i="21"/>
  <c r="E113" i="21"/>
  <c r="F113" i="21"/>
  <c r="G113" i="21"/>
  <c r="F37" i="21"/>
  <c r="AA37" i="21"/>
  <c r="F38" i="21"/>
  <c r="AA38" i="21"/>
  <c r="F39" i="21"/>
  <c r="AA39" i="21"/>
  <c r="F40" i="21"/>
  <c r="AA40" i="21"/>
  <c r="F41" i="21"/>
  <c r="AA41" i="21"/>
  <c r="D123" i="21"/>
  <c r="E123" i="21"/>
  <c r="F123" i="21"/>
  <c r="F42" i="21"/>
  <c r="AA42" i="21"/>
  <c r="D125" i="21"/>
  <c r="F43" i="21"/>
  <c r="AA43" i="21"/>
  <c r="B126" i="21"/>
  <c r="F44" i="21"/>
  <c r="AA44" i="21"/>
  <c r="B128" i="21"/>
  <c r="F45" i="21"/>
  <c r="AA45" i="21"/>
  <c r="B130" i="21"/>
  <c r="F46" i="21"/>
  <c r="AA46" i="21"/>
  <c r="R48" i="21"/>
  <c r="T47" i="21"/>
  <c r="G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V47" i="21"/>
  <c r="I7" i="21"/>
  <c r="J7" i="21"/>
  <c r="AC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C8" i="12"/>
  <c r="C10" i="12"/>
  <c r="C6" i="12"/>
  <c r="D83" i="39"/>
  <c r="E83" i="39"/>
  <c r="F83" i="39"/>
  <c r="D82" i="39"/>
  <c r="E82" i="39"/>
  <c r="F82" i="39"/>
  <c r="G82" i="39"/>
  <c r="H82" i="39"/>
  <c r="F13" i="39"/>
  <c r="AA13" i="39"/>
  <c r="E40" i="39"/>
  <c r="D119" i="39"/>
  <c r="D120" i="39"/>
  <c r="E120" i="39"/>
  <c r="F120" i="39"/>
  <c r="F40" i="39"/>
  <c r="AA40" i="39"/>
  <c r="K6" i="1"/>
  <c r="K8" i="1"/>
  <c r="K9" i="1"/>
  <c r="K10" i="1"/>
  <c r="K11" i="1"/>
  <c r="K12" i="1"/>
  <c r="K13" i="1"/>
  <c r="D122" i="39"/>
  <c r="E122" i="39"/>
  <c r="F122" i="39"/>
  <c r="F41" i="39"/>
  <c r="AA41"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P25" i="46"/>
  <c r="B73" i="39"/>
  <c r="F9" i="39"/>
  <c r="AA9" i="39"/>
  <c r="R48" i="39"/>
  <c r="F10" i="39"/>
  <c r="AA10" i="39"/>
  <c r="F11" i="39"/>
  <c r="AA11" i="39"/>
  <c r="H13" i="39"/>
  <c r="AB13" i="39"/>
  <c r="G40" i="39"/>
  <c r="H40" i="39"/>
  <c r="AB40" i="39"/>
  <c r="H41" i="39"/>
  <c r="AB41" i="39"/>
  <c r="H9" i="39"/>
  <c r="AB9" i="39"/>
  <c r="T48" i="39"/>
  <c r="H10" i="39"/>
  <c r="AB10" i="39"/>
  <c r="H11" i="39"/>
  <c r="AB11" i="39"/>
  <c r="J13" i="39"/>
  <c r="AC13" i="39"/>
  <c r="I40" i="39"/>
  <c r="J40" i="39"/>
  <c r="AC40" i="39"/>
  <c r="J41" i="39"/>
  <c r="AC41" i="39"/>
  <c r="J9" i="39"/>
  <c r="AC9" i="39"/>
  <c r="V48" i="39"/>
  <c r="J10" i="39"/>
  <c r="AC10" i="39"/>
  <c r="J11" i="39"/>
  <c r="AC11" i="39"/>
  <c r="BB5" i="3"/>
  <c r="BC5" i="3"/>
  <c r="BB10" i="3"/>
  <c r="BC10" i="3"/>
  <c r="BD10" i="3"/>
  <c r="BE10" i="3"/>
  <c r="BF10" i="3"/>
  <c r="BG10" i="3"/>
  <c r="BH10" i="3"/>
  <c r="BI10" i="3"/>
  <c r="BJ10" i="3"/>
  <c r="BK10" i="3"/>
  <c r="BD5" i="3"/>
  <c r="BE5" i="3"/>
  <c r="BF5" i="3"/>
  <c r="BG5" i="3"/>
  <c r="BH5" i="3"/>
  <c r="BI5" i="3"/>
  <c r="BJ5" i="3"/>
  <c r="BK5" i="3"/>
  <c r="E8" i="6"/>
  <c r="E58" i="39"/>
  <c r="M6" i="1"/>
  <c r="O6" i="1"/>
  <c r="P6" i="1"/>
  <c r="O7" i="1"/>
  <c r="P7" i="1"/>
  <c r="M8" i="1"/>
  <c r="O8" i="1"/>
  <c r="P8" i="1"/>
  <c r="M9" i="1"/>
  <c r="O9" i="1"/>
  <c r="P9" i="1"/>
  <c r="M10" i="1"/>
  <c r="O10" i="1"/>
  <c r="P10" i="1"/>
  <c r="M11" i="1"/>
  <c r="O11" i="1"/>
  <c r="P11" i="1"/>
  <c r="M12" i="1"/>
  <c r="O12" i="1"/>
  <c r="P12" i="1"/>
  <c r="M13" i="1"/>
  <c r="O13" i="1"/>
  <c r="P13" i="1"/>
  <c r="O14" i="1"/>
  <c r="P14" i="1"/>
  <c r="P16" i="1"/>
  <c r="C13" i="12"/>
  <c r="F14" i="12"/>
  <c r="C14" i="12"/>
  <c r="F15" i="12"/>
  <c r="C15" i="12"/>
  <c r="D16" i="12"/>
  <c r="E16" i="12"/>
  <c r="C16" i="12"/>
  <c r="F17" i="12"/>
  <c r="C17" i="12"/>
  <c r="C18" i="12"/>
  <c r="D19" i="12"/>
  <c r="E19" i="12"/>
  <c r="C19" i="12"/>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BM5" i="3"/>
  <c r="BN5" i="3"/>
  <c r="BO5" i="3"/>
  <c r="BP5" i="3"/>
  <c r="E5" i="6"/>
  <c r="D21" i="12"/>
  <c r="E21" i="12"/>
  <c r="C21" i="12"/>
  <c r="E6" i="6"/>
  <c r="D22" i="12"/>
  <c r="E22" i="12"/>
  <c r="C22" i="12"/>
  <c r="C20" i="12"/>
  <c r="F23" i="12"/>
  <c r="C23" i="12"/>
  <c r="F24" i="12"/>
  <c r="C24" i="12"/>
  <c r="F26" i="12"/>
  <c r="B24" i="1"/>
  <c r="C28" i="12"/>
  <c r="C26" i="12"/>
  <c r="F29" i="12"/>
  <c r="C29" i="12"/>
  <c r="C31" i="12"/>
  <c r="C30" i="12"/>
  <c r="Q16" i="1"/>
  <c r="F33" i="12"/>
  <c r="C35" i="12"/>
  <c r="C33" i="12"/>
  <c r="F25" i="12"/>
  <c r="C25" i="12"/>
  <c r="C27" i="12"/>
  <c r="D26" i="12"/>
  <c r="C32" i="12"/>
  <c r="D30" i="12"/>
  <c r="C34" i="12"/>
  <c r="D33" i="12"/>
  <c r="C36" i="12"/>
  <c r="B2" i="12"/>
  <c r="B3" i="12"/>
  <c r="D20" i="9"/>
  <c r="C17" i="9"/>
  <c r="D17" i="9"/>
  <c r="C18" i="9"/>
  <c r="D18" i="9"/>
  <c r="F27" i="6"/>
  <c r="C7" i="33"/>
  <c r="I7" i="33"/>
  <c r="G7" i="33"/>
  <c r="E7" i="33"/>
  <c r="G120" i="39"/>
  <c r="H120" i="39"/>
  <c r="I120" i="39"/>
  <c r="J120" i="39"/>
  <c r="I82" i="39"/>
  <c r="J82" i="3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M19" i="46"/>
  <c r="D8" i="59"/>
  <c r="AB6" i="59"/>
  <c r="AA6" i="59"/>
  <c r="Y6" i="59"/>
  <c r="Z6" i="59"/>
  <c r="X6" i="59"/>
  <c r="K59" i="15"/>
  <c r="P62" i="15"/>
  <c r="P75" i="15"/>
  <c r="Q74" i="44"/>
  <c r="Q61" i="44"/>
  <c r="Q60" i="44"/>
  <c r="Q53" i="44"/>
  <c r="J51" i="44"/>
  <c r="J52" i="44"/>
  <c r="M48" i="44"/>
  <c r="A16" i="55"/>
  <c r="A15" i="55"/>
  <c r="A14" i="55"/>
  <c r="A11" i="55"/>
  <c r="A10" i="55"/>
  <c r="A9" i="55"/>
  <c r="A8" i="55"/>
  <c r="A6" i="54"/>
  <c r="A8" i="54"/>
  <c r="A7" i="54"/>
  <c r="C57" i="10"/>
  <c r="A28" i="51"/>
  <c r="A27" i="51"/>
  <c r="D5" i="46"/>
  <c r="AB7" i="59"/>
  <c r="Y7" i="59"/>
  <c r="Z7" i="59"/>
  <c r="X7" i="59"/>
  <c r="AA7" i="59"/>
  <c r="B11" i="59"/>
  <c r="C11" i="59"/>
  <c r="D11" i="59"/>
  <c r="E11" i="59"/>
  <c r="F11"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E10" i="59"/>
  <c r="E9" i="59"/>
  <c r="C10" i="59"/>
  <c r="F10" i="59"/>
  <c r="F9" i="59"/>
  <c r="V7" i="59"/>
  <c r="U7" i="59"/>
  <c r="S7" i="59"/>
  <c r="D10" i="59"/>
  <c r="C9"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3" i="65"/>
  <c r="T7" i="59"/>
  <c r="D7" i="59"/>
  <c r="B76" i="63"/>
  <c r="M5" i="54"/>
  <c r="B41" i="63"/>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G5" i="54"/>
  <c r="B34" i="63"/>
  <c r="E5" i="54"/>
  <c r="B32" i="63"/>
  <c r="R2" i="54"/>
  <c r="B24"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F21" i="59"/>
  <c r="E21" i="59"/>
  <c r="E22" i="59"/>
  <c r="E23" i="59"/>
  <c r="U23" i="59"/>
  <c r="C21" i="59"/>
  <c r="B21" i="59"/>
  <c r="B22" i="59"/>
  <c r="B23" i="59"/>
  <c r="S23" i="59"/>
  <c r="D20" i="59"/>
  <c r="F17" i="59"/>
  <c r="E17" i="59"/>
  <c r="E18" i="59"/>
  <c r="E19" i="59"/>
  <c r="U19" i="59"/>
  <c r="C17" i="59"/>
  <c r="B17" i="59"/>
  <c r="B18" i="59"/>
  <c r="B19" i="59"/>
  <c r="S19" i="59"/>
  <c r="D16" i="59"/>
  <c r="F13" i="59"/>
  <c r="C13"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L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F105" i="39"/>
  <c r="H31" i="39"/>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M20" i="46"/>
  <c r="C19" i="46"/>
  <c r="C26" i="31"/>
  <c r="E26" i="31"/>
  <c r="G26" i="31"/>
  <c r="I26" i="31"/>
  <c r="K26" i="31"/>
  <c r="M26" i="31"/>
  <c r="C27" i="31"/>
  <c r="E27" i="31"/>
  <c r="G27" i="31"/>
  <c r="I27" i="31"/>
  <c r="K27" i="31"/>
  <c r="M27" i="31"/>
  <c r="C28" i="31"/>
  <c r="E28" i="31"/>
  <c r="G28" i="31"/>
  <c r="I28" i="31"/>
  <c r="K28" i="31"/>
  <c r="M28" i="31"/>
  <c r="C29" i="31"/>
  <c r="E29" i="31"/>
  <c r="G29" i="31"/>
  <c r="I29" i="31"/>
  <c r="K29" i="31"/>
  <c r="M29" i="31"/>
  <c r="C30" i="31"/>
  <c r="E30" i="31"/>
  <c r="G30" i="31"/>
  <c r="I30" i="31"/>
  <c r="K30" i="31"/>
  <c r="M30" i="31"/>
  <c r="C31"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E25" i="31"/>
  <c r="G25" i="31"/>
  <c r="I25" i="31"/>
  <c r="K25" i="31"/>
  <c r="M25"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F19" i="4"/>
  <c r="F8" i="1"/>
  <c r="B2" i="52"/>
  <c r="E22" i="52"/>
  <c r="I2" i="46"/>
  <c r="N12" i="46"/>
  <c r="A7" i="46"/>
  <c r="F41" i="4"/>
  <c r="J52" i="40"/>
  <c r="H61" i="49"/>
  <c r="H39" i="46"/>
  <c r="H38" i="46"/>
  <c r="H37" i="46"/>
  <c r="H36" i="46"/>
  <c r="H35" i="46"/>
  <c r="H34" i="46"/>
  <c r="H33" i="46"/>
  <c r="G20" i="46"/>
  <c r="J20" i="46"/>
  <c r="C18" i="46"/>
  <c r="G17" i="46"/>
  <c r="F15" i="46"/>
  <c r="E15" i="46"/>
  <c r="D15" i="46"/>
  <c r="C15" i="46"/>
  <c r="C10" i="46"/>
  <c r="C11" i="46"/>
  <c r="C9" i="46"/>
  <c r="E32" i="6"/>
  <c r="D38" i="4"/>
  <c r="C39" i="4"/>
  <c r="C35" i="4"/>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F36" i="39"/>
  <c r="AA36" i="39"/>
  <c r="F42" i="39"/>
  <c r="AA42" i="39"/>
  <c r="H36" i="39"/>
  <c r="AB36" i="39"/>
  <c r="H42" i="39"/>
  <c r="AB42"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Q25" i="31"/>
  <c r="O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58" i="33"/>
  <c r="D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W36" i="21"/>
  <c r="E108" i="21"/>
  <c r="F108" i="21"/>
  <c r="G108" i="21"/>
  <c r="H108" i="21"/>
  <c r="I108" i="21"/>
  <c r="J108" i="21"/>
  <c r="K108" i="21"/>
  <c r="L108" i="21"/>
  <c r="M108" i="21"/>
  <c r="D106" i="21"/>
  <c r="E106" i="21"/>
  <c r="F106" i="21"/>
  <c r="G106" i="21"/>
  <c r="H106" i="21"/>
  <c r="I106" i="21"/>
  <c r="J106" i="21"/>
  <c r="K106" i="21"/>
  <c r="L106" i="21"/>
  <c r="M106"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F79" i="21"/>
  <c r="G79"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F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Q26" i="31"/>
  <c r="Q27" i="31"/>
  <c r="Q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H113" i="46"/>
  <c r="H17" i="46"/>
  <c r="F33" i="46"/>
  <c r="F35" i="46"/>
  <c r="F37" i="46"/>
  <c r="H16" i="48"/>
  <c r="H9" i="48"/>
  <c r="H8" i="48"/>
  <c r="C12" i="46"/>
  <c r="AB16" i="35"/>
  <c r="AB15" i="37"/>
  <c r="U43" i="21"/>
  <c r="AA13" i="40"/>
  <c r="E78" i="40"/>
  <c r="F78" i="40"/>
  <c r="G78" i="40"/>
  <c r="H78" i="40"/>
  <c r="I78" i="40"/>
  <c r="J78" i="40"/>
  <c r="K78" i="40"/>
  <c r="L78" i="40"/>
  <c r="M78" i="40"/>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F6" i="1"/>
  <c r="AP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M44" i="9"/>
  <c r="M43" i="9"/>
  <c r="M20" i="15"/>
  <c r="D96" i="9"/>
  <c r="M18" i="15"/>
  <c r="A18" i="64"/>
  <c r="B74" i="63"/>
  <c r="C53" i="10"/>
  <c r="A25" i="64"/>
  <c r="A18" i="51"/>
  <c r="B14" i="63"/>
  <c r="F3" i="35"/>
  <c r="K1" i="43"/>
  <c r="K1" i="12"/>
  <c r="G1" i="44"/>
  <c r="I4" i="6"/>
  <c r="G3" i="46"/>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A4" i="64"/>
  <c r="A4" i="51"/>
  <c r="B6" i="63"/>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C67" i="40"/>
  <c r="D65" i="40"/>
  <c r="P24" i="46"/>
  <c r="B68" i="40"/>
  <c r="P23" i="46"/>
  <c r="P21" i="46"/>
  <c r="P22" i="46"/>
  <c r="O19" i="46"/>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E11" i="52"/>
  <c r="B7" i="52"/>
  <c r="B10" i="52"/>
  <c r="B9" i="52"/>
  <c r="B4" i="52"/>
  <c r="B8" i="52"/>
  <c r="E9" i="52"/>
  <c r="E10" i="52"/>
  <c r="B23" i="52"/>
  <c r="B16" i="52"/>
  <c r="B6" i="52"/>
  <c r="E5" i="52"/>
  <c r="D24" i="15"/>
  <c r="G6" i="1"/>
  <c r="F29"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A17" i="51"/>
  <c r="B13" i="63"/>
  <c r="E53" i="40"/>
  <c r="AT6" i="3"/>
  <c r="G29" i="6"/>
  <c r="H16" i="1"/>
  <c r="F30" i="6"/>
  <c r="H70" i="46"/>
  <c r="H72" i="46"/>
  <c r="A9" i="64"/>
  <c r="A9" i="51"/>
  <c r="B9" i="63"/>
  <c r="A25" i="51"/>
  <c r="B18" i="63"/>
  <c r="A3" i="55"/>
  <c r="B56" i="63"/>
  <c r="E52" i="37"/>
  <c r="F52" i="37"/>
  <c r="G52" i="37"/>
  <c r="E46" i="36"/>
  <c r="F46" i="36"/>
  <c r="G46" i="36"/>
  <c r="H46" i="36"/>
  <c r="I46" i="36"/>
  <c r="J46" i="36"/>
  <c r="D67" i="40"/>
  <c r="E65" i="40"/>
  <c r="E4" i="4"/>
  <c r="C4" i="4"/>
  <c r="G66" i="36"/>
  <c r="J18" i="36"/>
  <c r="AE8" i="1"/>
  <c r="AE6" i="1"/>
  <c r="W18" i="36"/>
  <c r="AC18" i="36"/>
  <c r="AG6" i="1"/>
  <c r="D12" i="11"/>
  <c r="C12" i="11"/>
  <c r="E29" i="6"/>
  <c r="K15" i="1"/>
  <c r="L19" i="6"/>
  <c r="B21" i="55"/>
  <c r="B72" i="63"/>
  <c r="B20" i="55"/>
  <c r="B70" i="63"/>
  <c r="G48" i="21"/>
  <c r="E67" i="40"/>
  <c r="F65" i="40"/>
  <c r="F67" i="40"/>
  <c r="I48" i="21"/>
  <c r="W7" i="21"/>
  <c r="U7" i="21"/>
  <c r="S7" i="21"/>
  <c r="G65" i="40"/>
  <c r="G67" i="40"/>
  <c r="H65" i="40"/>
  <c r="I65" i="40"/>
  <c r="R9" i="1"/>
  <c r="H67" i="40"/>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F8" i="67"/>
  <c r="F10" i="67"/>
  <c r="F12" i="67"/>
  <c r="F14" i="67"/>
  <c r="E9" i="67"/>
  <c r="E11" i="67"/>
  <c r="E13" i="67"/>
  <c r="B9" i="67"/>
  <c r="B13" i="67"/>
  <c r="B11" i="67"/>
  <c r="I3" i="65"/>
  <c r="I7" i="65"/>
  <c r="J6" i="65"/>
  <c r="N3" i="65"/>
  <c r="J4" i="65"/>
  <c r="M27" i="15"/>
  <c r="F18" i="44"/>
  <c r="M28" i="15"/>
  <c r="J17" i="44"/>
  <c r="F39" i="44"/>
  <c r="M26" i="15"/>
  <c r="M10" i="44"/>
  <c r="J36" i="15"/>
  <c r="M8" i="44"/>
  <c r="F28" i="44"/>
  <c r="M28" i="44"/>
  <c r="F8" i="44"/>
  <c r="L47" i="15"/>
  <c r="M31" i="44"/>
  <c r="M30" i="44"/>
  <c r="F38" i="44"/>
  <c r="L49" i="44"/>
  <c r="I4" i="65"/>
  <c r="F9" i="67"/>
  <c r="F11" i="67"/>
  <c r="F13" i="67"/>
  <c r="E8" i="67"/>
  <c r="E10" i="67"/>
  <c r="E12" i="67"/>
  <c r="E14" i="67"/>
  <c r="B14" i="67"/>
  <c r="B8" i="67"/>
  <c r="B12" i="67"/>
  <c r="B10" i="67"/>
  <c r="N7" i="65"/>
  <c r="J7" i="65"/>
  <c r="N5" i="65"/>
  <c r="J5" i="65"/>
  <c r="N6" i="65"/>
  <c r="J3" i="65"/>
  <c r="F11" i="44"/>
  <c r="M11" i="44"/>
  <c r="M24" i="15"/>
  <c r="M25" i="44"/>
  <c r="F15" i="44"/>
  <c r="L48" i="44"/>
  <c r="M29" i="44"/>
  <c r="F10" i="44"/>
  <c r="M26" i="44"/>
  <c r="M22" i="15"/>
  <c r="F40" i="44"/>
  <c r="M23" i="15"/>
  <c r="F9" i="44"/>
  <c r="F45" i="44"/>
  <c r="M29" i="15"/>
  <c r="F43" i="44"/>
  <c r="M24" i="44"/>
  <c r="J15" i="15"/>
  <c r="F31" i="15"/>
  <c r="F46" i="44"/>
  <c r="M21" i="15"/>
  <c r="M23" i="44"/>
  <c r="C19" i="44"/>
  <c r="F37" i="44"/>
  <c r="F33" i="44"/>
  <c r="G83" i="39"/>
  <c r="H83" i="39"/>
  <c r="I83" i="39"/>
  <c r="J83" i="39"/>
  <c r="K83" i="39"/>
  <c r="L83" i="39"/>
  <c r="M83" i="39"/>
  <c r="A30" i="51"/>
  <c r="B22" i="63"/>
  <c r="A30" i="64"/>
  <c r="E4" i="52"/>
  <c r="E16" i="52"/>
  <c r="B11" i="52"/>
  <c r="E8" i="52"/>
  <c r="B5" i="52"/>
  <c r="B13" i="52"/>
  <c r="B22" i="52"/>
  <c r="E21" i="52"/>
  <c r="B14" i="52"/>
  <c r="E6" i="52"/>
  <c r="E7" i="52"/>
  <c r="L27" i="6"/>
  <c r="F18" i="11"/>
  <c r="C18" i="11"/>
  <c r="F31" i="6"/>
  <c r="G30" i="6"/>
  <c r="G31" i="6"/>
  <c r="E30" i="6"/>
  <c r="E10" i="6"/>
  <c r="K24" i="6"/>
  <c r="M24" i="6"/>
  <c r="I24" i="6"/>
  <c r="S24" i="6"/>
  <c r="E297" i="3"/>
  <c r="E411" i="3"/>
  <c r="E395" i="3"/>
  <c r="E250" i="3"/>
  <c r="AN6" i="3"/>
  <c r="E41" i="3"/>
  <c r="E280" i="3"/>
  <c r="E471" i="3"/>
  <c r="E59" i="3"/>
  <c r="E418" i="3"/>
  <c r="E270" i="3"/>
  <c r="E408" i="3"/>
  <c r="E464" i="3"/>
  <c r="E92" i="3"/>
  <c r="E157" i="3"/>
  <c r="E238" i="3"/>
  <c r="E209" i="3"/>
  <c r="E414" i="3"/>
  <c r="E161" i="3"/>
  <c r="E44" i="3"/>
  <c r="E450" i="3"/>
  <c r="E202" i="3"/>
  <c r="E492" i="3"/>
  <c r="AA6" i="3"/>
  <c r="E127" i="3"/>
  <c r="AD6" i="3"/>
  <c r="E266" i="3"/>
  <c r="E299" i="3"/>
  <c r="E215" i="3"/>
  <c r="E327" i="3"/>
  <c r="I6" i="3"/>
  <c r="E103" i="3"/>
  <c r="E548" i="3"/>
  <c r="E200" i="3"/>
  <c r="Z6"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H22" i="46"/>
  <c r="AB11" i="46"/>
  <c r="AB13" i="46"/>
  <c r="AE11" i="46"/>
  <c r="AE13" i="46"/>
  <c r="AJ11" i="46"/>
  <c r="AJ13" i="46"/>
  <c r="AF11" i="46"/>
  <c r="AF13" i="46"/>
  <c r="AA11" i="46"/>
  <c r="AA13" i="46"/>
  <c r="AH11" i="46"/>
  <c r="AH13" i="46"/>
  <c r="Z11" i="46"/>
  <c r="Z13" i="46"/>
  <c r="Y11" i="46"/>
  <c r="Y13" i="46"/>
  <c r="AG11" i="46"/>
  <c r="AG13" i="46"/>
  <c r="AC11" i="46"/>
  <c r="AC13" i="46"/>
  <c r="E22" i="46"/>
  <c r="N101" i="46"/>
  <c r="Z7" i="46"/>
  <c r="E101" i="46"/>
  <c r="F22" i="46"/>
  <c r="L101" i="46"/>
  <c r="N104" i="45"/>
  <c r="B113" i="46"/>
  <c r="G101" i="46"/>
  <c r="AI11" i="46"/>
  <c r="AI13" i="46"/>
  <c r="C23" i="46"/>
  <c r="C21" i="46"/>
  <c r="C29" i="46"/>
  <c r="AD11" i="46"/>
  <c r="AD13" i="46"/>
  <c r="F101" i="46"/>
  <c r="F107" i="46"/>
  <c r="K101" i="46"/>
  <c r="H101" i="46"/>
  <c r="M101" i="46"/>
  <c r="D101" i="46"/>
  <c r="I101" i="46"/>
  <c r="G22" i="46"/>
  <c r="J101" i="46"/>
  <c r="C101" i="46"/>
  <c r="C105" i="46"/>
  <c r="K105" i="46"/>
  <c r="K104" i="46"/>
  <c r="J109" i="46"/>
  <c r="J105" i="46"/>
  <c r="J103" i="46"/>
  <c r="K17" i="4"/>
  <c r="A22" i="51"/>
  <c r="B16" i="63"/>
  <c r="AP16" i="1"/>
  <c r="F22" i="11"/>
  <c r="J65" i="40"/>
  <c r="I67" i="40"/>
  <c r="I52" i="21"/>
  <c r="J52" i="21"/>
  <c r="G52" i="21"/>
  <c r="H52" i="21"/>
  <c r="G53" i="21"/>
  <c r="H53" i="21"/>
  <c r="E48" i="21"/>
  <c r="K46" i="36"/>
  <c r="L46" i="36"/>
  <c r="M46" i="36"/>
  <c r="N46" i="36"/>
  <c r="O46" i="36"/>
  <c r="F7" i="36"/>
  <c r="H7" i="36"/>
  <c r="J7" i="36"/>
  <c r="H52" i="37"/>
  <c r="I52" i="37"/>
  <c r="J52" i="37"/>
  <c r="K52" i="37"/>
  <c r="L52" i="37"/>
  <c r="M52" i="37"/>
  <c r="N52" i="37"/>
  <c r="O52" i="37"/>
  <c r="J7" i="37"/>
  <c r="H7" i="37"/>
  <c r="F7" i="37"/>
  <c r="F59" i="34"/>
  <c r="E48" i="35"/>
  <c r="E58" i="33"/>
  <c r="F58" i="33"/>
  <c r="G58" i="33"/>
  <c r="H58" i="33"/>
  <c r="I58" i="33"/>
  <c r="J58" i="33"/>
  <c r="K58" i="33"/>
  <c r="L58" i="33"/>
  <c r="M58" i="33"/>
  <c r="N58" i="33"/>
  <c r="O58" i="33"/>
  <c r="H7" i="33"/>
  <c r="C39" i="46"/>
  <c r="C38" i="46"/>
  <c r="C37" i="46"/>
  <c r="C36" i="46"/>
  <c r="C35" i="46"/>
  <c r="C34" i="46"/>
  <c r="C33" i="46"/>
  <c r="T8" i="46"/>
  <c r="V8" i="46"/>
  <c r="T10" i="46"/>
  <c r="V10" i="46"/>
  <c r="T12" i="46"/>
  <c r="V12" i="46"/>
  <c r="T14" i="46"/>
  <c r="V14" i="46"/>
  <c r="T16" i="46"/>
  <c r="V16" i="46"/>
  <c r="T9" i="46"/>
  <c r="V9" i="46"/>
  <c r="T11" i="46"/>
  <c r="V11" i="46"/>
  <c r="T13" i="46"/>
  <c r="V13" i="46"/>
  <c r="T15" i="46"/>
  <c r="V15" i="46"/>
  <c r="C36" i="44"/>
  <c r="F62" i="15"/>
  <c r="C61" i="15"/>
  <c r="J22" i="44"/>
  <c r="J20" i="15"/>
  <c r="Q73" i="44"/>
  <c r="F70" i="15"/>
  <c r="F64" i="15"/>
  <c r="M9" i="44"/>
  <c r="J8" i="44"/>
  <c r="F67" i="15"/>
  <c r="L60" i="44"/>
  <c r="L59" i="44"/>
  <c r="J1" i="65"/>
  <c r="E20" i="46"/>
  <c r="J54" i="44"/>
  <c r="J58" i="44"/>
  <c r="J56" i="44"/>
  <c r="J59" i="44"/>
  <c r="Q52" i="44"/>
  <c r="J61" i="44"/>
  <c r="Q50" i="44"/>
  <c r="I55" i="44"/>
  <c r="J60" i="44"/>
  <c r="L57" i="44"/>
  <c r="I54" i="15"/>
  <c r="L56" i="15"/>
  <c r="J57" i="15"/>
  <c r="J55" i="15"/>
  <c r="J58" i="15"/>
  <c r="Q51" i="15"/>
  <c r="F65" i="15"/>
  <c r="F50" i="15"/>
  <c r="L58" i="15"/>
  <c r="L59" i="15"/>
  <c r="C8" i="44"/>
  <c r="F49" i="15"/>
  <c r="C29" i="44"/>
  <c r="F63" i="15"/>
  <c r="Q72" i="15"/>
  <c r="M19" i="44"/>
  <c r="E3" i="65"/>
  <c r="F58" i="15"/>
  <c r="C18" i="44"/>
  <c r="M17" i="15"/>
  <c r="S13" i="39"/>
  <c r="W13" i="39"/>
  <c r="U13" i="39"/>
  <c r="F24" i="43"/>
  <c r="C26" i="43"/>
  <c r="D24" i="43"/>
  <c r="E561" i="3"/>
  <c r="E23" i="3"/>
  <c r="E443" i="3"/>
  <c r="E265" i="3"/>
  <c r="E194" i="3"/>
  <c r="AM6" i="3"/>
  <c r="E78" i="3"/>
  <c r="E337" i="3"/>
  <c r="E390" i="3"/>
  <c r="E158" i="3"/>
  <c r="E296" i="3"/>
  <c r="E472" i="3"/>
  <c r="E83" i="3"/>
  <c r="E124" i="3"/>
  <c r="E222" i="3"/>
  <c r="E388" i="3"/>
  <c r="E430" i="3"/>
  <c r="E146" i="3"/>
  <c r="E77" i="3"/>
  <c r="E99" i="3"/>
  <c r="E434" i="3"/>
  <c r="E262" i="3"/>
  <c r="E552" i="3"/>
  <c r="E101" i="3"/>
  <c r="E57" i="3"/>
  <c r="E274" i="3"/>
  <c r="E463" i="3"/>
  <c r="E32" i="3"/>
  <c r="E292" i="3"/>
  <c r="E547" i="3"/>
  <c r="E426" i="3"/>
  <c r="E447" i="3"/>
  <c r="E60" i="3"/>
  <c r="E33" i="3"/>
  <c r="E75" i="3"/>
  <c r="Q6" i="3"/>
  <c r="E178" i="3"/>
  <c r="E119" i="3"/>
  <c r="J6" i="3"/>
  <c r="E500" i="3"/>
  <c r="E48" i="3"/>
  <c r="E97"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535" i="3"/>
  <c r="E381" i="3"/>
  <c r="E427" i="3"/>
  <c r="E278" i="3"/>
  <c r="E94" i="3"/>
  <c r="E311" i="3"/>
  <c r="E424" i="3"/>
  <c r="E164" i="3"/>
  <c r="E454" i="3"/>
  <c r="E520" i="3"/>
  <c r="AK6" i="3"/>
  <c r="E223" i="3"/>
  <c r="E205" i="3"/>
  <c r="E399" i="3"/>
  <c r="E478" i="3"/>
  <c r="E317" i="3"/>
  <c r="E357" i="3"/>
  <c r="E179" i="3"/>
  <c r="AS6" i="3"/>
  <c r="E444" i="3"/>
  <c r="E405" i="3"/>
  <c r="E469" i="3"/>
  <c r="W6" i="3"/>
  <c r="E293" i="3"/>
  <c r="E190" i="3"/>
  <c r="E560" i="3"/>
  <c r="E420" i="3"/>
  <c r="E111" i="3"/>
  <c r="E283" i="3"/>
  <c r="E156" i="3"/>
  <c r="E49" i="3"/>
  <c r="E193" i="3"/>
  <c r="E104" i="3"/>
  <c r="E534" i="3"/>
  <c r="E186" i="3"/>
  <c r="E263" i="3"/>
  <c r="E82" i="3"/>
  <c r="E62" i="3"/>
  <c r="E389" i="3"/>
  <c r="E230" i="3"/>
  <c r="E143" i="3"/>
  <c r="E441" i="3"/>
  <c r="E367" i="3"/>
  <c r="E415" i="3"/>
  <c r="E80" i="3"/>
  <c r="E28" i="3"/>
  <c r="E141" i="3"/>
  <c r="E168" i="3"/>
  <c r="E34" i="3"/>
  <c r="E422" i="3"/>
  <c r="N6" i="3"/>
  <c r="E398" i="3"/>
  <c r="E232" i="3"/>
  <c r="E533" i="3"/>
  <c r="E189" i="3"/>
  <c r="E37" i="3"/>
  <c r="E507" i="3"/>
  <c r="E303" i="3"/>
  <c r="E275" i="3"/>
  <c r="L6" i="3"/>
  <c r="E467" i="3"/>
  <c r="E429" i="3"/>
  <c r="E67" i="3"/>
  <c r="E116" i="3"/>
  <c r="E214" i="3"/>
  <c r="E372" i="3"/>
  <c r="E486" i="3"/>
  <c r="E465"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233" i="3"/>
  <c r="E39" i="3"/>
  <c r="E107" i="3"/>
  <c r="E288" i="3"/>
  <c r="E393"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18" i="3"/>
  <c r="E382" i="3"/>
  <c r="E358" i="3"/>
  <c r="E484" i="3"/>
  <c r="E509" i="3"/>
  <c r="E326" i="3"/>
  <c r="E20" i="3"/>
  <c r="E356" i="3"/>
  <c r="E564" i="3"/>
  <c r="E481" i="3"/>
  <c r="E261" i="3"/>
  <c r="E203" i="3"/>
  <c r="E402" i="3"/>
  <c r="E172" i="3"/>
  <c r="E255" i="3"/>
  <c r="E417"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346" i="3"/>
  <c r="E175" i="3"/>
  <c r="E544" i="3"/>
  <c r="E318" i="3"/>
  <c r="E541" i="3"/>
  <c r="E565" i="3"/>
  <c r="E523" i="3"/>
  <c r="E380" i="3"/>
  <c r="E557" i="3"/>
  <c r="E503" i="3"/>
  <c r="E13" i="3"/>
  <c r="E31" i="6"/>
  <c r="L47" i="44"/>
  <c r="H6" i="3"/>
  <c r="K16" i="1"/>
  <c r="K22" i="6"/>
  <c r="M22" i="6"/>
  <c r="I22" i="6"/>
  <c r="S22" i="6"/>
  <c r="K23" i="6"/>
  <c r="M23" i="6"/>
  <c r="I23" i="6"/>
  <c r="S23" i="6"/>
  <c r="K25" i="6"/>
  <c r="M25" i="6"/>
  <c r="I25" i="6"/>
  <c r="S25" i="6"/>
  <c r="K26" i="6"/>
  <c r="M26" i="6"/>
  <c r="I26" i="6"/>
  <c r="S26" i="6"/>
  <c r="K21" i="6"/>
  <c r="M21" i="6"/>
  <c r="I21" i="6"/>
  <c r="S21" i="6"/>
  <c r="AC6" i="3"/>
  <c r="C106" i="46"/>
  <c r="C104" i="46"/>
  <c r="C109" i="46"/>
  <c r="C103" i="46"/>
  <c r="C107" i="46"/>
  <c r="C102" i="46"/>
  <c r="D106" i="46"/>
  <c r="D105" i="46"/>
  <c r="D107" i="46"/>
  <c r="D104" i="46"/>
  <c r="D103" i="46"/>
  <c r="D102" i="46"/>
  <c r="D109" i="46"/>
  <c r="H102" i="46"/>
  <c r="H107" i="46"/>
  <c r="H103" i="46"/>
  <c r="H104" i="46"/>
  <c r="H106" i="46"/>
  <c r="H105" i="46"/>
  <c r="H109" i="46"/>
  <c r="F109" i="46"/>
  <c r="F106" i="46"/>
  <c r="F104" i="46"/>
  <c r="F103" i="46"/>
  <c r="F105" i="46"/>
  <c r="F102" i="46"/>
  <c r="G104" i="46"/>
  <c r="G107" i="46"/>
  <c r="G106" i="46"/>
  <c r="G103" i="46"/>
  <c r="G109" i="46"/>
  <c r="G102" i="46"/>
  <c r="G105" i="46"/>
  <c r="D22" i="46"/>
  <c r="J104" i="46"/>
  <c r="J106" i="46"/>
  <c r="J107" i="46"/>
  <c r="J102" i="46"/>
  <c r="I105" i="46"/>
  <c r="I104" i="46"/>
  <c r="I103" i="46"/>
  <c r="I106" i="46"/>
  <c r="I102" i="46"/>
  <c r="I107" i="46"/>
  <c r="I109" i="46"/>
  <c r="M107" i="46"/>
  <c r="M102" i="46"/>
  <c r="M109" i="46"/>
  <c r="M106" i="46"/>
  <c r="M103" i="46"/>
  <c r="M104" i="46"/>
  <c r="M105" i="46"/>
  <c r="K109" i="46"/>
  <c r="K107" i="46"/>
  <c r="K102" i="46"/>
  <c r="K106" i="46"/>
  <c r="K103" i="46"/>
  <c r="D118" i="46"/>
  <c r="E118" i="46"/>
  <c r="F118" i="46"/>
  <c r="I116" i="46"/>
  <c r="J116" i="46"/>
  <c r="K116" i="46"/>
  <c r="L116" i="46"/>
  <c r="M116" i="46"/>
  <c r="I115" i="46"/>
  <c r="J115" i="46"/>
  <c r="K115" i="46"/>
  <c r="L115" i="46"/>
  <c r="M115" i="46"/>
  <c r="B117" i="46"/>
  <c r="C117" i="46"/>
  <c r="I117" i="46"/>
  <c r="J117" i="46"/>
  <c r="K117" i="46"/>
  <c r="L117" i="46"/>
  <c r="M117" i="46"/>
  <c r="I118" i="46"/>
  <c r="J118" i="46"/>
  <c r="K118" i="46"/>
  <c r="L118" i="46"/>
  <c r="M118" i="46"/>
  <c r="D116" i="46"/>
  <c r="E116" i="46"/>
  <c r="F116" i="46"/>
  <c r="G116" i="46"/>
  <c r="H116" i="46"/>
  <c r="B115" i="46"/>
  <c r="B116" i="46"/>
  <c r="C116" i="46"/>
  <c r="D117" i="46"/>
  <c r="E117" i="46"/>
  <c r="F117" i="46"/>
  <c r="G117" i="46"/>
  <c r="H117" i="46"/>
  <c r="D115" i="46"/>
  <c r="E115" i="46"/>
  <c r="F115" i="46"/>
  <c r="G115" i="46"/>
  <c r="H115" i="46"/>
  <c r="G118" i="46"/>
  <c r="H118" i="46"/>
  <c r="B118" i="46"/>
  <c r="C118" i="46"/>
  <c r="L106" i="46"/>
  <c r="L107" i="46"/>
  <c r="L109" i="46"/>
  <c r="L103" i="46"/>
  <c r="L105" i="46"/>
  <c r="L102" i="46"/>
  <c r="L104" i="46"/>
  <c r="E103" i="46"/>
  <c r="E107" i="46"/>
  <c r="E102" i="46"/>
  <c r="E104" i="46"/>
  <c r="E105" i="46"/>
  <c r="E106" i="46"/>
  <c r="E109" i="46"/>
  <c r="N109" i="46"/>
  <c r="N103" i="46"/>
  <c r="N104" i="46"/>
  <c r="N106" i="46"/>
  <c r="N105" i="46"/>
  <c r="N107" i="46"/>
  <c r="N102" i="46"/>
  <c r="AB7" i="33"/>
  <c r="T48" i="33"/>
  <c r="G48" i="33"/>
  <c r="U7" i="33"/>
  <c r="E29" i="46"/>
  <c r="C30" i="46"/>
  <c r="E30" i="46"/>
  <c r="G35" i="46"/>
  <c r="I35" i="46"/>
  <c r="E35" i="46"/>
  <c r="G37" i="46"/>
  <c r="I37" i="46"/>
  <c r="E37" i="46"/>
  <c r="G39" i="46"/>
  <c r="I39" i="46"/>
  <c r="E39" i="46"/>
  <c r="J7" i="33"/>
  <c r="F7" i="33"/>
  <c r="G59" i="34"/>
  <c r="AB7" i="37"/>
  <c r="T42" i="37"/>
  <c r="G42" i="37"/>
  <c r="U7" i="37"/>
  <c r="AB7" i="36"/>
  <c r="T36" i="36"/>
  <c r="G36" i="36"/>
  <c r="U7" i="36"/>
  <c r="E53" i="21"/>
  <c r="F53" i="21"/>
  <c r="E52" i="21"/>
  <c r="F52" i="21"/>
  <c r="I53" i="21"/>
  <c r="J53" i="21"/>
  <c r="E33" i="46"/>
  <c r="G33" i="46"/>
  <c r="I33" i="46"/>
  <c r="G34" i="46"/>
  <c r="I34" i="46"/>
  <c r="E34" i="46"/>
  <c r="G36" i="46"/>
  <c r="I36" i="46"/>
  <c r="E36" i="46"/>
  <c r="G38" i="46"/>
  <c r="I38" i="46"/>
  <c r="E38" i="46"/>
  <c r="F48" i="35"/>
  <c r="AA7" i="37"/>
  <c r="R42" i="37"/>
  <c r="S7" i="37"/>
  <c r="W7" i="37"/>
  <c r="AC7" i="37"/>
  <c r="V42" i="37"/>
  <c r="I42" i="37"/>
  <c r="W7" i="36"/>
  <c r="AC7" i="36"/>
  <c r="V36" i="36"/>
  <c r="I36" i="36"/>
  <c r="AA7" i="36"/>
  <c r="R36" i="36"/>
  <c r="S7" i="36"/>
  <c r="B2" i="21"/>
  <c r="C48" i="21"/>
  <c r="J67" i="40"/>
  <c r="K65" i="40"/>
  <c r="F17" i="11"/>
  <c r="C17" i="11"/>
  <c r="C19" i="11"/>
  <c r="Q74" i="15"/>
  <c r="Q61" i="15"/>
  <c r="P17" i="46"/>
  <c r="N17" i="46"/>
  <c r="O17" i="46"/>
  <c r="M17" i="46"/>
  <c r="Q75" i="44"/>
  <c r="Q62" i="44"/>
  <c r="Q75" i="15"/>
  <c r="Q62" i="15"/>
  <c r="C48" i="15"/>
  <c r="Q53" i="15"/>
  <c r="F1" i="44"/>
  <c r="Q54" i="44"/>
  <c r="M13" i="44"/>
  <c r="J12" i="44"/>
  <c r="J7" i="44"/>
  <c r="F13" i="44"/>
  <c r="C12" i="44"/>
  <c r="C7" i="44"/>
  <c r="Q76" i="44"/>
  <c r="Q63" i="44"/>
  <c r="F7" i="67"/>
  <c r="F68" i="15"/>
  <c r="K27" i="6"/>
  <c r="M19" i="6"/>
  <c r="M27" i="6"/>
  <c r="S20" i="6"/>
  <c r="E6" i="3"/>
  <c r="L38" i="9"/>
  <c r="B14" i="66"/>
  <c r="B1" i="66"/>
  <c r="D16" i="43"/>
  <c r="C16" i="43"/>
  <c r="D10" i="11"/>
  <c r="C21" i="4"/>
  <c r="O5" i="54"/>
  <c r="B45" i="63"/>
  <c r="D45" i="9"/>
  <c r="D44" i="9"/>
  <c r="D46" i="9"/>
  <c r="M16" i="1"/>
  <c r="AY504" i="3"/>
  <c r="AY191" i="3"/>
  <c r="AY92" i="3"/>
  <c r="AY118" i="3"/>
  <c r="AY209" i="3"/>
  <c r="AY416" i="3"/>
  <c r="AY55" i="3"/>
  <c r="AY250"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456" i="3"/>
  <c r="AY518" i="3"/>
  <c r="AY112" i="3"/>
  <c r="AY415" i="3"/>
  <c r="AY247" i="3"/>
  <c r="AY503" i="3"/>
  <c r="AY20" i="3"/>
  <c r="AY242" i="3"/>
  <c r="AY325" i="3"/>
  <c r="AY417"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83" i="3"/>
  <c r="AY31" i="3"/>
  <c r="AY317" i="3"/>
  <c r="AY181" i="3"/>
  <c r="AY329" i="3"/>
  <c r="AY131" i="3"/>
  <c r="AY206" i="3"/>
  <c r="AY520" i="3"/>
  <c r="AY249" i="3"/>
  <c r="AY453" i="3"/>
  <c r="AY225" i="3"/>
  <c r="AY184" i="3"/>
  <c r="BQ6" i="3"/>
  <c r="AY151" i="3"/>
  <c r="AY360" i="3"/>
  <c r="AY531" i="3"/>
  <c r="AY137" i="3"/>
  <c r="AY565" i="3"/>
  <c r="BP6" i="3"/>
  <c r="AY553" i="3"/>
  <c r="AY208" i="3"/>
  <c r="AY78" i="3"/>
  <c r="AY174" i="3"/>
  <c r="AY299" i="3"/>
  <c r="AY90" i="3"/>
  <c r="AY153" i="3"/>
  <c r="AY351" i="3"/>
  <c r="AY447" i="3"/>
  <c r="AY358" i="3"/>
  <c r="AY375" i="3"/>
  <c r="AY328" i="3"/>
  <c r="AY185" i="3"/>
  <c r="AY344"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204" i="3"/>
  <c r="AY234" i="3"/>
  <c r="AY402" i="3"/>
  <c r="AY365" i="3"/>
  <c r="AY471" i="3"/>
  <c r="AY138" i="3"/>
  <c r="AY316" i="3"/>
  <c r="AY29" i="3"/>
  <c r="AY367" i="3"/>
  <c r="AY166" i="3"/>
  <c r="AY413" i="3"/>
  <c r="AY319" i="3"/>
  <c r="BT6" i="3"/>
  <c r="AY323" i="3"/>
  <c r="AY370" i="3"/>
  <c r="AY388" i="3"/>
  <c r="AY485" i="3"/>
  <c r="AY244" i="3"/>
  <c r="AY399" i="3"/>
  <c r="AY199" i="3"/>
  <c r="AY480" i="3"/>
  <c r="AY186" i="3"/>
  <c r="AY287" i="3"/>
  <c r="BF6" i="3"/>
  <c r="AY163" i="3"/>
  <c r="AY222" i="3"/>
  <c r="AY385" i="3"/>
  <c r="AY390" i="3"/>
  <c r="AY492" i="3"/>
  <c r="AY540" i="3"/>
  <c r="AY15" i="3"/>
  <c r="AY484" i="3"/>
  <c r="AY355"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180" i="3"/>
  <c r="BJ6" i="3"/>
  <c r="AY477" i="3"/>
  <c r="AY517" i="3"/>
  <c r="AY292" i="3"/>
  <c r="AY535" i="3"/>
  <c r="AY452" i="3"/>
  <c r="AY523" i="3"/>
  <c r="AY521" i="3"/>
  <c r="AY474" i="3"/>
  <c r="AY354" i="3"/>
  <c r="AY482" i="3"/>
  <c r="BE6" i="3"/>
  <c r="AY441" i="3"/>
  <c r="AY121" i="3"/>
  <c r="AY491" i="3"/>
  <c r="AY508" i="3"/>
  <c r="AY47" i="3"/>
  <c r="AY515" i="3"/>
  <c r="AY175" i="3"/>
  <c r="AY264" i="3"/>
  <c r="AY467" i="3"/>
  <c r="AY479" i="3"/>
  <c r="AY139"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39" i="3"/>
  <c r="AY500" i="3"/>
  <c r="AY107" i="3"/>
  <c r="AY458" i="3"/>
  <c r="AY152" i="3"/>
  <c r="AY489" i="3"/>
  <c r="AY546" i="3"/>
  <c r="BL6" i="3"/>
  <c r="AY64" i="3"/>
  <c r="AY154" i="3"/>
  <c r="AY42"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53" i="3"/>
  <c r="AY74" i="3"/>
  <c r="AY144" i="3"/>
  <c r="AY98" i="3"/>
  <c r="AY57" i="3"/>
  <c r="AY136" i="3"/>
  <c r="AY262" i="3"/>
  <c r="AY232" i="3"/>
  <c r="AY349" i="3"/>
  <c r="AY448" i="3"/>
  <c r="AY397" i="3"/>
  <c r="AY49" i="3"/>
  <c r="AY149" i="3"/>
  <c r="AY381"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486" i="3"/>
  <c r="AY82" i="3"/>
  <c r="AY80" i="3"/>
  <c r="AY37" i="3"/>
  <c r="AY67" i="3"/>
  <c r="AY41" i="3"/>
  <c r="AY58" i="3"/>
  <c r="AY100" i="3"/>
  <c r="AY160" i="3"/>
  <c r="AY75" i="3"/>
  <c r="AY277" i="3"/>
  <c r="AY384" i="3"/>
  <c r="AY425" i="3"/>
  <c r="AY202"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407" i="3"/>
  <c r="AY552" i="3"/>
  <c r="AY140" i="3"/>
  <c r="AY527" i="3"/>
  <c r="AY461" i="3"/>
  <c r="AY519" i="3"/>
  <c r="AY66" i="3"/>
  <c r="AY13" i="3"/>
  <c r="AY103" i="3"/>
  <c r="AY21" i="3"/>
  <c r="AY52"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537" i="3"/>
  <c r="AY73" i="3"/>
  <c r="AY182" i="3"/>
  <c r="AY126" i="3"/>
  <c r="AY45" i="3"/>
  <c r="AY106" i="3"/>
  <c r="AY217" i="3"/>
  <c r="AY291" i="3"/>
  <c r="AY383" i="3"/>
  <c r="AY361" i="3"/>
  <c r="AY427" i="3"/>
  <c r="AY422" i="3"/>
  <c r="AY170" i="3"/>
  <c r="AY146"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530" i="3"/>
  <c r="AY549" i="3"/>
  <c r="AY87" i="3"/>
  <c r="AY69" i="3"/>
  <c r="AY97" i="3"/>
  <c r="AY88" i="3"/>
  <c r="AY109" i="3"/>
  <c r="AY26" i="3"/>
  <c r="I19" i="6"/>
  <c r="S7" i="46"/>
  <c r="T7" i="46"/>
  <c r="V7" i="46"/>
  <c r="S4" i="46"/>
  <c r="T4" i="46"/>
  <c r="V4" i="46"/>
  <c r="S6" i="46"/>
  <c r="T6" i="46"/>
  <c r="V6" i="46"/>
  <c r="S2" i="46"/>
  <c r="T2" i="46"/>
  <c r="V2" i="46"/>
  <c r="S3" i="46"/>
  <c r="T3" i="46"/>
  <c r="V3" i="46"/>
  <c r="S5" i="46"/>
  <c r="T5" i="46"/>
  <c r="V5" i="46"/>
  <c r="C115" i="46"/>
  <c r="E4" i="67"/>
  <c r="E36" i="36"/>
  <c r="R37" i="36"/>
  <c r="E42" i="37"/>
  <c r="R43" i="37"/>
  <c r="G48" i="35"/>
  <c r="H48" i="35"/>
  <c r="I48" i="35"/>
  <c r="J48" i="35"/>
  <c r="K48" i="35"/>
  <c r="L48" i="35"/>
  <c r="M48" i="35"/>
  <c r="N48" i="35"/>
  <c r="O48" i="35"/>
  <c r="K67" i="40"/>
  <c r="L65" i="40"/>
  <c r="I40" i="36"/>
  <c r="J40" i="36"/>
  <c r="I41" i="36"/>
  <c r="J41" i="36"/>
  <c r="I46" i="37"/>
  <c r="J46" i="37"/>
  <c r="I47" i="37"/>
  <c r="J47" i="37"/>
  <c r="F7" i="35"/>
  <c r="H59" i="34"/>
  <c r="AA7" i="33"/>
  <c r="R48" i="33"/>
  <c r="S7" i="33"/>
  <c r="C27" i="46"/>
  <c r="G40" i="36"/>
  <c r="H40" i="36"/>
  <c r="G41" i="36"/>
  <c r="H41" i="36"/>
  <c r="G47" i="37"/>
  <c r="H47" i="37"/>
  <c r="G46" i="37"/>
  <c r="H46" i="37"/>
  <c r="AC7" i="33"/>
  <c r="V48" i="33"/>
  <c r="I48" i="33"/>
  <c r="W7" i="33"/>
  <c r="C26" i="46"/>
  <c r="G52" i="33"/>
  <c r="H52" i="33"/>
  <c r="G53" i="33"/>
  <c r="H53" i="33"/>
  <c r="J7" i="35"/>
  <c r="J20" i="44"/>
  <c r="J28" i="44"/>
  <c r="J31" i="44"/>
  <c r="J26" i="44"/>
  <c r="C40" i="44"/>
  <c r="C34" i="44"/>
  <c r="J18" i="15"/>
  <c r="J24" i="15"/>
  <c r="F21" i="43"/>
  <c r="F26" i="44"/>
  <c r="C26" i="44"/>
  <c r="C52" i="15"/>
  <c r="C47" i="15"/>
  <c r="C20" i="11"/>
  <c r="C21" i="11"/>
  <c r="C22" i="11"/>
  <c r="C23" i="11"/>
  <c r="B2" i="11"/>
  <c r="E7" i="67"/>
  <c r="L52" i="44"/>
  <c r="T11" i="1"/>
  <c r="T12" i="1"/>
  <c r="T8" i="1"/>
  <c r="T10" i="1"/>
  <c r="T13" i="1"/>
  <c r="T6" i="1"/>
  <c r="T9" i="1"/>
  <c r="T16" i="1"/>
  <c r="N16" i="1"/>
  <c r="C29" i="43"/>
  <c r="L16" i="1"/>
  <c r="C13" i="43"/>
  <c r="C7" i="66"/>
  <c r="C6" i="66"/>
  <c r="C8" i="66"/>
  <c r="D21" i="6"/>
  <c r="D24" i="6"/>
  <c r="D22" i="6"/>
  <c r="H25" i="6"/>
  <c r="D5" i="6"/>
  <c r="H22" i="6"/>
  <c r="E45" i="9"/>
  <c r="E46" i="9"/>
  <c r="D19" i="6"/>
  <c r="D25" i="6"/>
  <c r="H24" i="6"/>
  <c r="D23" i="6"/>
  <c r="D28" i="6"/>
  <c r="H26" i="6"/>
  <c r="K38" i="9"/>
  <c r="C14" i="66"/>
  <c r="B2" i="66"/>
  <c r="D26" i="6"/>
  <c r="R26" i="6"/>
  <c r="D9" i="6"/>
  <c r="D29" i="6"/>
  <c r="H23" i="6"/>
  <c r="F45" i="9"/>
  <c r="F46" i="9"/>
  <c r="F44" i="9"/>
  <c r="C22" i="4"/>
  <c r="D10" i="6"/>
  <c r="H21" i="6"/>
  <c r="D6" i="6"/>
  <c r="E63" i="40"/>
  <c r="D8" i="6"/>
  <c r="E44" i="9"/>
  <c r="O16" i="1"/>
  <c r="D13" i="11"/>
  <c r="C13" i="11"/>
  <c r="I27" i="6"/>
  <c r="S19" i="6"/>
  <c r="S27" i="6"/>
  <c r="H19" i="6"/>
  <c r="E3" i="67"/>
  <c r="AC7" i="35"/>
  <c r="V38" i="35"/>
  <c r="I38" i="35"/>
  <c r="W7" i="35"/>
  <c r="I59" i="34"/>
  <c r="B2" i="46"/>
  <c r="E48" i="33"/>
  <c r="I53" i="33"/>
  <c r="J53" i="33"/>
  <c r="I52" i="33"/>
  <c r="J52" i="33"/>
  <c r="R49" i="33"/>
  <c r="M65" i="40"/>
  <c r="L67" i="40"/>
  <c r="H7" i="35"/>
  <c r="C43" i="37"/>
  <c r="B3" i="37"/>
  <c r="B2" i="37"/>
  <c r="C42" i="37"/>
  <c r="C37" i="36"/>
  <c r="B3" i="36"/>
  <c r="B2" i="36"/>
  <c r="C36" i="36"/>
  <c r="AA7" i="35"/>
  <c r="R38" i="35"/>
  <c r="S7" i="35"/>
  <c r="E46" i="37"/>
  <c r="F46" i="37"/>
  <c r="E47" i="37"/>
  <c r="F47" i="37"/>
  <c r="E41" i="36"/>
  <c r="F41" i="36"/>
  <c r="E40" i="36"/>
  <c r="F40" i="36"/>
  <c r="Q69" i="44"/>
  <c r="L58" i="44"/>
  <c r="L61" i="44"/>
  <c r="C59" i="15"/>
  <c r="C65" i="15"/>
  <c r="C23" i="43"/>
  <c r="D21" i="43"/>
  <c r="Q67" i="44"/>
  <c r="Q49" i="44"/>
  <c r="Q55" i="44"/>
  <c r="Q58" i="44"/>
  <c r="B3" i="11"/>
  <c r="B5" i="11"/>
  <c r="B4" i="11"/>
  <c r="C16" i="44"/>
  <c r="B7" i="67"/>
  <c r="C17" i="44"/>
  <c r="C20" i="44"/>
  <c r="A20" i="51"/>
  <c r="B15" i="63"/>
  <c r="A6" i="51"/>
  <c r="B7" i="63"/>
  <c r="N5" i="54"/>
  <c r="B43" i="63"/>
  <c r="A20" i="64"/>
  <c r="A6" i="64"/>
  <c r="D7" i="66"/>
  <c r="D6" i="66"/>
  <c r="D8" i="66"/>
  <c r="D30" i="6"/>
  <c r="R25" i="6"/>
  <c r="R24" i="6"/>
  <c r="R21" i="6"/>
  <c r="C14" i="43"/>
  <c r="C17" i="43"/>
  <c r="R23" i="6"/>
  <c r="D27" i="6"/>
  <c r="R22" i="6"/>
  <c r="H27" i="6"/>
  <c r="R19" i="6"/>
  <c r="B2" i="67"/>
  <c r="R39" i="35"/>
  <c r="E38" i="35"/>
  <c r="C49" i="33"/>
  <c r="B3" i="33"/>
  <c r="B2" i="33"/>
  <c r="C48" i="33"/>
  <c r="AB7" i="35"/>
  <c r="T38" i="35"/>
  <c r="G38" i="35"/>
  <c r="U7" i="35"/>
  <c r="N65" i="40"/>
  <c r="N67" i="40"/>
  <c r="M67" i="40"/>
  <c r="F9" i="40"/>
  <c r="E53" i="33"/>
  <c r="F53" i="33"/>
  <c r="E52" i="33"/>
  <c r="F52" i="33"/>
  <c r="B4" i="46"/>
  <c r="D4" i="46"/>
  <c r="B3" i="46"/>
  <c r="J59" i="34"/>
  <c r="I42" i="35"/>
  <c r="J42" i="35"/>
  <c r="I43" i="35"/>
  <c r="J43" i="35"/>
  <c r="Q59" i="44"/>
  <c r="Q64" i="44"/>
  <c r="Q68" i="44"/>
  <c r="Q77" i="44"/>
  <c r="C21" i="44"/>
  <c r="C22" i="44"/>
  <c r="C28" i="44"/>
  <c r="R27" i="6"/>
  <c r="R6" i="1"/>
  <c r="R16" i="1"/>
  <c r="C18" i="43"/>
  <c r="C19" i="43"/>
  <c r="C22" i="43"/>
  <c r="C21" i="43"/>
  <c r="D31" i="6"/>
  <c r="AA9" i="40"/>
  <c r="R44" i="40"/>
  <c r="S9" i="40"/>
  <c r="K59" i="34"/>
  <c r="L59" i="34"/>
  <c r="M59" i="34"/>
  <c r="N59" i="34"/>
  <c r="O59" i="34"/>
  <c r="J7" i="34"/>
  <c r="J9" i="40"/>
  <c r="H9" i="40"/>
  <c r="S9" i="39"/>
  <c r="U9" i="39"/>
  <c r="E43" i="35"/>
  <c r="F43" i="35"/>
  <c r="E42" i="35"/>
  <c r="F42" i="35"/>
  <c r="H7" i="34"/>
  <c r="W9" i="39"/>
  <c r="G42" i="35"/>
  <c r="H42" i="35"/>
  <c r="G43" i="35"/>
  <c r="H43" i="35"/>
  <c r="C38" i="35"/>
  <c r="C39" i="35"/>
  <c r="B3" i="35"/>
  <c r="B2" i="35"/>
  <c r="B3" i="67"/>
  <c r="B4" i="67"/>
  <c r="C25" i="44"/>
  <c r="C31" i="44"/>
  <c r="J21" i="44"/>
  <c r="J19" i="44"/>
  <c r="J59" i="15"/>
  <c r="I6" i="6"/>
  <c r="I5" i="6"/>
  <c r="C25" i="43"/>
  <c r="C24" i="43"/>
  <c r="C28" i="43"/>
  <c r="C30" i="43"/>
  <c r="C32" i="43"/>
  <c r="B2" i="43"/>
  <c r="AB7" i="34"/>
  <c r="T49" i="34"/>
  <c r="G49" i="34"/>
  <c r="U7" i="34"/>
  <c r="AC9" i="40"/>
  <c r="V44" i="40"/>
  <c r="I44" i="40"/>
  <c r="W9" i="40"/>
  <c r="F7" i="34"/>
  <c r="AB9" i="40"/>
  <c r="T44" i="40"/>
  <c r="G44" i="40"/>
  <c r="U9" i="40"/>
  <c r="W7" i="34"/>
  <c r="AC7" i="34"/>
  <c r="V49" i="34"/>
  <c r="I49" i="34"/>
  <c r="E44" i="40"/>
  <c r="R45" i="40"/>
  <c r="Q71" i="15"/>
  <c r="C35" i="44"/>
  <c r="C33" i="44"/>
  <c r="C55" i="15"/>
  <c r="C64" i="15"/>
  <c r="J35" i="15"/>
  <c r="J16" i="44"/>
  <c r="J15" i="44"/>
  <c r="J25" i="44"/>
  <c r="Q51" i="44"/>
  <c r="C15" i="44"/>
  <c r="Q72" i="44"/>
  <c r="C38" i="44"/>
  <c r="Q50" i="15"/>
  <c r="J19" i="15"/>
  <c r="J17" i="15"/>
  <c r="C56" i="15"/>
  <c r="C63" i="15"/>
  <c r="J14" i="15"/>
  <c r="J22" i="15"/>
  <c r="J24" i="44"/>
  <c r="J18" i="44"/>
  <c r="J27" i="44"/>
  <c r="Q49" i="15"/>
  <c r="B3" i="43"/>
  <c r="B5" i="43"/>
  <c r="B4" i="43"/>
  <c r="C45" i="40"/>
  <c r="C44" i="40"/>
  <c r="I53" i="34"/>
  <c r="J53" i="34"/>
  <c r="E48" i="40"/>
  <c r="F48" i="40"/>
  <c r="E49" i="40"/>
  <c r="F49" i="40"/>
  <c r="G48" i="40"/>
  <c r="H48" i="40"/>
  <c r="G49" i="40"/>
  <c r="H49" i="40"/>
  <c r="S7" i="34"/>
  <c r="AA7" i="34"/>
  <c r="R49" i="34"/>
  <c r="I48" i="40"/>
  <c r="J48" i="40"/>
  <c r="I49" i="40"/>
  <c r="J49" i="40"/>
  <c r="G53" i="34"/>
  <c r="H53" i="34"/>
  <c r="G54" i="34"/>
  <c r="H54" i="34"/>
  <c r="J13" i="15"/>
  <c r="J23" i="15"/>
  <c r="J16" i="15"/>
  <c r="J25" i="15"/>
  <c r="C39" i="44"/>
  <c r="C32" i="44"/>
  <c r="C42" i="44"/>
  <c r="Q71" i="44"/>
  <c r="Q70" i="44"/>
  <c r="C43" i="44"/>
  <c r="R50" i="34"/>
  <c r="E49" i="34"/>
  <c r="B55" i="40"/>
  <c r="F55" i="40"/>
  <c r="B61" i="40"/>
  <c r="B57" i="40"/>
  <c r="F57" i="40"/>
  <c r="B54" i="40"/>
  <c r="F54" i="40"/>
  <c r="B60" i="40"/>
  <c r="B53" i="40"/>
  <c r="F53" i="40"/>
  <c r="B59" i="40"/>
  <c r="B56" i="40"/>
  <c r="F56" i="40"/>
  <c r="B62" i="40"/>
  <c r="B58" i="40"/>
  <c r="F63" i="40"/>
  <c r="B2" i="40"/>
  <c r="C60" i="15"/>
  <c r="L51" i="15"/>
  <c r="C58" i="15"/>
  <c r="C57" i="15"/>
  <c r="C66" i="15"/>
  <c r="C67" i="15"/>
  <c r="C70" i="15"/>
  <c r="L57" i="15"/>
  <c r="L60" i="15"/>
  <c r="Q68" i="15"/>
  <c r="J39" i="15"/>
  <c r="J40" i="15"/>
  <c r="Q70" i="15"/>
  <c r="Q69" i="15"/>
  <c r="C44" i="44"/>
  <c r="C45" i="44"/>
  <c r="B2" i="44"/>
  <c r="B5" i="44"/>
  <c r="Q66" i="15"/>
  <c r="J42" i="15"/>
  <c r="J43" i="15"/>
  <c r="Q57" i="15"/>
  <c r="Q48" i="15"/>
  <c r="Q54" i="15"/>
  <c r="C43" i="15"/>
  <c r="C49" i="34"/>
  <c r="C50" i="34"/>
  <c r="B3" i="34"/>
  <c r="B2" i="34"/>
  <c r="B3" i="40"/>
  <c r="B5" i="40"/>
  <c r="B4" i="40"/>
  <c r="E54" i="34"/>
  <c r="F54" i="34"/>
  <c r="E53" i="34"/>
  <c r="F53" i="34"/>
  <c r="I54" i="34"/>
  <c r="J54" i="34"/>
  <c r="C46" i="15"/>
  <c r="Q58" i="15"/>
  <c r="Q63" i="15"/>
  <c r="Q67" i="15"/>
  <c r="Q76" i="15"/>
  <c r="B4" i="44"/>
  <c r="B3" i="44"/>
  <c r="D19" i="9"/>
  <c r="B5" i="12"/>
  <c r="L44" i="9"/>
  <c r="B4" i="12"/>
  <c r="D21" i="9"/>
  <c r="D113" i="46"/>
  <c r="J22" i="46"/>
  <c r="G16" i="1"/>
  <c r="F12" i="39"/>
  <c r="AA12" i="39"/>
  <c r="R49" i="39"/>
  <c r="H12" i="39"/>
  <c r="AB12" i="39"/>
  <c r="T49" i="39"/>
  <c r="J12" i="39"/>
  <c r="AC12" i="39"/>
  <c r="V49" i="39"/>
  <c r="R50" i="39"/>
  <c r="C50" i="39"/>
  <c r="B58" i="39"/>
  <c r="F58" i="39"/>
  <c r="B59" i="39"/>
  <c r="F59" i="39"/>
  <c r="B60" i="39"/>
  <c r="F60" i="39"/>
  <c r="B61" i="39"/>
  <c r="F61" i="39"/>
  <c r="B62" i="39"/>
  <c r="F62" i="39"/>
  <c r="B63" i="39"/>
  <c r="E11" i="6"/>
  <c r="E63" i="39"/>
  <c r="F63" i="39"/>
  <c r="B64" i="39"/>
  <c r="E12" i="6"/>
  <c r="E64" i="39"/>
  <c r="F64" i="39"/>
  <c r="B65" i="39"/>
  <c r="E13" i="6"/>
  <c r="E65" i="39"/>
  <c r="F65" i="39"/>
  <c r="B66" i="39"/>
  <c r="E14" i="6"/>
  <c r="E66" i="39"/>
  <c r="F66" i="39"/>
  <c r="B67" i="39"/>
  <c r="E15" i="6"/>
  <c r="E67" i="39"/>
  <c r="F67" i="39"/>
  <c r="F68" i="39"/>
  <c r="B2" i="39"/>
  <c r="C19" i="9"/>
  <c r="G19" i="9"/>
  <c r="C32" i="9"/>
  <c r="C42" i="9"/>
  <c r="D63" i="9"/>
  <c r="D71" i="9"/>
  <c r="D66" i="9"/>
  <c r="N72" i="9"/>
  <c r="C103" i="9"/>
  <c r="C111" i="9"/>
  <c r="C104" i="9"/>
  <c r="C113" i="9"/>
  <c r="C114" i="9"/>
  <c r="C115" i="9"/>
  <c r="D76" i="9"/>
  <c r="D74" i="9"/>
  <c r="N74" i="9"/>
  <c r="D77" i="9"/>
  <c r="N75" i="9"/>
  <c r="O77" i="9"/>
  <c r="O79" i="9"/>
  <c r="O81" i="9"/>
  <c r="O80" i="9"/>
  <c r="Q77" i="9"/>
  <c r="O78" i="9"/>
  <c r="E114" i="9"/>
  <c r="E115" i="9"/>
  <c r="C90" i="9"/>
  <c r="C96" i="9"/>
  <c r="C91" i="9"/>
  <c r="C97" i="9"/>
  <c r="C98" i="9"/>
  <c r="C99" i="9"/>
  <c r="E98" i="9"/>
  <c r="E99" i="9"/>
  <c r="D14" i="66"/>
  <c r="B5" i="66"/>
  <c r="D5" i="66"/>
  <c r="C5" i="66"/>
  <c r="E14" i="66"/>
  <c r="F14" i="66"/>
  <c r="D70" i="9"/>
  <c r="C82" i="9"/>
  <c r="C81" i="9"/>
  <c r="C85" i="9"/>
  <c r="C86" i="9"/>
  <c r="D72" i="9"/>
  <c r="O38" i="9"/>
  <c r="K26" i="9"/>
  <c r="C33" i="9"/>
  <c r="D42" i="9"/>
  <c r="Q5" i="54"/>
  <c r="B47" i="63"/>
  <c r="C34" i="9"/>
  <c r="M38" i="9"/>
  <c r="K27" i="9"/>
  <c r="R5" i="54"/>
  <c r="B48" i="63"/>
  <c r="N68" i="9"/>
  <c r="K25" i="9"/>
  <c r="E42" i="9"/>
  <c r="P5" i="54"/>
  <c r="B46" i="63"/>
  <c r="N38" i="9"/>
  <c r="K28" i="9"/>
  <c r="C35" i="9"/>
  <c r="F42" i="9"/>
  <c r="O43" i="9"/>
  <c r="B4" i="39"/>
  <c r="C21" i="9"/>
  <c r="G21" i="9"/>
  <c r="N43" i="9"/>
  <c r="D22" i="9"/>
  <c r="G22" i="9"/>
  <c r="B5" i="39"/>
  <c r="L43" i="9"/>
  <c r="E58" i="40"/>
  <c r="F58" i="40"/>
  <c r="E62" i="40"/>
  <c r="F62" i="40"/>
  <c r="E59" i="40"/>
  <c r="F59" i="40"/>
  <c r="E60" i="40"/>
  <c r="F60" i="40"/>
  <c r="E61" i="40"/>
  <c r="F61" i="40"/>
  <c r="I49" i="39"/>
  <c r="E49" i="39"/>
  <c r="I54" i="39"/>
  <c r="J54" i="39"/>
  <c r="E53" i="39"/>
  <c r="F53" i="39"/>
  <c r="G49" i="39"/>
  <c r="E54" i="39"/>
  <c r="F54" i="39"/>
  <c r="C49" i="39"/>
  <c r="G54" i="39"/>
  <c r="H54" i="39"/>
  <c r="G53" i="39"/>
  <c r="H53" i="39"/>
  <c r="I53" i="39"/>
  <c r="J53" i="39"/>
  <c r="D11" i="6"/>
  <c r="D12" i="6"/>
  <c r="D13" i="6"/>
  <c r="D14" i="6"/>
  <c r="D15" i="6"/>
  <c r="D16" i="6"/>
  <c r="E68" i="39"/>
  <c r="W12" i="39"/>
  <c r="H12" i="40"/>
  <c r="U12" i="40"/>
  <c r="S12" i="39"/>
  <c r="F12" i="40"/>
  <c r="S12" i="40"/>
  <c r="E16" i="6"/>
  <c r="J12" i="40"/>
  <c r="AC12" i="40"/>
  <c r="W12" i="40"/>
  <c r="AA12" i="40"/>
  <c r="U12" i="39"/>
  <c r="AB12" i="40"/>
  <c r="B3" i="39"/>
  <c r="C20" i="9"/>
  <c r="G20" i="9"/>
  <c r="R24" i="31"/>
  <c r="S24" i="31"/>
  <c r="R25" i="31"/>
  <c r="S25" i="31"/>
  <c r="R26" i="31"/>
  <c r="S26" i="31"/>
  <c r="R27" i="31"/>
  <c r="S27" i="31"/>
  <c r="R28" i="31"/>
  <c r="S28" i="31"/>
  <c r="R29" i="31"/>
  <c r="S29" i="31"/>
  <c r="R30" i="31"/>
  <c r="S30" i="31"/>
  <c r="S22" i="31"/>
  <c r="R22" i="31"/>
  <c r="B21" i="31"/>
  <c r="B20" i="3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<sst xmlns="http://schemas.openxmlformats.org/spreadsheetml/2006/main" count="7391" uniqueCount="3197">
  <si>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</si>
  <si>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</si>
  <si>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</si>
  <si>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</si>
  <si>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</si>
  <si>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</si>
  <si>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</si>
  <si>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</si>
  <si>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</si>
  <si>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</si>
  <si>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</si>
  <si>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</si>
  <si>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</si>
  <si>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</si>
  <si>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</si>
  <si>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</si>
  <si>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</si>
  <si>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</si>
  <si>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</si>
  <si>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</si>
  <si>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</si>
  <si>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</si>
  <si>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</si>
  <si>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</si>
  <si>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</si>
  <si>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</si>
  <si>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</si>
  <si>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</si>
  <si>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</si>
  <si>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</si>
  <si>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</si>
  <si>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</si>
  <si>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</si>
  <si>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</si>
  <si>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</si>
  <si>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</si>
  <si>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</si>
  <si>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</si>
  <si>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</si>
  <si>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</si>
  <si>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</si>
  <si>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</si>
  <si>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</si>
  <si>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</si>
  <si>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</si>
  <si>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</si>
  <si>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</si>
  <si>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</si>
  <si>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</si>
  <si>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</si>
  <si>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</si>
  <si>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</si>
  <si>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</si>
  <si>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</si>
  <si>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</si>
  <si>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</si>
  <si>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</si>
  <si>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</si>
  <si>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</si>
  <si>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</si>
  <si>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</si>
  <si>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</si>
  <si>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</si>
  <si>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</si>
  <si>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</si>
  <si>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</si>
  <si>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</si>
  <si>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</si>
  <si>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</si>
  <si>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</si>
  <si>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</si>
  <si>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</si>
  <si>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</si>
  <si>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</si>
  <si>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</si>
  <si>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</si>
  <si>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</si>
  <si>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</si>
  <si>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</si>
  <si>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</si>
  <si>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</si>
  <si>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</si>
  <si>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</si>
  <si>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</si>
  <si>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</si>
  <si>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</si>
  <si>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</si>
  <si>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</si>
  <si>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</si>
  <si>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</si>
  <si>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</si>
  <si>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</si>
  <si>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</si>
  <si>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</si>
  <si>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</si>
  <si>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</si>
  <si>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</si>
  <si>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</si>
  <si>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</si>
  <si>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</si>
  <si>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</si>
  <si>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</si>
  <si>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</si>
  <si>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</si>
  <si>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</si>
  <si>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</si>
  <si>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</si>
  <si>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</si>
  <si>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</si>
  <si>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</si>
  <si>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</si>
  <si>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</si>
  <si>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</si>
  <si>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</si>
  <si>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</si>
  <si>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</si>
  <si>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</si>
  <si>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</si>
  <si>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</si>
  <si>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</si>
  <si>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</si>
  <si>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</si>
  <si>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</si>
  <si>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</si>
  <si>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</si>
  <si>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</si>
  <si>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</si>
  <si>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</si>
  <si>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</si>
  <si>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</si>
  <si>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</si>
  <si>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</si>
  <si>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</si>
  <si>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</si>
  <si>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</si>
  <si>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</si>
  <si>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</si>
  <si>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</si>
  <si>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</si>
  <si>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</si>
  <si>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</si>
  <si>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</si>
  <si>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</si>
  <si>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</si>
  <si>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</si>
  <si>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</si>
  <si>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</si>
  <si>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</si>
  <si>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</si>
  <si>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</si>
  <si>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</si>
  <si>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</si>
  <si>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</si>
  <si>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</si>
  <si>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</si>
  <si>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</si>
  <si>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</si>
  <si>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</si>
  <si>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</si>
  <si>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</si>
  <si>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</si>
  <si>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</si>
  <si>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</si>
  <si>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</si>
  <si>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</si>
  <si>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</si>
  <si>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</si>
  <si>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</si>
  <si>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</si>
  <si>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</si>
  <si>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</si>
  <si>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</si>
  <si>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</si>
  <si>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</si>
  <si>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</si>
  <si>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</si>
  <si>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</si>
  <si>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</si>
  <si>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</si>
  <si>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</si>
  <si>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</si>
  <si>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</si>
  <si>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</si>
  <si>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</si>
  <si>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</si>
  <si>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</si>
  <si>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</si>
  <si>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</si>
  <si>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</si>
  <si>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</si>
  <si>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</si>
  <si>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</si>
  <si>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</si>
  <si>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</si>
  <si>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</si>
  <si>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</si>
  <si>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</si>
  <si>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</si>
  <si>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</si>
  <si>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</si>
  <si>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</si>
  <si>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</si>
  <si>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</si>
  <si>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</si>
  <si>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</si>
  <si>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</si>
  <si>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</si>
  <si>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</si>
  <si>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</si>
  <si>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</si>
  <si>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</si>
  <si>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</si>
  <si>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</si>
  <si>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</si>
  <si>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</si>
  <si>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</si>
  <si>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</si>
  <si>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</si>
  <si>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</si>
  <si>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</si>
  <si>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</si>
  <si>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</si>
  <si>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</si>
  <si>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</si>
  <si>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</si>
  <si>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</si>
  <si>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</si>
  <si>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</si>
  <si>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</si>
  <si>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</si>
  <si>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</si>
  <si>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</si>
  <si>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</si>
  <si>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</si>
  <si>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</si>
  <si>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</si>
  <si>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</si>
  <si>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</si>
  <si>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</si>
  <si>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</si>
  <si>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</si>
  <si>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</si>
  <si>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</si>
  <si>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</si>
  <si>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</si>
  <si>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</si>
  <si>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</si>
  <si>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</si>
  <si>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</si>
  <si>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</si>
  <si>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</si>
  <si>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</si>
  <si>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</si>
  <si>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</si>
  <si>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</si>
  <si>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</si>
  <si>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</si>
  <si>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</si>
  <si>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</si>
  <si>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</si>
  <si>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</si>
  <si>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</si>
  <si>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</si>
  <si>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</si>
  <si>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</si>
  <si>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</si>
  <si>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</si>
  <si>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</si>
  <si>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</si>
  <si>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</si>
  <si>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</si>
  <si>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</si>
  <si>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</si>
  <si>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</si>
  <si>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</si>
  <si>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</si>
  <si>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</si>
  <si>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</si>
  <si>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</si>
  <si>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</si>
  <si>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</si>
  <si>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</si>
  <si>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</si>
  <si>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</si>
  <si>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</si>
  <si>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</si>
  <si>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</si>
  <si>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</si>
  <si>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</si>
  <si>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</si>
  <si>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</si>
  <si>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</si>
  <si>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</si>
  <si>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</si>
  <si>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</si>
  <si>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</si>
  <si>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</si>
  <si>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</si>
  <si>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</si>
  <si>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</si>
  <si>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</si>
  <si>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</si>
  <si>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</si>
  <si>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</si>
  <si>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</si>
  <si>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</si>
  <si>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</si>
  <si>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</si>
  <si>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</si>
  <si>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</si>
  <si>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</si>
  <si>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</si>
  <si>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</si>
  <si>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</si>
  <si>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</si>
  <si>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</si>
  <si>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</si>
  <si>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</si>
  <si>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</si>
  <si>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</si>
  <si>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</si>
  <si>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</si>
  <si>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</si>
  <si>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</si>
  <si>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</si>
  <si>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</si>
  <si>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</si>
  <si>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</si>
  <si>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</si>
  <si>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</si>
  <si>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</si>
  <si>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</si>
  <si>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</si>
  <si>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</si>
  <si>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</si>
  <si>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</si>
  <si>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</si>
  <si>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</si>
  <si>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</si>
  <si>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</si>
  <si>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</si>
  <si>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</si>
  <si>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</si>
  <si>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</si>
  <si>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</si>
  <si>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</si>
  <si>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</si>
  <si>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</si>
  <si>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</si>
  <si>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</si>
  <si>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</si>
  <si>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</si>
  <si>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</si>
  <si>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</si>
  <si>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</si>
  <si>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</si>
  <si>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</si>
  <si>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</si>
  <si>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</si>
  <si>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</si>
  <si>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</si>
  <si>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</si>
  <si>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</si>
  <si>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</si>
  <si>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</si>
  <si>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</si>
  <si>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</si>
  <si>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</si>
  <si>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</si>
  <si>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</si>
  <si>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</si>
  <si>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</si>
  <si>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</si>
  <si>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</si>
  <si>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</si>
  <si>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</si>
  <si>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</si>
  <si>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</si>
  <si>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</si>
  <si>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</si>
  <si>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</si>
  <si>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</si>
  <si>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</si>
  <si>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</si>
  <si>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</si>
  <si>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</si>
  <si>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</si>
  <si>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</si>
  <si>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</si>
  <si>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</si>
  <si>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</si>
  <si>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</si>
  <si>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</si>
  <si>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</si>
  <si>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</si>
  <si>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</si>
  <si>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</si>
  <si>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</si>
  <si>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</si>
  <si>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</si>
  <si>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</si>
  <si>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</si>
  <si>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</si>
  <si>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</si>
  <si>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</si>
  <si>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</si>
  <si>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</si>
  <si>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</si>
  <si>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</si>
  <si>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</si>
  <si>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</si>
  <si>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</si>
  <si>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</si>
  <si>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</si>
  <si>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</si>
  <si>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</si>
  <si>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</si>
  <si>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</si>
  <si>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</si>
  <si>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</si>
  <si>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</si>
  <si>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</si>
  <si>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</si>
  <si>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</si>
  <si>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</si>
  <si>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</si>
  <si>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</si>
  <si>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</si>
  <si>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</si>
  <si>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</si>
  <si>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</si>
  <si>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</si>
  <si>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</si>
  <si>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</si>
  <si>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</si>
  <si>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</si>
  <si>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</si>
  <si>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</si>
  <si>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</si>
  <si>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</si>
  <si>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</si>
  <si>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</si>
  <si>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</si>
  <si>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</si>
  <si>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</si>
  <si>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</si>
  <si>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</si>
  <si>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</si>
  <si>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</si>
  <si>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</si>
  <si>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</si>
  <si>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</si>
  <si>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</si>
  <si>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</si>
  <si>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</si>
  <si>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</si>
  <si>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</si>
  <si>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</si>
  <si>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</si>
  <si>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</si>
  <si>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</si>
  <si>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</si>
  <si>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</si>
  <si>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</si>
  <si>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</si>
  <si>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</si>
  <si>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</si>
  <si>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</si>
  <si>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</si>
  <si>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</si>
  <si>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</si>
  <si>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</si>
  <si>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</si>
  <si>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</si>
  <si>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</si>
  <si>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</si>
  <si>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</si>
  <si>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</si>
  <si>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</si>
  <si>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</si>
  <si>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</si>
  <si>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</si>
  <si>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</si>
  <si>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</si>
  <si>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</si>
  <si>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</si>
  <si>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</si>
  <si>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</si>
  <si>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</si>
  <si>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</si>
  <si>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</si>
  <si>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</si>
  <si>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</si>
  <si>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</si>
  <si>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</si>
  <si>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</si>
  <si>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</si>
  <si>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</si>
  <si>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</si>
  <si>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</si>
  <si>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</si>
  <si>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</si>
  <si>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</si>
  <si>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</si>
  <si>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</si>
  <si>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</si>
  <si>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</si>
  <si>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</si>
  <si>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</si>
  <si>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</si>
  <si>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</si>
  <si>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</si>
  <si>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</si>
  <si>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</si>
  <si>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</si>
  <si>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</si>
  <si>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</si>
  <si>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</si>
  <si>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</si>
  <si>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</si>
  <si>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</si>
  <si>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</si>
  <si>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</si>
  <si>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</si>
  <si>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</si>
  <si>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</si>
  <si>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</si>
  <si>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</si>
  <si>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</si>
  <si>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</si>
  <si>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</si>
  <si>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</si>
  <si>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</si>
  <si>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</si>
  <si>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</si>
  <si>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</si>
  <si>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</si>
  <si>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</si>
  <si>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</si>
  <si>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</si>
  <si>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</si>
  <si>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</si>
  <si>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</si>
  <si>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</si>
  <si>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</si>
  <si>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</si>
  <si>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</si>
  <si>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</si>
  <si>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</si>
  <si>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</si>
  <si>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</si>
  <si>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</si>
  <si>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</si>
  <si>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</si>
  <si>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</si>
  <si>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</si>
  <si>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</si>
  <si>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</si>
  <si>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</si>
  <si>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</si>
  <si>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</si>
  <si>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</si>
  <si>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</si>
  <si>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</si>
  <si>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</si>
  <si>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</si>
  <si>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</si>
  <si>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</si>
  <si>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</si>
  <si>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</si>
  <si>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</si>
  <si>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</si>
  <si>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</si>
  <si>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</si>
  <si>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</si>
  <si>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</si>
  <si>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</si>
  <si>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</si>
  <si>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</si>
  <si>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</si>
  <si>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</si>
  <si>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</si>
  <si>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</si>
  <si>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</si>
  <si>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</si>
  <si>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</si>
  <si>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</si>
  <si>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</si>
  <si>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</si>
  <si>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</si>
  <si>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</si>
  <si>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</si>
  <si>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</si>
  <si>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</si>
  <si>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</si>
  <si>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</si>
  <si>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</si>
  <si>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</si>
  <si>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</si>
  <si>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</si>
  <si>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</si>
  <si>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</si>
  <si>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</si>
  <si>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</si>
  <si>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</si>
  <si>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</si>
  <si>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</si>
  <si>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</si>
  <si>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</si>
  <si>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</si>
  <si>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</si>
  <si>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</si>
  <si>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</si>
  <si>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</si>
  <si>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</si>
  <si>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</si>
  <si>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</si>
  <si>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</si>
  <si>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</si>
  <si>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</si>
  <si>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</si>
  <si>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</si>
  <si>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</si>
  <si>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</si>
  <si>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</si>
  <si>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</si>
  <si>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</si>
  <si>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</si>
  <si>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</si>
  <si>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</si>
  <si>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</si>
  <si>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</si>
  <si>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</si>
  <si>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</si>
  <si>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</si>
  <si>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</si>
  <si>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</si>
  <si>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</si>
  <si>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</si>
  <si>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</si>
  <si>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</si>
  <si>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</si>
  <si>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</si>
  <si>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</si>
  <si>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</si>
  <si>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</si>
  <si>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</si>
  <si>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</si>
  <si>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</si>
  <si>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</si>
  <si>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</si>
  <si>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</si>
  <si>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</si>
  <si>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</si>
  <si>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</si>
  <si>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</si>
  <si>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</si>
  <si>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</si>
  <si>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</si>
  <si>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</si>
  <si>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</si>
  <si>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</si>
  <si>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</si>
  <si>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</si>
  <si>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</si>
  <si>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</si>
  <si>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</si>
  <si>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</si>
  <si>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</si>
  <si>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</si>
  <si>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</si>
  <si>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</si>
  <si>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</si>
  <si>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</si>
  <si>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</si>
  <si>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</si>
  <si>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</si>
  <si>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</si>
  <si>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</si>
  <si>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</si>
  <si>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</si>
  <si>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</si>
  <si>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</si>
  <si>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</si>
  <si>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</si>
  <si>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</si>
  <si>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</si>
  <si>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</si>
  <si>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</si>
  <si>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</si>
  <si>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</si>
  <si>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</si>
  <si>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</si>
  <si>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</si>
  <si>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</si>
  <si>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</si>
  <si>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</si>
  <si>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</si>
  <si>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</si>
  <si>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</si>
  <si>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</si>
  <si>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</si>
  <si>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</si>
  <si>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</si>
  <si>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</si>
  <si>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</si>
  <si>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</si>
  <si>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</si>
  <si>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</si>
  <si>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</si>
  <si>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</si>
  <si>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</si>
  <si>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</si>
  <si>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</si>
  <si>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</si>
  <si>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</si>
  <si>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</si>
  <si>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</si>
  <si>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</si>
  <si>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</si>
  <si>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</si>
  <si>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</si>
  <si>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</si>
  <si>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</si>
  <si>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</si>
  <si>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</si>
  <si>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</si>
  <si>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</si>
  <si>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</si>
  <si>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</si>
  <si>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</si>
  <si>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</si>
  <si>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</si>
  <si>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</si>
  <si>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</si>
  <si>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</si>
  <si>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</si>
  <si>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</si>
  <si>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</si>
  <si>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</si>
  <si>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</si>
  <si>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</si>
  <si>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</si>
  <si>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</si>
  <si>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</si>
  <si>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</si>
  <si>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</si>
  <si>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</si>
  <si>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</si>
  <si>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</si>
  <si>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</si>
  <si>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</si>
  <si>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</si>
  <si>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</si>
  <si>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</si>
  <si>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</si>
  <si>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</si>
  <si>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</si>
  <si>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</si>
  <si>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</si>
  <si>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</si>
  <si>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</si>
  <si>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</si>
  <si>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</si>
  <si>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</si>
  <si>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</si>
  <si>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</si>
  <si>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</si>
  <si>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</si>
  <si>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</si>
  <si>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</si>
  <si>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</si>
  <si>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</si>
  <si>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</si>
  <si>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</si>
  <si>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</si>
  <si>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</si>
  <si>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</si>
  <si>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</si>
  <si>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</si>
  <si>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</si>
  <si>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</si>
  <si>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</si>
  <si>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</si>
  <si>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</si>
  <si>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</si>
  <si>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</si>
  <si>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</si>
  <si>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</si>
  <si>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</si>
  <si>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</si>
  <si>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</si>
  <si>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</si>
  <si>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</si>
  <si>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</si>
  <si>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</si>
  <si>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</si>
  <si>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</si>
  <si>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</si>
  <si>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</si>
  <si>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</si>
  <si>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</si>
  <si>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</si>
  <si>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</si>
  <si>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</si>
  <si>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</si>
  <si>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</si>
  <si>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</si>
  <si>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</si>
  <si>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</si>
  <si>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</si>
  <si>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</si>
  <si>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</si>
  <si>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</si>
  <si>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</si>
  <si>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</si>
  <si>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</si>
  <si>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</si>
  <si>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</si>
  <si>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</si>
  <si>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</si>
  <si>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</si>
  <si>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</si>
  <si>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</si>
  <si>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</si>
  <si>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</si>
  <si>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</si>
  <si>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</si>
  <si>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</si>
  <si>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</si>
  <si>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</si>
  <si>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</si>
  <si>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</si>
  <si>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</si>
  <si>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</si>
  <si>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</si>
  <si>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</si>
  <si>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</si>
  <si>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</si>
  <si>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</si>
  <si>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</si>
  <si>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</si>
  <si>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</si>
  <si>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</si>
  <si>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</si>
  <si>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</si>
  <si>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</si>
  <si>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</si>
  <si>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</si>
  <si>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</si>
  <si>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</si>
  <si>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</si>
  <si>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</si>
  <si>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</si>
  <si>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</si>
  <si>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</si>
  <si>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</si>
  <si>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</si>
  <si>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</si>
  <si>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</si>
  <si>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</si>
  <si>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</si>
  <si>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</si>
  <si>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</si>
  <si>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</si>
  <si>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</si>
  <si>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</si>
  <si>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</si>
  <si>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</si>
  <si>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</si>
  <si>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</si>
  <si>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</si>
  <si>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</si>
  <si>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</si>
  <si>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</si>
  <si>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</si>
  <si>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</si>
  <si>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</si>
  <si>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</si>
  <si>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</si>
  <si>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</si>
  <si>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</si>
  <si>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</si>
  <si>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</si>
  <si>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</si>
  <si>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</si>
  <si>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</si>
  <si>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</si>
  <si>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</si>
  <si>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</si>
  <si>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</si>
  <si>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</si>
  <si>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</si>
  <si>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</si>
  <si>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</si>
  <si>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</si>
  <si>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</si>
  <si>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</si>
  <si>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</si>
  <si>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</si>
  <si>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</si>
  <si>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</si>
  <si>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</si>
  <si>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</si>
  <si>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</si>
  <si>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</si>
  <si>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</si>
  <si>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</si>
  <si>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</si>
  <si>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</si>
  <si>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</si>
  <si>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</si>
  <si>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</si>
  <si>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</si>
  <si>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</si>
  <si>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</si>
  <si>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</si>
  <si>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</si>
  <si>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</si>
  <si>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</si>
  <si>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</si>
  <si>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</si>
  <si>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</si>
  <si>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</si>
  <si>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</si>
  <si>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</si>
  <si>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</si>
  <si>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</si>
  <si>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</si>
  <si>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</si>
  <si>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</si>
  <si>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</si>
  <si>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</si>
  <si>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</si>
  <si>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</si>
  <si>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</si>
  <si>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</si>
  <si>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</si>
  <si>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</si>
  <si>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</si>
  <si>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</si>
  <si>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</si>
  <si>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</si>
  <si>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</si>
  <si>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</si>
  <si>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</si>
  <si>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</si>
  <si>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</si>
  <si>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</si>
  <si>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</si>
  <si>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</si>
  <si>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</si>
  <si>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</si>
  <si>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</si>
  <si>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</si>
  <si>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</si>
  <si>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</si>
  <si>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</si>
  <si>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</si>
  <si>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</si>
  <si>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</si>
  <si>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</si>
  <si>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</si>
  <si>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</si>
  <si>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</si>
  <si>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</si>
  <si>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</si>
  <si>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</si>
  <si>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</si>
  <si>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</si>
  <si>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</si>
  <si>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</si>
  <si>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</si>
  <si>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</si>
  <si>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</si>
  <si>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</si>
  <si>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</si>
  <si>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</si>
  <si>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</si>
  <si>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</si>
  <si>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</si>
  <si>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</si>
  <si>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</si>
  <si>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</si>
  <si>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</si>
  <si>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</si>
  <si>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</si>
  <si>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</si>
  <si>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</si>
  <si>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</si>
  <si>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</si>
  <si>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</si>
  <si>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</si>
  <si>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</si>
  <si>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</si>
  <si>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</si>
  <si>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</si>
  <si>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</si>
  <si>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</si>
  <si>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</si>
  <si>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</si>
  <si>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</si>
  <si>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</si>
  <si>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</si>
  <si>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</si>
  <si>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</si>
  <si>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</si>
  <si>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</si>
  <si>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</si>
  <si>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</si>
  <si>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</si>
  <si>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</si>
  <si>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</si>
  <si>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</si>
  <si>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</si>
  <si>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</si>
  <si>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</si>
  <si>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</si>
  <si>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</si>
  <si>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</si>
  <si>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</si>
  <si>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</si>
  <si>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</si>
  <si>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</si>
  <si>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</si>
  <si>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</si>
  <si>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</si>
  <si>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</si>
  <si>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</si>
  <si>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</si>
  <si>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</si>
  <si>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</si>
  <si>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</si>
  <si>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</si>
  <si>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</si>
  <si>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</si>
  <si>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</si>
  <si>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</si>
  <si>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</si>
  <si>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</si>
  <si>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</si>
  <si>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</si>
  <si>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</si>
  <si>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</si>
  <si>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</si>
  <si>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</si>
  <si>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</si>
  <si>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</si>
  <si>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</si>
  <si>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</si>
  <si>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</si>
  <si>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</si>
  <si>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</si>
  <si>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</si>
  <si>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</si>
  <si>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</si>
  <si>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</si>
  <si>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</si>
  <si>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</si>
  <si>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</si>
  <si>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</si>
  <si>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</si>
  <si>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</si>
  <si>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</si>
  <si>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</si>
  <si>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</si>
  <si>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</si>
  <si>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</si>
  <si>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</si>
  <si>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</si>
  <si>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</si>
  <si>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</si>
  <si>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</si>
  <si>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</si>
  <si>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</si>
  <si>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</si>
  <si>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</si>
  <si>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</si>
  <si>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</si>
  <si>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</si>
  <si>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</si>
  <si>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</si>
  <si>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</si>
  <si>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</si>
  <si>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</si>
  <si>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</si>
  <si>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</si>
  <si>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</si>
  <si>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</si>
  <si>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</si>
  <si>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</si>
  <si>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</si>
  <si>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</si>
  <si>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</si>
  <si>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</si>
  <si>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</si>
  <si>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</si>
  <si>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</si>
  <si>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</si>
  <si>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</si>
  <si>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</si>
  <si>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</si>
  <si>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</si>
  <si>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</si>
  <si>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</si>
  <si>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</si>
  <si>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</si>
  <si>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</si>
  <si>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</si>
  <si>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</si>
  <si>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</si>
  <si>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</si>
  <si>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</si>
  <si>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</si>
  <si>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</si>
  <si>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</si>
  <si>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</si>
  <si>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</si>
  <si>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</si>
  <si>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</si>
  <si>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</si>
  <si>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</si>
  <si>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</si>
  <si>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</si>
  <si>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</si>
  <si>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</si>
  <si>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</si>
  <si>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</si>
  <si>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</si>
  <si>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</si>
  <si>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</si>
  <si>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</si>
  <si>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</si>
  <si>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</si>
  <si>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</si>
  <si>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</si>
  <si>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</si>
  <si>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</si>
  <si>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</si>
  <si>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</si>
  <si>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</si>
  <si>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</si>
  <si>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</si>
  <si>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</si>
  <si>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</si>
  <si>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</si>
  <si>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</si>
  <si>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</si>
  <si>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</si>
  <si>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</si>
  <si>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</si>
  <si>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</si>
  <si>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</si>
  <si>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</si>
  <si>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</si>
  <si>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</si>
  <si>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</si>
  <si>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</si>
  <si>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</si>
  <si>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</si>
  <si>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</si>
  <si>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</si>
  <si>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</si>
  <si>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</si>
  <si>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</si>
  <si>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</si>
  <si>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</si>
  <si>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</si>
  <si>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</si>
  <si>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</si>
  <si>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</si>
  <si>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</si>
  <si>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</si>
  <si>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</si>
  <si>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</si>
  <si>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</si>
  <si>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</si>
  <si>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</si>
  <si>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</si>
  <si>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</si>
  <si>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</si>
  <si>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</si>
  <si>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</si>
  <si>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</si>
  <si>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</si>
  <si>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</si>
  <si>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</si>
  <si>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</si>
  <si>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</si>
  <si>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</si>
  <si>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</si>
  <si>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</si>
  <si>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</si>
  <si>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</si>
  <si>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</si>
  <si>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</si>
  <si>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</si>
  <si>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</si>
  <si>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</si>
  <si>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</si>
  <si>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</si>
  <si>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</si>
  <si>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</si>
  <si>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</si>
  <si>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</si>
  <si>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</si>
  <si>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</si>
  <si>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</si>
  <si>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</si>
  <si>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</si>
  <si>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</si>
  <si>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</si>
  <si>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</si>
  <si>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</si>
  <si>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</si>
  <si>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</si>
  <si>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</si>
  <si>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</si>
  <si>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</si>
  <si>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</si>
  <si>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</si>
  <si>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</si>
  <si>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</si>
  <si>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</si>
  <si>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</si>
  <si>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</si>
  <si>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</si>
  <si>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</si>
  <si>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</si>
  <si>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</si>
  <si>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</si>
  <si>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</si>
  <si>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</si>
  <si>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</si>
  <si>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</si>
  <si>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</si>
  <si>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</si>
  <si>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</si>
  <si>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</si>
  <si>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</si>
  <si>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</si>
  <si>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</si>
  <si>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</si>
  <si>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</si>
  <si>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</si>
  <si>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</si>
  <si>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</si>
  <si>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</si>
  <si>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</si>
  <si>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</si>
  <si>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</si>
  <si>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</si>
  <si>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</si>
  <si>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</si>
  <si>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</si>
  <si>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</si>
  <si>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</si>
  <si>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</si>
  <si>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</si>
  <si>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</si>
  <si>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</si>
  <si>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</si>
  <si>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</si>
  <si>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</si>
  <si>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</si>
  <si>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</si>
  <si>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</si>
  <si>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</si>
  <si>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</si>
  <si>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</si>
  <si>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</si>
  <si>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</si>
  <si>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</si>
  <si>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</si>
  <si>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</si>
  <si>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</si>
  <si>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</si>
  <si>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</si>
  <si>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</si>
  <si>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</si>
  <si>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</si>
  <si>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</si>
  <si>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</si>
  <si>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</si>
  <si>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</si>
  <si>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</si>
  <si>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</si>
  <si>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</si>
  <si>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</si>
  <si>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</si>
  <si>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</si>
  <si>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</si>
  <si>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</si>
  <si>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</si>
  <si>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</si>
  <si>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</si>
  <si>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</si>
  <si>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</si>
  <si>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</si>
  <si>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</si>
  <si>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</si>
  <si>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</si>
  <si>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</si>
  <si>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</si>
  <si>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</si>
  <si>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</si>
  <si>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</si>
  <si>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</si>
  <si>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</si>
  <si>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</si>
  <si>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</si>
  <si>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</si>
  <si>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</si>
  <si>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</si>
  <si>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</si>
  <si>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</si>
  <si>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</si>
  <si>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</si>
  <si>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</si>
  <si>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</si>
  <si>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</si>
  <si>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</si>
  <si>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</si>
  <si>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</si>
  <si>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</si>
  <si>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</si>
  <si>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</si>
  <si>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</si>
  <si>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</si>
  <si>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</si>
  <si>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</si>
  <si>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</si>
  <si>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</si>
  <si>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</si>
  <si>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</si>
  <si>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</si>
  <si>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</si>
  <si>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</si>
  <si>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</si>
  <si>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</si>
  <si>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</si>
  <si>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</si>
  <si>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</si>
  <si>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</si>
  <si>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</si>
  <si>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</si>
  <si>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</si>
  <si>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</si>
  <si>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</si>
  <si>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</si>
  <si>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</si>
  <si>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</si>
  <si>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</si>
  <si>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</si>
  <si>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</si>
  <si>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</si>
  <si>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</si>
  <si>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</si>
  <si>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</si>
  <si>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</si>
  <si>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</si>
  <si>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</si>
  <si>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</si>
  <si>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</si>
  <si>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</si>
  <si>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</si>
  <si>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</si>
  <si>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</si>
  <si>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</si>
  <si>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</si>
  <si>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</si>
  <si>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</si>
  <si>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</si>
  <si>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</si>
  <si>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</si>
  <si>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</si>
  <si>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</si>
  <si>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</si>
  <si>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</si>
  <si>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</si>
  <si>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</si>
  <si>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</si>
  <si>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</si>
  <si>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</si>
  <si>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</si>
  <si>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</si>
  <si>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</si>
  <si>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</si>
  <si>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</si>
  <si>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</si>
  <si>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</si>
  <si>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</si>
  <si>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</si>
  <si>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</si>
  <si>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</si>
  <si>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</si>
  <si>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</si>
  <si>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</si>
  <si>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</si>
  <si>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</si>
  <si>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</si>
  <si>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</si>
  <si>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</si>
  <si>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</si>
  <si>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</si>
  <si>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</si>
  <si>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</si>
  <si>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</si>
  <si>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</si>
  <si>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</si>
  <si>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</si>
  <si>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</si>
  <si>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</si>
  <si>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</si>
  <si>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</si>
  <si>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</si>
  <si>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</si>
  <si>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</si>
  <si>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</si>
  <si>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</si>
  <si>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</si>
  <si>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</si>
  <si>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</si>
  <si>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</si>
  <si>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</si>
  <si>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</si>
  <si>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</si>
  <si>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</si>
  <si>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</si>
  <si>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</si>
  <si>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</si>
  <si>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</si>
  <si>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</si>
  <si>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</si>
  <si>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</si>
  <si>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</si>
  <si>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</si>
  <si>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</si>
  <si>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</si>
  <si>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</si>
  <si>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</si>
  <si>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</si>
  <si>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</si>
  <si>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</si>
  <si>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</si>
  <si>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</si>
  <si>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</si>
  <si>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</si>
  <si>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</si>
  <si>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</si>
  <si>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</si>
  <si>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</si>
  <si>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</si>
  <si>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</si>
  <si>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</si>
  <si>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</si>
  <si>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</si>
  <si>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</si>
  <si>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</si>
  <si>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</si>
  <si>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</si>
  <si>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</si>
  <si>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</si>
  <si>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</si>
  <si>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</si>
  <si>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</si>
  <si>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</si>
  <si>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</si>
  <si>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</si>
  <si>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</si>
  <si>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</si>
  <si>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</si>
  <si>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</si>
  <si>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</si>
  <si>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</si>
  <si>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</si>
  <si>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</si>
  <si>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</si>
  <si>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</si>
  <si>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</si>
  <si>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</si>
  <si>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</si>
  <si>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</si>
  <si>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</si>
  <si>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</si>
  <si>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</si>
  <si>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</si>
  <si>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</si>
  <si>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</si>
  <si>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</si>
  <si>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</si>
  <si>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</si>
  <si>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</si>
  <si>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</si>
  <si>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</si>
  <si>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</si>
  <si>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</si>
  <si>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</si>
  <si>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</si>
  <si>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</si>
  <si>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</si>
  <si>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</si>
  <si>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</si>
  <si>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</si>
  <si>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</si>
  <si>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</si>
  <si>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</si>
  <si>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</si>
  <si>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</si>
  <si>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</si>
  <si>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</si>
  <si>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</si>
  <si>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</si>
  <si>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</si>
  <si>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</si>
  <si>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</si>
  <si>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</si>
  <si>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</si>
  <si>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</si>
  <si>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</si>
  <si>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</si>
  <si>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</si>
  <si>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</si>
  <si>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</si>
  <si>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</si>
  <si>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</si>
  <si>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</si>
  <si>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</si>
  <si>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</si>
  <si>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</si>
  <si>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</si>
  <si>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</si>
  <si>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</si>
  <si>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</si>
  <si>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</si>
  <si>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</si>
  <si>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</si>
  <si>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</si>
  <si>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</si>
  <si>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</si>
  <si>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</si>
  <si>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</si>
  <si>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</si>
  <si>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</si>
  <si>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</si>
  <si>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</si>
  <si>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</si>
  <si>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</si>
  <si>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</si>
  <si>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</si>
  <si>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</si>
  <si>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</si>
  <si>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</si>
  <si>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</si>
  <si>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</si>
  <si>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</si>
  <si>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</si>
  <si>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</si>
  <si>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</si>
  <si>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</si>
  <si>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</si>
  <si>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</si>
  <si>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</si>
  <si>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</si>
  <si>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</si>
  <si>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</si>
  <si>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</si>
  <si>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</si>
  <si>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</si>
  <si>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</si>
  <si>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</si>
  <si>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</si>
  <si>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</si>
  <si>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</si>
  <si>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</si>
  <si>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</si>
  <si>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</si>
  <si>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</si>
  <si>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</si>
  <si>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</si>
  <si>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</si>
  <si>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</si>
  <si>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</si>
  <si>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</si>
  <si>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</si>
  <si>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</si>
  <si>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</si>
  <si>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</si>
  <si>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</si>
  <si>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</si>
  <si>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</si>
  <si>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</si>
  <si>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</si>
  <si>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</si>
  <si>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</si>
  <si>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</si>
  <si>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</si>
  <si>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</si>
  <si>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</si>
  <si>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</si>
  <si>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</si>
  <si>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</si>
  <si>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</si>
  <si>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</si>
  <si>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</si>
  <si>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</si>
  <si>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</si>
  <si>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</si>
  <si>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</si>
  <si>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</si>
  <si>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</si>
  <si>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</si>
  <si>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</si>
  <si>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</si>
  <si>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</si>
  <si>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</si>
  <si>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</si>
  <si>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</si>
  <si>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</si>
  <si>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</si>
  <si>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</si>
  <si>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</si>
  <si>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</si>
  <si>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</si>
  <si>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</si>
  <si>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</si>
  <si>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</si>
  <si>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</si>
  <si>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</si>
  <si>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</si>
  <si>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</si>
  <si>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</si>
  <si>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</si>
  <si>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</si>
  <si>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</si>
  <si>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</si>
  <si>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</si>
  <si>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</si>
  <si>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</si>
  <si>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</si>
  <si>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</si>
  <si>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</si>
  <si>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</si>
  <si>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</si>
  <si>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</si>
  <si>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</si>
  <si>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</si>
  <si>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</si>
  <si>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</si>
  <si>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</si>
  <si>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</si>
  <si>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</si>
  <si>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</si>
  <si>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</si>
  <si>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</si>
  <si>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</si>
  <si>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</si>
  <si>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</si>
  <si>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</si>
  <si>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</si>
  <si>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</si>
  <si>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</si>
  <si>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</si>
  <si>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</si>
  <si>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</si>
  <si>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</si>
  <si>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</si>
  <si>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</si>
  <si>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</si>
  <si>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</si>
  <si>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</si>
  <si>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</si>
  <si>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</si>
  <si>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</si>
  <si>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</si>
  <si>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</si>
  <si>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</si>
  <si>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</si>
  <si>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</si>
  <si>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</si>
  <si>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</si>
  <si>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</si>
  <si>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</si>
  <si>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</si>
  <si>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</si>
  <si>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</si>
  <si>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</si>
  <si>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</si>
  <si>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</si>
  <si>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</si>
  <si>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</si>
  <si>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</si>
  <si>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</si>
  <si>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</si>
  <si>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</si>
  <si>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</si>
  <si>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</si>
  <si>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</si>
  <si>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</si>
  <si>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</si>
  <si>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</si>
  <si>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</si>
  <si>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</si>
  <si>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</si>
  <si>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</si>
  <si>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</si>
  <si>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</si>
  <si>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</si>
  <si>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</si>
  <si>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</si>
  <si>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</si>
  <si>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</si>
  <si>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</si>
  <si>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</si>
  <si>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</si>
  <si>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</si>
  <si>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</si>
  <si>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</si>
  <si>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</si>
  <si>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</si>
  <si>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</si>
  <si>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</si>
  <si>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</si>
  <si>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</si>
  <si>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</si>
  <si>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</si>
  <si>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</si>
  <si>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</si>
  <si>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</si>
  <si>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</si>
  <si>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</si>
  <si>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</si>
  <si>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</si>
  <si>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</si>
  <si>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</si>
  <si>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</si>
  <si>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</si>
  <si>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</si>
  <si>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</si>
  <si>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</si>
  <si>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</si>
  <si>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</si>
  <si>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</si>
  <si>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</si>
  <si>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</si>
  <si>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</si>
  <si>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</si>
  <si>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</si>
  <si>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</si>
  <si>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</si>
  <si>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</si>
  <si>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</si>
  <si>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</si>
  <si>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</si>
  <si>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</si>
  <si>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</si>
  <si>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</si>
  <si>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</si>
  <si>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</si>
  <si>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</si>
  <si>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</si>
  <si>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</si>
  <si>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</si>
  <si>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</si>
  <si>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</si>
  <si>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</si>
  <si>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</si>
  <si>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</si>
  <si>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</si>
  <si>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</si>
  <si>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</si>
  <si>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</si>
  <si>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</si>
  <si>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</si>
  <si>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</si>
  <si>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</si>
  <si>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</si>
  <si>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</si>
  <si>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</si>
  <si>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</si>
  <si>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</si>
  <si>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</si>
  <si>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</si>
  <si>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</si>
  <si>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</si>
  <si>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</si>
  <si>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</si>
  <si>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</si>
  <si>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</si>
  <si>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</si>
  <si>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</si>
  <si>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</si>
  <si>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</si>
  <si>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</si>
  <si>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</si>
  <si>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</si>
  <si>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</si>
  <si>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</si>
  <si>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</si>
  <si>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</si>
  <si>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</si>
  <si>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</si>
  <si>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</si>
  <si>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</si>
  <si>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</si>
  <si>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</si>
  <si>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</si>
  <si>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</si>
  <si>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</si>
  <si>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</si>
  <si>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</si>
  <si>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</si>
  <si>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</si>
  <si>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</si>
  <si>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</si>
  <si>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</si>
  <si>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</si>
  <si>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</si>
  <si>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</si>
  <si>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</si>
  <si>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</si>
  <si>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</si>
  <si>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</si>
  <si>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</si>
  <si>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</si>
  <si>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</si>
  <si>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</si>
  <si>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</si>
  <si>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</si>
  <si>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</si>
  <si>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</si>
  <si>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</si>
  <si>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</si>
  <si>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</si>
  <si>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</si>
  <si>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</si>
  <si>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</si>
  <si>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</si>
  <si>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</si>
  <si>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</si>
  <si>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</si>
  <si>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</si>
  <si>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</si>
  <si>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</si>
  <si>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</si>
  <si>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</si>
  <si>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</si>
  <si>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</si>
  <si>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</si>
  <si>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</si>
  <si>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</si>
  <si>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</si>
  <si>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</si>
  <si>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</si>
  <si>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</si>
  <si>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</si>
  <si>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</si>
  <si>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</si>
  <si>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</si>
  <si>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</si>
  <si>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</si>
  <si>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</si>
  <si>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</si>
  <si>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</si>
  <si>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</si>
  <si>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</si>
  <si>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</si>
  <si>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</si>
  <si>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</si>
  <si>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</si>
  <si>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</si>
  <si>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</si>
  <si>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</si>
  <si>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</si>
  <si>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</si>
  <si>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</si>
  <si>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</si>
  <si>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</si>
  <si>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</si>
  <si>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</si>
  <si>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</si>
  <si>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</si>
  <si>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</si>
  <si>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</si>
  <si>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</si>
  <si>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</si>
  <si>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</si>
  <si>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</si>
  <si>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</si>
  <si>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</si>
  <si>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</si>
  <si>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</si>
  <si>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</si>
  <si>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</si>
  <si>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</si>
  <si>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</si>
  <si>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</si>
  <si>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</si>
  <si>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</si>
  <si>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</si>
  <si>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</si>
  <si>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</si>
  <si>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</si>
  <si>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</si>
  <si>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</si>
  <si>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</si>
  <si>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</si>
  <si>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</si>
  <si>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</si>
  <si>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</si>
  <si>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</si>
  <si>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</si>
  <si>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</si>
  <si>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</si>
  <si>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</si>
  <si>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</si>
  <si>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</si>
  <si>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</si>
  <si>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</si>
  <si>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</si>
  <si>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</si>
  <si>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</si>
  <si>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</si>
  <si>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</si>
  <si>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</si>
  <si>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</si>
  <si>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</si>
  <si>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</si>
  <si>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</si>
  <si>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</si>
  <si>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</si>
  <si>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</si>
  <si>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</si>
  <si>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</si>
  <si>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</si>
  <si>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</si>
  <si>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</si>
  <si>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</si>
  <si>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</si>
  <si>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</si>
  <si>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</si>
  <si>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</si>
  <si>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</si>
  <si>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</si>
  <si>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</si>
  <si>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</si>
  <si>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</si>
  <si>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</si>
  <si>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</si>
  <si>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</si>
  <si>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</si>
  <si>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</si>
  <si>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</si>
  <si>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</si>
  <si>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</si>
  <si>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</si>
  <si>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</si>
  <si>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</si>
  <si>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</si>
  <si>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</si>
  <si>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</si>
  <si>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</si>
  <si>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</si>
  <si>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</si>
  <si>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</si>
  <si>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</si>
  <si>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</si>
  <si>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</si>
  <si>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</si>
  <si>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</si>
  <si>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</si>
  <si>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</si>
  <si>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</si>
  <si>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</si>
  <si>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</si>
  <si>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</si>
  <si>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</si>
  <si>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</si>
  <si>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</si>
  <si>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</si>
  <si>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</si>
  <si>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</si>
  <si>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</si>
  <si>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</si>
  <si>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</si>
  <si>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</si>
  <si>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</si>
  <si>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</si>
  <si>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</si>
  <si>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</si>
  <si>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</si>
  <si>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</si>
  <si>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</si>
  <si>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</si>
  <si>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</si>
  <si>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</si>
  <si>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</si>
  <si>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</si>
  <si>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</si>
  <si>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</si>
  <si>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</si>
  <si>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</si>
  <si>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</si>
  <si>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</si>
  <si>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</si>
  <si>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</si>
  <si>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</si>
  <si>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</si>
  <si>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</si>
  <si>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</si>
  <si>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</si>
  <si>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</si>
  <si>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</si>
  <si>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</si>
  <si>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</si>
  <si>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</si>
  <si>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</si>
  <si>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</si>
  <si>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</si>
  <si>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</si>
  <si>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</si>
  <si>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</si>
  <si>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</si>
  <si>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</si>
  <si>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</si>
  <si>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</si>
  <si>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</si>
  <si>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</si>
  <si>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</si>
  <si>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</si>
  <si>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</si>
  <si>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</si>
  <si>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</si>
  <si>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</si>
  <si>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</si>
  <si>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</si>
  <si>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</si>
  <si>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</si>
  <si>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</si>
  <si>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</si>
  <si>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</si>
  <si>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</si>
  <si>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</si>
  <si>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</si>
  <si>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</si>
  <si>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</si>
  <si>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</si>
  <si>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</si>
  <si>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</si>
  <si>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</si>
  <si>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</si>
  <si>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</si>
  <si>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</si>
  <si>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</si>
  <si>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</si>
  <si>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</si>
  <si>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</si>
  <si>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</si>
  <si>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</si>
  <si>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</si>
  <si>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</si>
  <si>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</si>
  <si>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</si>
  <si>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</si>
  <si>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</si>
  <si>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</si>
  <si>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</si>
  <si>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</si>
  <si>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</si>
  <si>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</si>
  <si>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</si>
  <si>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</si>
  <si>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</si>
  <si>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</si>
  <si>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</si>
  <si>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</si>
  <si>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</si>
  <si>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</si>
  <si>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</si>
  <si>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</si>
  <si>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</si>
  <si>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</si>
  <si>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</si>
  <si>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</si>
  <si>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</si>
  <si>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</si>
  <si>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</si>
  <si>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</si>
  <si>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</si>
  <si>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</si>
  <si>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</si>
  <si>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</si>
  <si>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</si>
  <si>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</si>
  <si>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</si>
  <si>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</si>
  <si>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</si>
  <si>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</si>
  <si>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</si>
  <si>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</si>
  <si>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</si>
  <si>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</si>
  <si>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</si>
  <si>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</si>
  <si>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</si>
  <si>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</si>
  <si>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</si>
  <si>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</si>
  <si>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</si>
  <si>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</si>
  <si>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</si>
  <si>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</si>
  <si>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</si>
  <si>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</si>
  <si>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</si>
  <si>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</si>
  <si>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</si>
  <si>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</si>
  <si>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</si>
  <si>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</si>
  <si>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</si>
  <si>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</si>
  <si>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</si>
  <si>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</si>
  <si>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</si>
  <si>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</si>
  <si>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</si>
  <si>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</si>
  <si>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</si>
  <si>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</si>
  <si>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</si>
  <si>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</si>
  <si>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</si>
  <si>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</si>
  <si>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</si>
  <si>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</si>
  <si>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</si>
  <si>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</si>
  <si>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</si>
  <si>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</si>
  <si>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</si>
  <si>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</si>
  <si>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</si>
  <si>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</si>
  <si>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</si>
  <si>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</si>
  <si>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</si>
  <si>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</si>
  <si>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</si>
  <si>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</si>
  <si>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</si>
  <si>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</si>
  <si>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</si>
  <si>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</si>
  <si>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</si>
  <si>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</si>
  <si>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</si>
  <si>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</si>
  <si>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</si>
  <si>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</si>
  <si>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</si>
  <si>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</si>
  <si>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</si>
  <si>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</si>
  <si>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</si>
  <si>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</si>
  <si>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</si>
  <si>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</si>
  <si>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</si>
  <si>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</si>
  <si>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</si>
  <si>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</si>
  <si>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</si>
  <si>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</si>
  <si>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</si>
  <si>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</si>
  <si>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</si>
  <si>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</si>
  <si>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</si>
  <si>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</si>
  <si>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</si>
  <si>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</si>
  <si>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</si>
  <si>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</si>
  <si>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</si>
  <si>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</si>
  <si>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</si>
  <si>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</si>
  <si>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</si>
  <si>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</si>
  <si>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</si>
  <si>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</si>
  <si>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</si>
  <si>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</si>
  <si>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</si>
  <si>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</si>
  <si>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</si>
  <si>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</si>
  <si>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</si>
  <si>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</si>
  <si>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</si>
  <si>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</si>
  <si>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</si>
  <si>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</si>
  <si>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</si>
  <si>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</si>
  <si>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</si>
  <si>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</si>
  <si>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</si>
  <si>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</si>
  <si>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</si>
  <si>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</si>
  <si>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</si>
  <si>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</si>
  <si>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</si>
  <si>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</si>
  <si>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</si>
  <si>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</si>
  <si>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</si>
  <si>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</si>
  <si>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</si>
  <si>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</si>
  <si>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</si>
  <si>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</si>
  <si>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</si>
  <si>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</si>
  <si>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</si>
  <si>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</si>
  <si>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</si>
  <si>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</si>
  <si>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</si>
  <si>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</si>
  <si>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</si>
  <si>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</si>
  <si>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</si>
  <si>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</si>
  <si>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</si>
  <si>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</si>
  <si>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</si>
  <si>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</si>
  <si>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</si>
  <si>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</si>
  <si>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</si>
  <si>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</si>
  <si>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</si>
  <si>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</si>
  <si>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</si>
  <si>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</si>
  <si>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</si>
  <si>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</si>
  <si>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</si>
  <si>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</si>
  <si>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</si>
  <si>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</si>
  <si>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</si>
  <si>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</si>
  <si>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</si>
  <si>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</si>
  <si>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</si>
  <si>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</si>
  <si>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</si>
  <si>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</si>
  <si>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</si>
  <si>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</si>
  <si>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</si>
  <si>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</si>
  <si>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</si>
  <si>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</si>
  <si>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</si>
  <si>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</si>
  <si>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</si>
  <si>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</si>
  <si>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</si>
  <si>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</si>
  <si>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</si>
  <si>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</si>
  <si>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</si>
  <si>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</si>
  <si>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</si>
  <si>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</si>
  <si>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</si>
  <si>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</si>
  <si>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</si>
  <si>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</si>
  <si>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</si>
  <si>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</si>
  <si>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</si>
  <si>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</si>
  <si>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</si>
  <si>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</si>
  <si>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</si>
  <si>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</si>
  <si>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</si>
  <si>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</si>
  <si>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</si>
  <si>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</si>
  <si>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</si>
  <si>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</si>
  <si>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</si>
  <si>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</si>
  <si>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</si>
  <si>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</si>
  <si>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</si>
  <si>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</si>
  <si>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</si>
  <si>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</si>
  <si>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</si>
  <si>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</si>
  <si>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</si>
  <si>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</si>
  <si>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</si>
  <si>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</si>
  <si>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</si>
  <si>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</si>
  <si>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</si>
  <si>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</si>
  <si>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</si>
  <si>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</si>
  <si>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</si>
  <si>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</si>
  <si>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</si>
  <si>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</si>
  <si>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</si>
  <si>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</si>
  <si>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</si>
  <si>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</si>
  <si>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</si>
  <si>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</si>
  <si>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</si>
  <si>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</si>
  <si>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</si>
  <si>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</si>
  <si>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</si>
  <si>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</si>
  <si>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</si>
  <si>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</si>
  <si>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</si>
  <si>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</si>
  <si>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</si>
  <si>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</si>
  <si>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</si>
  <si>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</si>
  <si>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</si>
  <si>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</si>
  <si>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</si>
  <si>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</si>
  <si>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</si>
  <si>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</si>
  <si>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</si>
  <si>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</si>
  <si>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</si>
  <si>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</si>
  <si>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</si>
  <si>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</si>
  <si>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</si>
  <si>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</si>
  <si>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</si>
  <si>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</si>
  <si>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</si>
  <si>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</si>
  <si>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</si>
  <si>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</si>
  <si>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</si>
  <si>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</si>
  <si>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</si>
  <si>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</si>
  <si>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</si>
  <si>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</si>
  <si>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</si>
  <si>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</si>
  <si>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</si>
  <si>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</si>
  <si>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</si>
  <si>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</si>
  <si>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</si>
  <si>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</si>
  <si>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</si>
  <si>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</si>
  <si>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</si>
  <si>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</si>
  <si>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</si>
  <si>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</si>
  <si>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</si>
  <si>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</si>
  <si>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</si>
  <si>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</si>
  <si>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</si>
  <si>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</si>
  <si>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</si>
  <si>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</si>
  <si>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</si>
  <si>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</si>
  <si>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</si>
  <si>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</si>
  <si>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</si>
  <si>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</si>
  <si>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</si>
  <si>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</si>
  <si>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</si>
  <si>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</si>
  <si>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</si>
  <si>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</si>
  <si>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</si>
  <si>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</si>
  <si>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</si>
  <si>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</si>
  <si>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</si>
  <si>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</si>
  <si>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</si>
  <si>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</si>
  <si>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</si>
  <si>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</si>
  <si>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</si>
  <si>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</si>
  <si>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</si>
  <si>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</si>
  <si>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</si>
  <si>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</si>
  <si>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</si>
  <si>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</si>
  <si>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</si>
  <si>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</si>
  <si>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</si>
  <si>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</si>
  <si>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</si>
  <si>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</si>
  <si>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</si>
  <si>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</si>
  <si>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</si>
  <si>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</si>
  <si>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</si>
  <si>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</si>
  <si>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</si>
  <si>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</si>
  <si>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</si>
  <si>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</si>
  <si>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</si>
  <si>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</si>
  <si>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</si>
  <si>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</si>
  <si>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</si>
  <si>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</si>
  <si>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</si>
  <si>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</si>
  <si>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</si>
  <si>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</si>
  <si>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</si>
  <si>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</si>
  <si>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</si>
  <si>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</si>
  <si>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</si>
  <si>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</si>
  <si>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</si>
  <si>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</si>
  <si>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</si>
  <si>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</si>
  <si>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</si>
  <si>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</si>
  <si>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</si>
  <si>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</si>
  <si>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</si>
  <si>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</si>
  <si>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</si>
  <si>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</si>
  <si>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</si>
  <si>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</si>
  <si>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</si>
  <si>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</si>
  <si>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</si>
  <si>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</si>
  <si>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</si>
  <si>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</si>
  <si>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</si>
  <si>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</si>
  <si>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</si>
  <si>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</si>
  <si>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</si>
  <si>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</si>
  <si>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</si>
  <si>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</si>
  <si>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</si>
  <si>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</si>
  <si>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</si>
  <si>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</si>
  <si>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</si>
  <si>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</si>
  <si>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</si>
  <si>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</si>
  <si>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</si>
  <si>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</si>
  <si>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</si>
  <si>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</si>
  <si>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</si>
  <si>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</si>
  <si>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</si>
  <si>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</si>
  <si>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</si>
  <si>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</si>
  <si>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</si>
  <si>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</si>
  <si>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</si>
  <si>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</si>
  <si>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</si>
  <si>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</si>
  <si>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</si>
  <si>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</si>
  <si>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</si>
  <si>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</si>
  <si>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</si>
  <si>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</si>
  <si>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</si>
  <si>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</si>
  <si>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</si>
  <si>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</si>
  <si>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</si>
  <si>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</si>
  <si>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</si>
  <si>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</si>
  <si>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</si>
  <si>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</si>
  <si>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</si>
  <si>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</si>
  <si>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</si>
  <si>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</si>
  <si>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</si>
  <si>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</si>
  <si>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</si>
  <si>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</si>
  <si>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</si>
  <si>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</si>
  <si>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</si>
  <si>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</si>
  <si>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</si>
  <si>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</si>
  <si>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</si>
  <si>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</si>
  <si>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</si>
  <si>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</si>
  <si>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</si>
  <si>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</si>
  <si>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</si>
  <si>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</si>
  <si>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</si>
  <si>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</si>
  <si>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</si>
  <si>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</si>
  <si>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</si>
  <si>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</si>
  <si>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</si>
  <si>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</si>
  <si>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</si>
  <si>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</si>
  <si>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</si>
  <si>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</si>
  <si>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</si>
  <si>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</si>
  <si>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</si>
  <si>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</si>
  <si>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</si>
  <si>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</si>
  <si>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</si>
  <si>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</si>
  <si>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</si>
  <si>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</si>
  <si>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</si>
  <si>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</si>
  <si>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</si>
  <si>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</si>
  <si>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</si>
  <si>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</si>
  <si>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</si>
  <si>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</si>
  <si>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</si>
  <si>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</si>
  <si>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</si>
  <si>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</si>
  <si>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</si>
  <si>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</si>
  <si>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</si>
  <si>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</si>
  <si>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</si>
  <si>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</si>
  <si>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</si>
  <si>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</si>
  <si>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</si>
  <si>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</si>
  <si>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</si>
  <si>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</si>
  <si>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</si>
  <si>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</si>
  <si>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</si>
  <si>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</si>
  <si>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</si>
  <si>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</si>
  <si>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</si>
  <si>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</si>
  <si>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</si>
  <si>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</si>
  <si>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</si>
  <si>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</si>
  <si>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</si>
  <si>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</si>
  <si>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</si>
  <si>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</si>
  <si>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</si>
  <si>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</si>
  <si>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</si>
  <si>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</si>
  <si>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</si>
  <si>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</si>
  <si>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</si>
  <si>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</si>
  <si>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</si>
  <si>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</si>
  <si>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</si>
  <si>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</si>
  <si>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</si>
  <si>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</si>
  <si>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</si>
  <si>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</si>
  <si>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</si>
  <si>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</si>
  <si>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</si>
  <si>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</si>
  <si>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</si>
  <si>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</si>
  <si>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</si>
  <si>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</si>
  <si>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</si>
  <si>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</si>
  <si>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</si>
  <si>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</si>
  <si>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</si>
  <si>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</si>
  <si>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</si>
  <si>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</si>
  <si>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</si>
  <si>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</si>
  <si>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</si>
  <si>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</si>
  <si>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</si>
  <si>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</si>
  <si>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</si>
  <si>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</si>
  <si>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</si>
  <si>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</si>
  <si>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</si>
  <si>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</si>
  <si>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</si>
  <si>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</si>
  <si>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</si>
  <si>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</si>
  <si>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</si>
  <si>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</si>
  <si>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</si>
  <si>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</si>
  <si>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</si>
  <si>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</si>
  <si>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</si>
  <si>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</si>
  <si>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</si>
  <si>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</si>
  <si>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</si>
  <si>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</si>
  <si>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</si>
  <si>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</si>
  <si>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</si>
  <si>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</si>
  <si>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</si>
  <si>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</si>
  <si>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</si>
  <si>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</si>
  <si>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</si>
  <si>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</si>
  <si>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</si>
  <si>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</si>
  <si>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</si>
  <si>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</si>
  <si>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</si>
  <si>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</si>
  <si>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</si>
  <si>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</si>
  <si>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</si>
  <si>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</si>
  <si>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</si>
  <si>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</si>
  <si>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</si>
  <si>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</si>
  <si>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</si>
  <si>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</si>
  <si>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</si>
  <si>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</si>
  <si>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</si>
  <si>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</si>
  <si>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</si>
  <si>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</si>
  <si>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</si>
  <si>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</si>
  <si>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</si>
  <si>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</si>
  <si>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</si>
  <si>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</si>
  <si>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</si>
  <si>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</si>
  <si>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</si>
  <si>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</si>
  <si>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</si>
  <si>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</si>
  <si>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</si>
  <si>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</si>
  <si>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</si>
  <si>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</si>
  <si>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</si>
  <si>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</si>
  <si>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</si>
  <si>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</si>
  <si>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</si>
  <si>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</si>
  <si>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</si>
  <si>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</si>
  <si>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</si>
  <si>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</si>
  <si>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</si>
  <si>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</si>
  <si>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</si>
  <si>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</si>
  <si>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</si>
  <si>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</si>
  <si>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</si>
  <si>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</si>
  <si>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</si>
  <si>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</si>
  <si>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</si>
  <si>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</si>
  <si>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</si>
  <si>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</si>
  <si>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</si>
  <si>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</si>
  <si>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</si>
  <si>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</si>
  <si>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</si>
  <si>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</si>
  <si>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</si>
  <si>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</si>
  <si>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</si>
  <si>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</si>
  <si>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</si>
  <si>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</si>
  <si>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</si>
  <si>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</si>
  <si>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</si>
  <si>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</si>
  <si>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</si>
  <si>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</si>
  <si>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</si>
  <si>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</si>
  <si>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</si>
  <si>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</si>
  <si>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</si>
  <si>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</si>
  <si>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</si>
  <si>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</si>
  <si>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</si>
  <si>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</si>
  <si>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</si>
  <si>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</si>
  <si>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</si>
  <si>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</si>
  <si>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</si>
  <si>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</si>
  <si>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</si>
  <si>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</si>
  <si>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</si>
  <si>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</si>
  <si>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</si>
  <si>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</si>
  <si>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</si>
  <si>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</si>
  <si>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</si>
  <si>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</si>
  <si>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</si>
  <si>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</si>
  <si>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</si>
  <si>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</si>
  <si>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</si>
  <si>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</si>
  <si>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</si>
  <si>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</si>
  <si>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</si>
  <si>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</si>
  <si>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</si>
  <si>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</si>
  <si>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</si>
  <si>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</si>
  <si>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</si>
  <si>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</si>
  <si>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</si>
  <si>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</si>
  <si>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</si>
  <si>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</si>
  <si>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</si>
  <si>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</si>
  <si>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</si>
  <si>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</si>
  <si>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</si>
  <si>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</si>
  <si>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</si>
  <si>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</si>
  <si>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</si>
  <si>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</si>
  <si>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</si>
  <si>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</si>
  <si>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</si>
  <si>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</si>
  <si>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</si>
  <si>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</si>
  <si>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</si>
  <si>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</si>
  <si>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</si>
  <si>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</si>
  <si>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</si>
  <si>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</si>
  <si>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</si>
  <si>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</si>
  <si>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</si>
  <si>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</si>
  <si>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</si>
  <si>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</si>
  <si>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</si>
  <si>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</si>
  <si>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</si>
  <si>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</si>
  <si>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</si>
  <si>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</si>
  <si>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</si>
  <si>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</si>
  <si>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</si>
  <si>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</si>
  <si>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</si>
  <si>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</si>
  <si>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</si>
  <si>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</si>
  <si>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</si>
  <si>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</si>
  <si>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</si>
  <si>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</si>
  <si>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</si>
  <si>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</si>
  <si>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</si>
  <si>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</si>
  <si>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</si>
  <si>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</si>
  <si>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</si>
  <si>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</si>
  <si>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</si>
  <si>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</si>
  <si>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</si>
  <si>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</si>
  <si>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</si>
  <si>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</si>
  <si>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</si>
  <si>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</si>
  <si>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</si>
  <si>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</si>
  <si>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</si>
  <si>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</si>
  <si>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</si>
  <si>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</si>
  <si>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</si>
  <si>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</si>
  <si>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</si>
  <si>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</si>
  <si>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</si>
  <si>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</si>
  <si>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</si>
  <si>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</si>
  <si>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</si>
  <si>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</si>
  <si>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</si>
  <si>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</si>
  <si>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</si>
  <si>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</si>
  <si>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</si>
  <si>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</si>
  <si>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</si>
  <si>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</si>
  <si>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</si>
  <si>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</si>
  <si>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</si>
  <si>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</si>
  <si>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</si>
  <si>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</si>
  <si>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</si>
  <si>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</si>
  <si>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</si>
  <si>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</si>
  <si>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</si>
  <si>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</si>
  <si>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</si>
  <si>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</si>
  <si>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</si>
  <si>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</si>
  <si>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</si>
  <si>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</si>
  <si>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</si>
  <si>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</si>
  <si>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</si>
  <si>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</si>
  <si>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</si>
  <si>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</si>
  <si>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</si>
  <si>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</si>
  <si>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</si>
  <si>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</si>
  <si>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</si>
  <si>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</si>
  <si>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</si>
  <si>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</si>
  <si>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</si>
  <si>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</si>
  <si>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</si>
  <si>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</si>
  <si>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</si>
  <si>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</si>
  <si>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</si>
  <si>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</si>
  <si>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</si>
  <si>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</si>
  <si>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</si>
  <si>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</si>
  <si>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</si>
  <si>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</si>
  <si>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</si>
  <si>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</si>
  <si>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</si>
  <si>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</si>
  <si>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</si>
  <si>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</si>
  <si>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</si>
  <si>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</si>
  <si>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</si>
  <si>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</si>
  <si>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</si>
  <si>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</si>
  <si>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</si>
  <si>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</si>
  <si>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</si>
  <si>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</si>
  <si>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</si>
  <si>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</si>
  <si>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</si>
  <si>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</si>
  <si>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</si>
  <si>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</si>
  <si>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</si>
  <si>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</si>
  <si>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</si>
  <si>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</si>
  <si>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</si>
  <si>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</si>
  <si>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</si>
  <si>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</si>
  <si>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</si>
  <si>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</si>
  <si>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</si>
  <si>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</si>
  <si>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</si>
  <si>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</si>
  <si>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</si>
  <si>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</si>
  <si>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</si>
  <si>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</si>
  <si>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</si>
  <si>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</si>
  <si>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</si>
  <si>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</si>
  <si>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</si>
  <si>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</si>
  <si>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</si>
  <si>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</si>
  <si>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</si>
  <si>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</si>
  <si>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</si>
  <si>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</si>
  <si>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出让</t>
  </si>
  <si>
    <t>商业</t>
  </si>
  <si>
    <t>否</t>
  </si>
  <si>
    <t>地上</t>
  </si>
  <si>
    <t>住宅</t>
    <phoneticPr fontId="7" type="noConversion"/>
  </si>
  <si>
    <t>商业</t>
    <phoneticPr fontId="7" type="noConversion"/>
  </si>
  <si>
    <t>不动产收益法</t>
  </si>
  <si>
    <t>比较法-住宅、综合</t>
  </si>
  <si>
    <t>剩余法-待开发</t>
  </si>
  <si>
    <t>按租金收入计税</t>
  </si>
  <si>
    <t>钢混</t>
  </si>
  <si>
    <t>楼面地价</t>
  </si>
  <si>
    <t>星博国际</t>
    <phoneticPr fontId="3" type="noConversion"/>
  </si>
  <si>
    <t>筑佳首府</t>
    <phoneticPr fontId="3" type="noConversion"/>
  </si>
  <si>
    <t>贵州省普定县穿洞街道金马新村</t>
    <phoneticPr fontId="6" type="noConversion"/>
  </si>
  <si>
    <t>一致</t>
  </si>
  <si>
    <t>较好</t>
  </si>
  <si>
    <t>一般</t>
  </si>
  <si>
    <t>好</t>
  </si>
  <si>
    <t>正常</t>
  </si>
  <si>
    <t>住宅</t>
    <phoneticPr fontId="21" type="noConversion"/>
  </si>
  <si>
    <t>住宅</t>
    <phoneticPr fontId="21" type="noConversion"/>
  </si>
  <si>
    <t>60-70（含）</t>
  </si>
  <si>
    <t>七通</t>
  </si>
  <si>
    <t>精装</t>
  </si>
  <si>
    <t>简装</t>
    <phoneticPr fontId="21" type="noConversion"/>
  </si>
  <si>
    <t>毛坯</t>
  </si>
  <si>
    <t>精装</t>
    <phoneticPr fontId="21" type="noConversion"/>
  </si>
  <si>
    <t>普装</t>
    <phoneticPr fontId="21" type="noConversion"/>
  </si>
  <si>
    <t>毛坯</t>
    <phoneticPr fontId="21" type="noConversion"/>
  </si>
  <si>
    <t>专业</t>
  </si>
  <si>
    <t>专业</t>
    <phoneticPr fontId="21" type="noConversion"/>
  </si>
  <si>
    <t>非专业</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</si>
  <si>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</si>
  <si>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</si>
  <si>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</si>
  <si>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</si>
  <si>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</si>
  <si>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钢混</t>
    <phoneticPr fontId="21" type="noConversion"/>
  </si>
  <si>
    <t>砖混</t>
    <phoneticPr fontId="21" type="noConversion"/>
  </si>
  <si>
    <t>塔楼</t>
  </si>
  <si>
    <t>板楼</t>
    <phoneticPr fontId="21" type="noConversion"/>
  </si>
  <si>
    <t>洋房</t>
  </si>
  <si>
    <t>洋房</t>
    <phoneticPr fontId="21" type="noConversion"/>
  </si>
  <si>
    <t>塔楼</t>
    <phoneticPr fontId="21" type="noConversion"/>
  </si>
  <si>
    <t>毛坯</t>
    <phoneticPr fontId="21" type="noConversion"/>
  </si>
  <si>
    <t>七通</t>
    <phoneticPr fontId="21" type="noConversion"/>
  </si>
  <si>
    <t>六通</t>
    <phoneticPr fontId="21" type="noConversion"/>
  </si>
  <si>
    <t>五通</t>
    <phoneticPr fontId="21" type="noConversion"/>
  </si>
  <si>
    <t>碧桂园</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</si>
  <si>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</si>
  <si>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</si>
  <si>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</si>
  <si>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</si>
  <si>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</si>
  <si>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</si>
  <si>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</si>
  <si>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</si>
  <si>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</si>
  <si>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</si>
  <si>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</si>
  <si>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</si>
  <si>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普定县黄桶街道青山村</t>
  </si>
  <si>
    <t>安顺市</t>
  </si>
  <si>
    <t>住宅用地</t>
  </si>
  <si>
    <t>等于3</t>
  </si>
  <si>
    <t>挂牌</t>
  </si>
  <si>
    <t>2018-08-31</t>
  </si>
  <si>
    <t>普定县夜郎国有资产投资运营有限责任公司</t>
  </si>
  <si>
    <t>等于2.9</t>
  </si>
  <si>
    <t>普定惠民扶贫综合开发投资有限公司</t>
  </si>
  <si>
    <t>普定县穿洞街道办龙马新村(安普城市干道旁)</t>
  </si>
  <si>
    <t>2018-07-20</t>
  </si>
  <si>
    <t>普定县夜郎国有资产投资营运有限责任公司</t>
  </si>
  <si>
    <t>普定县穿洞街道龙马新村</t>
  </si>
  <si>
    <t>等于2.4</t>
  </si>
  <si>
    <t>中房生建江苏文化产业发展有限公司</t>
  </si>
  <si>
    <t>普定县穿洞街道办红新村(安普城市干道旁)</t>
  </si>
  <si>
    <t>等于2.8</t>
  </si>
  <si>
    <t>普定县定南街道办富强路旁(原农贸市场片区)</t>
  </si>
  <si>
    <t>等于1.94</t>
  </si>
  <si>
    <t>2018-07-04</t>
  </si>
  <si>
    <t>普定县普信城市建设投资有限责任公司</t>
  </si>
  <si>
    <t>普定县马官镇马堡村</t>
  </si>
  <si>
    <t>大于或等于1并且小于或等于1.8</t>
  </si>
  <si>
    <t>安顺智杰建材有限公司</t>
  </si>
  <si>
    <t>普定县定南街道办(原农贸市场片区)</t>
  </si>
  <si>
    <t>等于1.1</t>
  </si>
  <si>
    <t>普定县安织公路旁</t>
  </si>
  <si>
    <t>等于20</t>
  </si>
  <si>
    <t>贵州嘉乐置业有限公司</t>
  </si>
  <si>
    <t>普定县穿洞街道办龙马新村</t>
  </si>
  <si>
    <t>2018-06-13</t>
  </si>
  <si>
    <t>普定县穿洞街道办三合村</t>
  </si>
  <si>
    <t>普定县红旗路与建兴路交汇旁</t>
  </si>
  <si>
    <t>等于1.9</t>
  </si>
  <si>
    <t>2018-03-14</t>
  </si>
  <si>
    <t>贵州华能置业有限公司</t>
  </si>
  <si>
    <t>等于2</t>
  </si>
  <si>
    <t>普定县安普城市干道旁</t>
  </si>
  <si>
    <t>等于2.2</t>
  </si>
  <si>
    <t>贵州省安顺市瑞泰房地产开发有限公司</t>
  </si>
  <si>
    <t>普定县马场镇党固村</t>
  </si>
  <si>
    <t>大于3</t>
  </si>
  <si>
    <t>2017-08-04</t>
  </si>
  <si>
    <t>普定活力翼达扶贫开发有限责任公司</t>
  </si>
  <si>
    <t>等于2.07</t>
  </si>
  <si>
    <t>2017-06-22</t>
  </si>
  <si>
    <t>等于1.89</t>
  </si>
  <si>
    <t>普定县黄桶街道斗篷村。</t>
  </si>
  <si>
    <t>2016-12-16</t>
  </si>
  <si>
    <t>普定县黄桶街道青山村。</t>
  </si>
  <si>
    <t>普定县夜郎国有资产投资营运有限责公司</t>
  </si>
  <si>
    <t>普定县穿洞街道金马新村(安普大道附近)。</t>
  </si>
  <si>
    <t>普定县穿洞街道金马新村(安普大道旁)。</t>
  </si>
  <si>
    <t>普定县穿洞街道龙马新村(安普大道附近)。</t>
  </si>
  <si>
    <t>普定县黄桶街道青山村(火车站进站路右侧)。</t>
  </si>
  <si>
    <t>普定县穿洞街道红新村(中华城附近)。</t>
  </si>
  <si>
    <t>2016-12-07</t>
  </si>
  <si>
    <t>普定县穿洞街道金马新村(安普大道附旁)。</t>
  </si>
  <si>
    <t>普定县穿洞街道红新村(普罗旺斯附近)。</t>
  </si>
  <si>
    <t>普定县黄桶街道斗篷村(火车站进站路右侧)。</t>
  </si>
  <si>
    <t>普定县国有资产投资营运有限责任公司</t>
  </si>
  <si>
    <t>普定县穿洞街道红新村(戒毒所旁)。</t>
  </si>
  <si>
    <t>等于1.7</t>
  </si>
  <si>
    <t>2016-11-09</t>
  </si>
  <si>
    <t>王运龙</t>
  </si>
  <si>
    <t>普定县穿洞街道红新村(公安局旁)。</t>
  </si>
  <si>
    <t>普定县穿洞街道红新村村(普罗旺斯附近)。</t>
  </si>
  <si>
    <t>普定县穿洞街道红新村(普罗旺斯旁)。</t>
  </si>
  <si>
    <t>普定县城关镇东风村、朝阳村。</t>
  </si>
  <si>
    <t>2016-07-15</t>
  </si>
  <si>
    <t>普定县新阳光房地产开发有限公司</t>
  </si>
  <si>
    <t>普定县城关镇新街村,安织公路往安顺方向左侧(普定县粮油厂旁)</t>
  </si>
  <si>
    <t>2016-05-18</t>
  </si>
  <si>
    <t>康炜</t>
  </si>
  <si>
    <t>高速路</t>
    <phoneticPr fontId="26" type="noConversion"/>
  </si>
  <si>
    <t>快速路</t>
    <phoneticPr fontId="26" type="noConversion"/>
  </si>
  <si>
    <t>主干道</t>
  </si>
  <si>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</si>
  <si>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</si>
  <si>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</si>
  <si>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</si>
  <si>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</si>
  <si>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</si>
  <si>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</si>
  <si>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一般</t>
    <phoneticPr fontId="26" type="noConversion"/>
  </si>
  <si>
    <t>较不规则</t>
  </si>
  <si>
    <t>较不规则</t>
    <phoneticPr fontId="26" type="noConversion"/>
  </si>
  <si>
    <t>不规则</t>
    <phoneticPr fontId="26" type="noConversion"/>
  </si>
  <si>
    <t>适宜</t>
    <phoneticPr fontId="26" type="noConversion"/>
  </si>
  <si>
    <t>较适宜</t>
    <phoneticPr fontId="26" type="noConversion"/>
  </si>
  <si>
    <t>较不适宜</t>
    <phoneticPr fontId="26" type="noConversion"/>
  </si>
  <si>
    <t>住宅</t>
    <phoneticPr fontId="26" type="noConversion"/>
  </si>
  <si>
    <t>普定县穿洞街道岩上村</t>
    <phoneticPr fontId="233" type="noConversion"/>
  </si>
  <si>
    <t>普定县穿洞街道龙马新村</t>
    <phoneticPr fontId="233" type="noConversion"/>
  </si>
  <si>
    <t>普定县穿洞街道龙马新村</t>
    <phoneticPr fontId="3" type="noConversion"/>
  </si>
  <si>
    <t>普定县穿洞街道金马新村</t>
    <phoneticPr fontId="3" type="noConversion"/>
  </si>
  <si>
    <t>规则</t>
    <phoneticPr fontId="21" type="noConversion"/>
  </si>
  <si>
    <t>较规则</t>
    <phoneticPr fontId="21" type="noConversion"/>
  </si>
  <si>
    <t>一般</t>
    <phoneticPr fontId="21" type="noConversion"/>
  </si>
  <si>
    <t>较不规则</t>
    <phoneticPr fontId="21" type="noConversion"/>
  </si>
  <si>
    <t>不规则</t>
    <phoneticPr fontId="21" type="noConversion"/>
  </si>
  <si>
    <t>宗地形状</t>
    <phoneticPr fontId="3" type="noConversion"/>
  </si>
  <si>
    <t>好</t>
    <phoneticPr fontId="21" type="noConversion"/>
  </si>
  <si>
    <t>较好</t>
    <phoneticPr fontId="21" type="noConversion"/>
  </si>
  <si>
    <t>较差</t>
    <phoneticPr fontId="21" type="noConversion"/>
  </si>
  <si>
    <t>社区成熟度</t>
    <phoneticPr fontId="21" type="noConversion"/>
  </si>
  <si>
    <t>交通便捷度</t>
    <phoneticPr fontId="3" type="noConversion"/>
  </si>
  <si>
    <t>公共配套设施</t>
    <phoneticPr fontId="3" type="noConversion"/>
  </si>
  <si>
    <t>土地面积</t>
    <phoneticPr fontId="3" type="noConversion"/>
  </si>
  <si>
    <r>
      <t>0-10000</t>
    </r>
    <r>
      <rPr>
        <sz val="10"/>
        <color indexed="8"/>
        <rFont val="宋体"/>
        <family val="3"/>
        <charset val="134"/>
      </rPr>
      <t>（含）</t>
    </r>
    <phoneticPr fontId="21" type="noConversion"/>
  </si>
  <si>
    <r>
      <t>10000-20000</t>
    </r>
    <r>
      <rPr>
        <sz val="10"/>
        <color indexed="8"/>
        <rFont val="宋体"/>
        <family val="3"/>
        <charset val="134"/>
      </rPr>
      <t>（含）</t>
    </r>
    <phoneticPr fontId="21" type="noConversion"/>
  </si>
  <si>
    <r>
      <t>20000-30000</t>
    </r>
    <r>
      <rPr>
        <sz val="10"/>
        <color indexed="8"/>
        <rFont val="宋体"/>
        <family val="3"/>
        <charset val="134"/>
      </rPr>
      <t>（含）</t>
    </r>
    <phoneticPr fontId="21" type="noConversion"/>
  </si>
  <si>
    <r>
      <t>30000-40000</t>
    </r>
    <r>
      <rPr>
        <sz val="10"/>
        <color indexed="8"/>
        <rFont val="宋体"/>
        <family val="3"/>
        <charset val="134"/>
      </rPr>
      <t>（含）</t>
    </r>
    <phoneticPr fontId="21" type="noConversion"/>
  </si>
  <si>
    <r>
      <t>40000-50000</t>
    </r>
    <r>
      <rPr>
        <sz val="10"/>
        <color indexed="8"/>
        <rFont val="宋体"/>
        <family val="3"/>
        <charset val="134"/>
      </rPr>
      <t>（含）</t>
    </r>
    <phoneticPr fontId="21" type="noConversion"/>
  </si>
  <si>
    <r>
      <t>50000-60000</t>
    </r>
    <r>
      <rPr>
        <sz val="10"/>
        <color indexed="8"/>
        <rFont val="宋体"/>
        <family val="3"/>
        <charset val="134"/>
      </rPr>
      <t>（含）</t>
    </r>
    <phoneticPr fontId="21" type="noConversion"/>
  </si>
  <si>
    <t>0-10000（含）</t>
  </si>
  <si>
    <t>50000-60000（含）</t>
  </si>
  <si>
    <t>30000-40000（含）</t>
  </si>
  <si>
    <t xml:space="preserve"> </t>
    <phoneticPr fontId="21" type="noConversion"/>
  </si>
  <si>
    <t>40000-50000（含）</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</si>
  <si>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</si>
  <si>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</si>
  <si>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1-2</t>
    </r>
    <r>
      <rPr>
        <sz val="10"/>
        <color indexed="8"/>
        <rFont val="宋体"/>
        <family val="3"/>
        <charset val="134"/>
      </rPr>
      <t>层</t>
    </r>
    <phoneticPr fontId="3" type="noConversion"/>
  </si>
  <si>
    <t>商业</t>
    <phoneticPr fontId="3" type="noConversion"/>
  </si>
  <si>
    <t>租金</t>
    <phoneticPr fontId="3" type="noConversion"/>
  </si>
  <si>
    <t xml:space="preserve"> </t>
    <phoneticPr fontId="277" type="noConversion"/>
  </si>
  <si>
    <t>出让宗地面积</t>
    <phoneticPr fontId="277" type="noConversion"/>
  </si>
  <si>
    <t>（不动产权证）建筑面积</t>
    <phoneticPr fontId="277" type="noConversion"/>
  </si>
  <si>
    <t>规划建筑面积</t>
    <phoneticPr fontId="277" type="noConversion"/>
  </si>
  <si>
    <t>商业</t>
    <phoneticPr fontId="277" type="noConversion"/>
  </si>
  <si>
    <t>住宅</t>
    <phoneticPr fontId="277" type="noConversion"/>
  </si>
  <si>
    <t>物管</t>
    <phoneticPr fontId="277" type="noConversion"/>
  </si>
  <si>
    <t>容积率</t>
    <phoneticPr fontId="277" type="noConversion"/>
  </si>
  <si>
    <t>合计</t>
    <phoneticPr fontId="277" type="noConversion"/>
  </si>
  <si>
    <t>居住项目</t>
  </si>
  <si>
    <t>无</t>
  </si>
  <si>
    <t>场地未平整</t>
  </si>
  <si>
    <t>平整</t>
  </si>
  <si>
    <t>宗地内尚有需要移除的树木及部分待拆迁建筑物</t>
    <phoneticPr fontId="6" type="noConversion"/>
  </si>
  <si>
    <t>押一</t>
  </si>
  <si>
    <t>普定县穿洞街道岩上村</t>
    <phoneticPr fontId="3" type="noConversion"/>
  </si>
  <si>
    <t>总计</t>
    <phoneticPr fontId="233" type="noConversion"/>
  </si>
  <si>
    <t>经营性</t>
    <phoneticPr fontId="233" type="noConversion"/>
  </si>
  <si>
    <t>住宅</t>
    <phoneticPr fontId="233" type="noConversion"/>
  </si>
  <si>
    <t>商业</t>
    <phoneticPr fontId="233" type="noConversion"/>
  </si>
  <si>
    <t>非经营性</t>
    <phoneticPr fontId="233" type="noConversion"/>
  </si>
  <si>
    <t>物管</t>
    <phoneticPr fontId="233" type="noConversion"/>
  </si>
  <si>
    <t>合计</t>
    <phoneticPr fontId="233" type="noConversion"/>
  </si>
  <si>
    <t>总价</t>
    <phoneticPr fontId="233" type="noConversion"/>
  </si>
  <si>
    <t>楼面单价</t>
    <phoneticPr fontId="233" type="noConversion"/>
  </si>
  <si>
    <t>地面单价</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</si>
</sst>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name val="宋体"/>
      <family val="2"/>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9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0" fillId="10" borderId="0" xfId="0" applyFill="1">
      <alignment vertical="center"/>
    </xf>
    <xf numFmtId="0" fontId="0" fillId="8" borderId="0" xfId="0" applyFill="1">
      <alignment vertical="center"/>
    </xf>
    <xf numFmtId="0" fontId="145" fillId="10" borderId="0" xfId="0" applyFont="1" applyFill="1">
      <alignment vertical="center"/>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82" fillId="5" borderId="0" xfId="0" applyFont="1" applyFill="1" applyAlignment="1" applyProtection="1">
      <alignment vertical="center"/>
      <protection locked="0"/>
    </xf>
    <xf numFmtId="0" fontId="0" fillId="16" borderId="0" xfId="0" applyFill="1">
      <alignment vertical="center"/>
    </xf>
    <xf numFmtId="0" fontId="0" fillId="17" borderId="0" xfId="0" applyFill="1">
      <alignment vertical="center"/>
    </xf>
    <xf numFmtId="0" fontId="0" fillId="6" borderId="0" xfId="0" applyFill="1">
      <alignment vertical="center"/>
    </xf>
    <xf numFmtId="0" fontId="0" fillId="18" borderId="0" xfId="0" applyFill="1">
      <alignment vertical="center"/>
    </xf>
    <xf numFmtId="0" fontId="71" fillId="9" borderId="1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0" borderId="0" xfId="0" applyFont="1">
      <alignment vertical="center"/>
    </xf>
    <xf numFmtId="0" fontId="145" fillId="0" borderId="2" xfId="0" applyFont="1" applyBorder="1">
      <alignment vertical="center"/>
    </xf>
    <xf numFmtId="0" fontId="0" fillId="0" borderId="2" xfId="0" applyBorder="1">
      <alignment vertical="center"/>
    </xf>
    <xf numFmtId="180" fontId="0" fillId="0" borderId="2" xfId="0" applyNumberFormat="1" applyBorder="1">
      <alignment vertical="center"/>
    </xf>
    <xf numFmtId="0" fontId="145" fillId="0" borderId="2" xfId="0" applyFont="1" applyFill="1" applyBorder="1">
      <alignment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D1" zoomScale="80" zoomScaleNormal="80" workbookViewId="0">
      <selection activeCell="M30" sqref="M30"/>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2659</v>
      </c>
      <c r="B1" s="2891" t="s">
        <v>2756</v>
      </c>
    </row>
    <row r="2" spans="1:55" s="2895" customFormat="1" ht="15" thickTop="1">
      <c r="A2" s="2893" t="s">
        <v>2663</v>
      </c>
      <c r="B2" s="2894" t="str">
        <f>'预评函-封皮'!B37</f>
        <v>贵州省普定县穿洞街道金马新村出让国有建设用地使用权预评估</v>
      </c>
      <c r="AX2" s="2896"/>
      <c r="AZ2" s="2896"/>
      <c r="BA2" s="2897"/>
      <c r="BC2" s="2897"/>
    </row>
    <row r="3" spans="1:55" s="2898" customFormat="1">
      <c r="A3" s="2877" t="s">
        <v>2664</v>
      </c>
      <c r="B3" s="2880">
        <f>'预评函-封皮'!B40</f>
        <v>0</v>
      </c>
    </row>
    <row r="4" spans="1:55" s="2879" customFormat="1">
      <c r="A4" s="2877" t="s">
        <v>2665</v>
      </c>
      <c r="B4" s="2878" t="str">
        <f>'预评函-封皮'!B46</f>
        <v>土地估价师、土地估价师</v>
      </c>
      <c r="N4" s="2879" t="str">
        <f>'预评函-1'!A28</f>
        <v>本次估价的“抵押净值”是指估价对象“抵押价格”减去估价对象在估价期日以“土地销售收入”为基数计算的预计抵押权实现进行处置时需缴纳的各项费用、税金等相关费用后的价格。</v>
      </c>
    </row>
    <row r="5" spans="1:55" s="2892" customFormat="1" ht="15" thickBot="1">
      <c r="A5" s="2899" t="s">
        <v>2666</v>
      </c>
      <c r="B5" s="2900" t="str">
        <f>'预评函-封皮'!B49</f>
        <v>康正预评字号</v>
      </c>
    </row>
    <row r="6" spans="1:55" s="2901" customFormat="1" ht="15" thickTop="1">
      <c r="A6" s="2893" t="s">
        <v>2708</v>
      </c>
      <c r="B6" s="2894" t="str">
        <f>'预评函-1'!A4</f>
        <v>受贵公司委托，我公司对贵州省普定县穿洞街道金马新村出让国有建设用地使用权进行了预评估。</v>
      </c>
      <c r="AM6" s="2902"/>
    </row>
    <row r="7" spans="1:55" s="2876" customFormat="1">
      <c r="A7" s="2877" t="s">
        <v>2660</v>
      </c>
      <c r="B7" s="2878" t="str">
        <f>'预评函-1'!A6</f>
        <v>估价对象为使用的、位于贵州省普定县穿洞街道金马新村出让国有建设用地使用权。根据《国有土地使用证》[]，估价对象（分摊）出让国有建设用地使用权面积为49638.62平方米。根据《建设工程规划许可证》[]、《出让合同》[]，估价对象规划建筑面积为148915.863188462平方米。</v>
      </c>
    </row>
    <row r="8" spans="1:55" s="2876" customFormat="1">
      <c r="A8" s="2877" t="s">
        <v>2661</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2711</v>
      </c>
      <c r="B9" s="2878" t="str">
        <f>'预评函-1'!A9</f>
        <v>本次评估为委托估价方了解标的物之市场价格提供参考依据而评估出让国有建设用地使用权市场价格。</v>
      </c>
    </row>
    <row r="10" spans="1:55" s="2876" customFormat="1">
      <c r="A10" s="2877" t="s">
        <v>2662</v>
      </c>
      <c r="B10" s="2878" t="str">
        <f>'预评函-1'!A11</f>
        <v>2018年9月18日（评估专业人员勘察现场之日）</v>
      </c>
    </row>
    <row r="11" spans="1:55" s="2876" customFormat="1">
      <c r="A11" s="2877" t="s">
        <v>2668</v>
      </c>
      <c r="B11" s="2878" t="str">
        <f>'预评函-1'!A14</f>
        <v>根据《国有土地使用证》[]，本次评估估价对象证载（地类）用途为。</v>
      </c>
    </row>
    <row r="12" spans="1:55" s="2876" customFormat="1">
      <c r="A12" s="2877" t="s">
        <v>2669</v>
      </c>
      <c r="B12" s="2878" t="str">
        <f>'预评函-1'!A15</f>
        <v>本次评估设定用途即为证载用途。</v>
      </c>
    </row>
    <row r="13" spans="1:55" s="2876" customFormat="1">
      <c r="A13" s="2877" t="s">
        <v>2670</v>
      </c>
      <c r="B13" s="2878" t="str">
        <f>'预评函-1'!A17</f>
        <v>根据委托估价方介绍及评估专业人员现场勘查，本次评估估价对象实际土地开发程度为红线外市政基础设施达“七通”（即、、、、、、）、宗地红线内场地未平整，宗地内尚有需要移除的树木及部分待拆迁建筑物。</v>
      </c>
    </row>
    <row r="14" spans="1:55" s="2876" customFormat="1">
      <c r="A14" s="2877" t="s">
        <v>2671</v>
      </c>
      <c r="B14" s="2878" t="str">
        <f>'预评函-1'!A18</f>
        <v>。本次评估设定土地开发程度为红线外市政基础设施达“七通”、宗地红线内场地平整。</v>
      </c>
    </row>
    <row r="15" spans="1:55" s="2876" customFormat="1">
      <c r="A15" s="2877" t="s">
        <v>2667</v>
      </c>
      <c r="B15" s="2878" t="str">
        <f>'预评函-1'!A20</f>
        <v>根据《国有土地使用证》[]，估价对象（分摊）出让国有建设用地使用权面积为49638.62平方米。根据《建设工程规划许可证》[]、《出让合同》[]，估价对象规划建筑面积为148915.863188462平方米。</v>
      </c>
    </row>
    <row r="16" spans="1:55" s="2876" customFormat="1">
      <c r="A16" s="2877" t="s">
        <v>2672</v>
      </c>
      <c r="B16" s="2878" t="str">
        <f>'预评函-1'!A22</f>
        <v>本次估价对象为出让国有建设用地使用权，《国有土地使用证》[]证载土地终止日期为住宅2087年3月19日、商业2057年3月19日。截至估价期日，出让国有建设用地使用权剩余土地使用年限为。</v>
      </c>
    </row>
    <row r="17" spans="1:48" s="2876" customFormat="1">
      <c r="A17" s="2877" t="s">
        <v>2673</v>
      </c>
      <c r="B17" s="2878" t="str">
        <f>'预评函-1'!A23</f>
        <v>本次评估设定估价对象剩余土地使用年限为。</v>
      </c>
    </row>
    <row r="18" spans="1:48" s="2876" customFormat="1">
      <c r="A18" s="2877" t="s">
        <v>2674</v>
      </c>
      <c r="B18" s="2878" t="str">
        <f>'预评函-1'!A25</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剩余土地使用年限为的出让国有建设用地使用权价格。</v>
      </c>
    </row>
    <row r="19" spans="1:48" s="2876" customFormat="1">
      <c r="A19" s="2877" t="s">
        <v>2675</v>
      </c>
      <c r="B19" s="287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76" customFormat="1">
      <c r="A20" s="2877" t="s">
        <v>2676</v>
      </c>
      <c r="B20" s="2878" t="str">
        <f>'预评函-1'!A27</f>
        <v>——</v>
      </c>
    </row>
    <row r="21" spans="1:48" s="2892" customFormat="1" ht="15" thickBot="1">
      <c r="A21" s="2899" t="s">
        <v>2677</v>
      </c>
      <c r="B21" s="29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8" t="s">
        <v>2678</v>
      </c>
      <c r="B22" s="28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7" t="s">
        <v>2679</v>
      </c>
      <c r="B23" s="2878" t="str">
        <f>'预评函-2'!K2</f>
        <v>估价期日：2018年9月18日</v>
      </c>
    </row>
    <row r="24" spans="1:48">
      <c r="A24" s="2877" t="s">
        <v>2680</v>
      </c>
      <c r="B24" s="2878" t="str">
        <f>'预评函-2'!R2</f>
        <v>估价期日的国有建设用地使用权性质：出让</v>
      </c>
    </row>
    <row r="25" spans="1:48">
      <c r="A25" s="2877" t="s">
        <v>2736</v>
      </c>
      <c r="B25" s="2878" t="str">
        <f>'预评函-2'!A3</f>
        <v>估价期日土地使用者</v>
      </c>
    </row>
    <row r="26" spans="1:48">
      <c r="A26" s="2877" t="s">
        <v>2712</v>
      </c>
      <c r="B26" s="2878" t="str">
        <f>'预评函-2'!A5</f>
        <v>中信开发</v>
      </c>
    </row>
    <row r="27" spans="1:48">
      <c r="A27" s="2877" t="s">
        <v>2737</v>
      </c>
      <c r="B27" s="2878" t="str">
        <f>'预评函-2'!B3</f>
        <v>宗地编号/不动产单元号</v>
      </c>
    </row>
    <row r="28" spans="1:48">
      <c r="A28" s="2877" t="s">
        <v>2713</v>
      </c>
      <c r="B28" s="2878" t="str">
        <f>'预评函-2'!B5</f>
        <v>11111111111</v>
      </c>
    </row>
    <row r="29" spans="1:48">
      <c r="A29" s="2877" t="s">
        <v>2739</v>
      </c>
      <c r="B29" s="2878">
        <f>'预评函-2'!C5</f>
        <v>22</v>
      </c>
    </row>
    <row r="30" spans="1:48">
      <c r="A30" s="2877" t="s">
        <v>2740</v>
      </c>
      <c r="B30" s="2878" t="str">
        <f>'预评函-2'!D3</f>
        <v>土地使用证编号/不动产权证书编号</v>
      </c>
    </row>
    <row r="31" spans="1:48">
      <c r="A31" s="2877" t="s">
        <v>2714</v>
      </c>
      <c r="B31" s="2878" t="str">
        <f>'预评函-2'!D5</f>
        <v>京国土字第111号</v>
      </c>
    </row>
    <row r="32" spans="1:48">
      <c r="A32" s="2877" t="s">
        <v>2715</v>
      </c>
      <c r="B32" s="2878">
        <f>'预评函-2'!E5</f>
        <v>0</v>
      </c>
      <c r="AV32" s="2882"/>
    </row>
    <row r="33" spans="1:2">
      <c r="A33" s="2877" t="s">
        <v>2716</v>
      </c>
      <c r="B33" s="2878">
        <f>'预评函-2'!F5</f>
        <v>258</v>
      </c>
    </row>
    <row r="34" spans="1:2">
      <c r="A34" s="2877" t="s">
        <v>2717</v>
      </c>
      <c r="B34" s="2878">
        <f>'预评函-2'!G5</f>
        <v>0</v>
      </c>
    </row>
    <row r="35" spans="1:2">
      <c r="A35" s="2877" t="s">
        <v>2718</v>
      </c>
      <c r="B35" s="2878">
        <f>'预评函-2'!H5</f>
        <v>1.5</v>
      </c>
    </row>
    <row r="36" spans="1:2">
      <c r="A36" s="2877" t="s">
        <v>2719</v>
      </c>
      <c r="B36" s="2878">
        <f>'预评函-2'!I5</f>
        <v>1.5</v>
      </c>
    </row>
    <row r="37" spans="1:2">
      <c r="A37" s="2877" t="s">
        <v>2720</v>
      </c>
      <c r="B37" s="2878">
        <f>'预评函-2'!J5</f>
        <v>1.5</v>
      </c>
    </row>
    <row r="38" spans="1:2">
      <c r="A38" s="2877" t="s">
        <v>2721</v>
      </c>
      <c r="B38" s="2878" t="str">
        <f>'预评函-2'!K5</f>
        <v>红线外七通、宗地红线内场地未平整</v>
      </c>
    </row>
    <row r="39" spans="1:2">
      <c r="A39" s="2877" t="s">
        <v>2722</v>
      </c>
      <c r="B39" s="2878" t="str">
        <f>'预评函-2'!L5</f>
        <v>红线外七通、宗地红线内场地平整</v>
      </c>
    </row>
    <row r="40" spans="1:2">
      <c r="A40" s="2877" t="s">
        <v>2741</v>
      </c>
      <c r="B40" s="2878" t="str">
        <f>'预评函-2'!M3</f>
        <v>（剩余）土地使用年限/年</v>
      </c>
    </row>
    <row r="41" spans="1:2">
      <c r="A41" s="2877" t="s">
        <v>2723</v>
      </c>
      <c r="B41" s="2878">
        <f>'预评函-2'!M5</f>
        <v>0</v>
      </c>
    </row>
    <row r="42" spans="1:2">
      <c r="A42" s="2877" t="s">
        <v>2742</v>
      </c>
      <c r="B42" s="2878" t="str">
        <f>'预评函-2'!N3</f>
        <v>（分摊）出让国有建设用地使用权面积/㎡</v>
      </c>
    </row>
    <row r="43" spans="1:2">
      <c r="A43" s="2877" t="s">
        <v>2724</v>
      </c>
      <c r="B43" s="2878">
        <f>'预评函-2'!N5</f>
        <v>49638.62</v>
      </c>
    </row>
    <row r="44" spans="1:2">
      <c r="A44" s="2877" t="s">
        <v>2743</v>
      </c>
      <c r="B44" s="2878" t="str">
        <f>'预评函-2'!O3</f>
        <v>规划建筑面积/㎡</v>
      </c>
    </row>
    <row r="45" spans="1:2">
      <c r="A45" s="2877" t="s">
        <v>2725</v>
      </c>
      <c r="B45" s="2878">
        <f>'预评函-2'!O5</f>
        <v>148915.86318846155</v>
      </c>
    </row>
    <row r="46" spans="1:2">
      <c r="A46" s="2877" t="s">
        <v>2726</v>
      </c>
      <c r="B46" s="2878">
        <f ca="1">'预评函-2'!P5</f>
        <v>2838</v>
      </c>
    </row>
    <row r="47" spans="1:2">
      <c r="A47" s="2877" t="s">
        <v>2727</v>
      </c>
      <c r="B47" s="2878">
        <f ca="1">'预评函-2'!Q5</f>
        <v>946</v>
      </c>
    </row>
    <row r="48" spans="1:2">
      <c r="A48" s="2877" t="s">
        <v>2728</v>
      </c>
      <c r="B48" s="2878">
        <f ca="1">'预评函-2'!R5</f>
        <v>14085</v>
      </c>
    </row>
    <row r="49" spans="1:2">
      <c r="A49" s="2877" t="s">
        <v>2744</v>
      </c>
      <c r="B49" s="2878" t="str">
        <f>'预评函-2'!A6</f>
        <v>抵押价格</v>
      </c>
    </row>
    <row r="50" spans="1:2">
      <c r="A50" s="2877" t="s">
        <v>2729</v>
      </c>
      <c r="B50" s="2878" t="str">
        <f>'预评函-2'!R6</f>
        <v>——</v>
      </c>
    </row>
    <row r="51" spans="1:2">
      <c r="A51" s="2877" t="s">
        <v>2745</v>
      </c>
      <c r="B51" s="2878" t="str">
        <f>'预评函-2'!A7</f>
        <v>——</v>
      </c>
    </row>
    <row r="52" spans="1:2">
      <c r="A52" s="2877" t="s">
        <v>2730</v>
      </c>
      <c r="B52" s="2878" t="str">
        <f>'预评函-2'!R7</f>
        <v>——</v>
      </c>
    </row>
    <row r="53" spans="1:2">
      <c r="A53" s="2877" t="s">
        <v>2746</v>
      </c>
      <c r="B53" s="2878">
        <f>'预评函-2'!A8</f>
        <v>0</v>
      </c>
    </row>
    <row r="54" spans="1:2" s="2892" customFormat="1" ht="15" thickBot="1">
      <c r="A54" s="2899" t="s">
        <v>2731</v>
      </c>
      <c r="B54" s="2900" t="str">
        <f>'预评函-2'!R8</f>
        <v>——</v>
      </c>
    </row>
    <row r="55" spans="1:2" ht="15" thickTop="1">
      <c r="A55" s="2888" t="s">
        <v>2681</v>
      </c>
      <c r="B55" s="2889" t="str">
        <f>'预评函-3'!A2</f>
        <v>1.权利限制：根据估价对象《不动产权证书》原件、《国有土地使用权》复印件，截至估价期日，估价对象抵押权未见登记。未设定租赁等其他他项权利。</v>
      </c>
    </row>
    <row r="56" spans="1:2">
      <c r="A56" s="2877" t="s">
        <v>2682</v>
      </c>
      <c r="B56" s="2878" t="str">
        <f>'预评函-3'!A3</f>
        <v>2.基础设施条件：估价对象实际开发程度为红线外七通、宗地红线内场地未平整；本次评估设定开发程度为红线外七通、宗地红线内场地平整。</v>
      </c>
    </row>
    <row r="57" spans="1:2">
      <c r="A57" s="2877" t="s">
        <v>2683</v>
      </c>
      <c r="B57" s="2878" t="str">
        <f>'预评函-3'!A4</f>
        <v>3.估价规划限制条件：详见《建设工程规划许可证》[]、《出让合同》[]。</v>
      </c>
    </row>
    <row r="58" spans="1:2" s="2892" customFormat="1" ht="15" thickBot="1">
      <c r="A58" s="2899" t="s">
        <v>2732</v>
      </c>
      <c r="B58" s="2900" t="str">
        <f>'预评函-3'!A5</f>
        <v>4.影响价格的其他限定条件：无。</v>
      </c>
    </row>
    <row r="59" spans="1:2" ht="15" thickTop="1">
      <c r="A59" s="2888" t="s">
        <v>2684</v>
      </c>
      <c r="B59" s="2889" t="str">
        <f>'预评函-3'!A8</f>
        <v>2.本次评估设定估价对象宗地权属无争议，未被查封或者以其他形式限制其房地产权利，未设定抵押权等他项权利，不涉及第三方权利义务。</v>
      </c>
    </row>
    <row r="60" spans="1:2">
      <c r="A60" s="2877" t="s">
        <v>2685</v>
      </c>
      <c r="B60" s="2878" t="str">
        <f>'预评函-3'!A9</f>
        <v>——</v>
      </c>
    </row>
    <row r="61" spans="1:2">
      <c r="A61" s="2877" t="s">
        <v>2687</v>
      </c>
      <c r="B61" s="2878" t="str">
        <f>'预评函-3'!A10</f>
        <v>——</v>
      </c>
    </row>
    <row r="62" spans="1:2">
      <c r="A62" s="2877" t="s">
        <v>2686</v>
      </c>
      <c r="B62" s="2878" t="str">
        <f>'预评函-3'!A11</f>
        <v>——</v>
      </c>
    </row>
    <row r="63" spans="1:2">
      <c r="A63" s="2877" t="s">
        <v>2688</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2689</v>
      </c>
      <c r="B64" s="2883" t="str">
        <f>'预评函-3'!A13</f>
        <v>（3）。</v>
      </c>
    </row>
    <row r="65" spans="1:2">
      <c r="A65" s="2877" t="s">
        <v>2690</v>
      </c>
      <c r="B65" s="2884" t="str">
        <f>'预评函-3'!A14</f>
        <v>——</v>
      </c>
    </row>
    <row r="66" spans="1:2">
      <c r="A66" s="2877" t="s">
        <v>2691</v>
      </c>
      <c r="B66" s="288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2692</v>
      </c>
      <c r="B67" s="288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2695</v>
      </c>
      <c r="B68" s="2903">
        <f>'预评函-3'!D30</f>
        <v>42558</v>
      </c>
    </row>
    <row r="69" spans="1:2" ht="15" thickTop="1">
      <c r="A69" s="2888" t="s">
        <v>2693</v>
      </c>
      <c r="B69" s="2889" t="str">
        <f>'预评函-3'!A20</f>
        <v>土地估价师</v>
      </c>
    </row>
    <row r="70" spans="1:2">
      <c r="A70" s="2877" t="s">
        <v>2693</v>
      </c>
      <c r="B70" s="2884">
        <f>'预评函-3'!B20</f>
        <v>0</v>
      </c>
    </row>
    <row r="71" spans="1:2">
      <c r="A71" s="2877" t="s">
        <v>2694</v>
      </c>
      <c r="B71" s="2878" t="str">
        <f>'预评函-3'!A21</f>
        <v>土地估价师</v>
      </c>
    </row>
    <row r="72" spans="1:2" s="2892" customFormat="1" ht="15" thickBot="1">
      <c r="A72" s="2899" t="s">
        <v>2694</v>
      </c>
      <c r="B72" s="2905">
        <f>'预评函-3'!B21</f>
        <v>0</v>
      </c>
    </row>
    <row r="73" spans="1:2" ht="15" thickTop="1">
      <c r="A73" s="2888" t="s">
        <v>2753</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2754</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2755</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2790</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97" t="str">
        <f>项目基本情况!B1</f>
        <v>贵州省普定县穿洞街道金马新村出让国有建设用地使用权预评估</v>
      </c>
      <c r="C37" s="3197"/>
      <c r="D37" s="3197"/>
      <c r="E37" s="3197"/>
      <c r="F37" s="3197"/>
      <c r="G37" s="3197"/>
      <c r="H37" s="3197"/>
      <c r="I37" s="3197"/>
    </row>
    <row r="38" spans="1:9">
      <c r="A38" s="1657"/>
      <c r="B38" s="1657"/>
    </row>
    <row r="39" spans="1:9">
      <c r="A39" s="1655" t="s">
        <v>1902</v>
      </c>
      <c r="B39" s="1655" t="s">
        <v>2049</v>
      </c>
    </row>
    <row r="40" spans="1:9">
      <c r="A40" s="1655"/>
      <c r="B40" s="1655">
        <f>项目基本情况!B5</f>
        <v>0</v>
      </c>
    </row>
    <row r="41" spans="1:9">
      <c r="A41" s="1655"/>
      <c r="B41" s="1655"/>
    </row>
    <row r="42" spans="1:9">
      <c r="A42" s="1655" t="s">
        <v>1902</v>
      </c>
      <c r="B42" s="1655" t="s">
        <v>2050</v>
      </c>
    </row>
    <row r="43" spans="1:9">
      <c r="A43" s="1655"/>
      <c r="B43" s="1655" t="s">
        <v>1904</v>
      </c>
    </row>
    <row r="44" spans="1:9">
      <c r="A44" s="1655"/>
      <c r="B44" s="1655"/>
    </row>
    <row r="45" spans="1:9">
      <c r="A45" s="1655" t="s">
        <v>1902</v>
      </c>
      <c r="B45" s="1655" t="s">
        <v>2048</v>
      </c>
    </row>
    <row r="46" spans="1:9" s="1655" customFormat="1" ht="12.75">
      <c r="B46" s="1655" t="str">
        <f>项目基本情况!K4</f>
        <v>土地估价师、土地估价师</v>
      </c>
    </row>
    <row r="47" spans="1:9">
      <c r="A47" s="1655"/>
      <c r="B47" s="1655"/>
    </row>
    <row r="48" spans="1:9">
      <c r="A48" s="1655" t="s">
        <v>1902</v>
      </c>
      <c r="B48" s="1655" t="s">
        <v>2051</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受贵公司委托，我公司对贵州省普定县穿洞街道金马新村出让国有建设用地使用权进行了预评估。</v>
      </c>
    </row>
    <row r="5" spans="1:4" ht="18.75">
      <c r="A5" s="1796" t="s">
        <v>1906</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贵州省普定县穿洞街道金马新村出让国有建设用地使用权。根据《国有土地使用证》[]，估价对象（分摊）出让国有建设用地使用权面积为49638.62平方米。根据《建设工程规划许可证》[]、《出让合同》[]，估价对象规划建筑面积为148915.863188462平方米。</v>
      </c>
    </row>
    <row r="7" spans="1:4" ht="56.25">
      <c r="A7" s="1797" t="s">
        <v>2750</v>
      </c>
    </row>
    <row r="8" spans="1:4" ht="18.75">
      <c r="A8" s="1796" t="s">
        <v>1907</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2029</v>
      </c>
    </row>
    <row r="11" spans="1:4" ht="18.75">
      <c r="A11" s="1782" t="str">
        <f>TEXT(项目基本情况!D3,"yyyy年m月d日;;")&amp;IF(项目基本情况!B3=项目基本情况!D3,"（评估专业人员勘察现场之日）","")</f>
        <v>2018年9月18日（评估专业人员勘察现场之日）</v>
      </c>
    </row>
    <row r="12" spans="1:4" ht="18.75">
      <c r="A12" s="1799" t="s">
        <v>2028</v>
      </c>
    </row>
    <row r="13" spans="1:4" ht="18.75">
      <c r="A13" s="1793" t="s">
        <v>2943</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2075</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未平整，宗地内尚有需要移除的树木及部分待拆迁建筑物。</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2076</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根据《国有土地使用证》[]，估价对象（分摊）出让国有建设用地使用权面积为49638.62平方米。根据《建设工程规划许可证》[]、《出让合同》[]，估价对象规划建筑面积为148915.863188462平方米。</v>
      </c>
    </row>
    <row r="21" spans="1:1" ht="18.75">
      <c r="A21" s="1793" t="s">
        <v>2077</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本次估价对象为出让国有建设用地使用权，《国有土地使用证》[]证载土地终止日期为住宅2087年3月19日、商业2057年3月19日。截至估价期日，出让国有建设用地使用权剩余土地使用年限为。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2078</v>
      </c>
    </row>
    <row r="25" spans="1:1" ht="93.75">
      <c r="A25" s="1793"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剩余土地使用年限为的出让国有建设用地使用权价格。</v>
      </c>
    </row>
    <row r="26" spans="1:1" ht="9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2030</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受贵公司委托，我公司对贵州省普定县穿洞街道金马新村出让国有建设用地使用权进行了预评估。</v>
      </c>
    </row>
    <row r="5" spans="1:4" ht="18.75">
      <c r="A5" s="1796" t="s">
        <v>1906</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贵州省普定县穿洞街道金马新村出让国有建设用地使用权。根据《国有土地使用证》[]，估价对象（分摊）出让国有建设用地使用权面积为49638.62平方米。根据《建设工程规划许可证》[]、《出让合同》[]，估价对象规划建筑面积为148915.863188462平方米。</v>
      </c>
    </row>
    <row r="7" spans="1:4" ht="93.75">
      <c r="A7" s="2873" t="s">
        <v>2751</v>
      </c>
    </row>
    <row r="8" spans="1:4" ht="18.75">
      <c r="A8" s="1796" t="s">
        <v>1907</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2029</v>
      </c>
    </row>
    <row r="11" spans="1:4" ht="18.75">
      <c r="A11" s="1782" t="str">
        <f>TEXT(项目基本情况!D3,"yyyy年m月d日;;")&amp;IF(项目基本情况!B3=项目基本情况!D3,"（评估专业人员勘察现场之日）","")</f>
        <v>2018年9月18日（评估专业人员勘察现场之日）</v>
      </c>
    </row>
    <row r="12" spans="1:4" ht="18.75">
      <c r="A12" s="1799" t="s">
        <v>2028</v>
      </c>
    </row>
    <row r="13" spans="1:4" ht="18.75">
      <c r="A13" s="1793" t="s">
        <v>2074</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2075</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未平整，宗地内尚有需要移除的树木及部分待拆迁建筑物。</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2076</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根据《国有土地使用证》[]，估价对象（分摊）出让国有建设用地使用权面积为49638.62平方米。根据《建设工程规划许可证》[]、《出让合同》[]，估价对象规划建筑面积为148915.863188462平方米。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2077</v>
      </c>
    </row>
    <row r="23" spans="1:1" ht="18.75">
      <c r="A23" s="2875" t="s">
        <v>2752</v>
      </c>
    </row>
    <row r="24" spans="1:1" ht="18.75">
      <c r="A24" s="1793" t="s">
        <v>2078</v>
      </c>
    </row>
    <row r="25" spans="1:1" ht="93.75">
      <c r="A25" s="1793"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2030</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2" t="s">
        <v>2041</v>
      </c>
      <c r="B1" s="3202"/>
      <c r="C1" s="3202"/>
      <c r="D1" s="3202"/>
      <c r="E1" s="3202"/>
      <c r="F1" s="3202"/>
      <c r="G1" s="3202"/>
      <c r="H1" s="3202"/>
      <c r="I1" s="3202"/>
      <c r="J1" s="3202"/>
      <c r="K1" s="3202"/>
      <c r="L1" s="3202"/>
      <c r="M1" s="3202"/>
      <c r="N1" s="3202"/>
      <c r="O1" s="3202"/>
      <c r="P1" s="3202"/>
      <c r="Q1" s="3202"/>
      <c r="R1" s="3202"/>
    </row>
    <row r="2" spans="1:18">
      <c r="A2" s="1809" t="s">
        <v>2043</v>
      </c>
      <c r="B2" s="1809"/>
      <c r="C2" s="1809"/>
      <c r="D2" s="1809"/>
      <c r="E2" s="1809"/>
      <c r="F2" s="1809"/>
      <c r="G2" s="1809"/>
      <c r="H2" s="1809"/>
      <c r="I2" s="1810"/>
      <c r="J2" s="1810"/>
      <c r="K2" s="1811" t="str">
        <f>"估价期日："&amp;TEXT(项目基本情况!D3,"yyyy年m月d日;;")</f>
        <v>估价期日：2018年9月18日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03" t="s">
        <v>2032</v>
      </c>
      <c r="B3" s="3203" t="s">
        <v>2734</v>
      </c>
      <c r="C3" s="3204" t="s">
        <v>2033</v>
      </c>
      <c r="D3" s="3203" t="s">
        <v>2738</v>
      </c>
      <c r="E3" s="3198" t="s">
        <v>2034</v>
      </c>
      <c r="F3" s="3198"/>
      <c r="G3" s="3198"/>
      <c r="H3" s="3198" t="s">
        <v>2035</v>
      </c>
      <c r="I3" s="3198"/>
      <c r="J3" s="3198"/>
      <c r="K3" s="3204" t="s">
        <v>2036</v>
      </c>
      <c r="L3" s="3204" t="s">
        <v>2037</v>
      </c>
      <c r="M3" s="3203" t="s">
        <v>2735</v>
      </c>
      <c r="N3" s="3205" t="str">
        <f>"（分摊）"&amp;项目基本情况!B16&amp;"国有建设用地使用权面积/㎡"</f>
        <v>（分摊）出让国有建设用地使用权面积/㎡</v>
      </c>
      <c r="O3" s="3203" t="s">
        <v>2066</v>
      </c>
      <c r="P3" s="3204" t="s">
        <v>2046</v>
      </c>
      <c r="Q3" s="3204" t="s">
        <v>2067</v>
      </c>
      <c r="R3" s="3204" t="s">
        <v>2038</v>
      </c>
    </row>
    <row r="4" spans="1:18" ht="36.75" customHeight="1">
      <c r="A4" s="3203"/>
      <c r="B4" s="3203"/>
      <c r="C4" s="3204"/>
      <c r="D4" s="3203"/>
      <c r="E4" s="2649" t="s">
        <v>2045</v>
      </c>
      <c r="F4" s="2649" t="s">
        <v>2747</v>
      </c>
      <c r="G4" s="2649" t="s">
        <v>2039</v>
      </c>
      <c r="H4" s="2649" t="s">
        <v>2040</v>
      </c>
      <c r="I4" s="2649" t="s">
        <v>2748</v>
      </c>
      <c r="J4" s="2649" t="s">
        <v>2039</v>
      </c>
      <c r="K4" s="3204"/>
      <c r="L4" s="3204"/>
      <c r="M4" s="3203"/>
      <c r="N4" s="3205"/>
      <c r="O4" s="3203"/>
      <c r="P4" s="3204"/>
      <c r="Q4" s="3204"/>
      <c r="R4" s="3204"/>
    </row>
    <row r="5" spans="1:18" ht="135" customHeight="1">
      <c r="A5" s="1945" t="s">
        <v>2658</v>
      </c>
      <c r="B5" s="2867" t="s">
        <v>2656</v>
      </c>
      <c r="C5" s="2648">
        <v>22</v>
      </c>
      <c r="D5" s="2647" t="s">
        <v>2657</v>
      </c>
      <c r="E5" s="1812">
        <f>项目基本情况!B12</f>
        <v>0</v>
      </c>
      <c r="F5" s="2647">
        <v>258</v>
      </c>
      <c r="G5" s="1812">
        <f>项目基本情况!B13</f>
        <v>0</v>
      </c>
      <c r="H5" s="2647">
        <v>1.5</v>
      </c>
      <c r="I5" s="2647">
        <v>1.5</v>
      </c>
      <c r="J5" s="2647">
        <v>1.5</v>
      </c>
      <c r="K5" s="1812" t="str">
        <f>"红线外"&amp;项目基本情况!T40&amp;"、宗地红线内"&amp;项目基本情况!B35</f>
        <v>红线外七通、宗地红线内场地未平整</v>
      </c>
      <c r="L5" s="1812" t="str">
        <f>"红线外"&amp;项目基本情况!T40&amp;"、宗地红线内场地"&amp;项目基本情况!D36</f>
        <v>红线外七通、宗地红线内场地平整</v>
      </c>
      <c r="M5" s="1812">
        <f>IF(项目基本情况!B16="出让",项目基本情况!D20,"——")</f>
        <v>0</v>
      </c>
      <c r="N5" s="1812">
        <f>项目基本情况!C22</f>
        <v>49638.62</v>
      </c>
      <c r="O5" s="1812">
        <f>项目基本情况!C21</f>
        <v>148915.86318846155</v>
      </c>
      <c r="P5" s="1812">
        <f ca="1">结果表!E42</f>
        <v>2838</v>
      </c>
      <c r="Q5" s="1812">
        <f ca="1">结果表!D42</f>
        <v>946</v>
      </c>
      <c r="R5" s="1813">
        <f ca="1">结果表!C42</f>
        <v>14085</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814" t="str">
        <f>结果表!O39</f>
        <v>——</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814" t="str">
        <f>结果表!O40</f>
        <v>——</v>
      </c>
    </row>
    <row r="8" spans="1:18">
      <c r="A8" s="3199">
        <f>IF(项目基本情况!B9="市场价格","——",项目基本情况!E9)</f>
        <v>0</v>
      </c>
      <c r="B8" s="3200"/>
      <c r="C8" s="3200"/>
      <c r="D8" s="3200"/>
      <c r="E8" s="3200"/>
      <c r="F8" s="3200"/>
      <c r="G8" s="3200"/>
      <c r="H8" s="3200"/>
      <c r="I8" s="3200"/>
      <c r="J8" s="3200"/>
      <c r="K8" s="3200"/>
      <c r="L8" s="3200"/>
      <c r="M8" s="3200"/>
      <c r="N8" s="3200"/>
      <c r="O8" s="3200"/>
      <c r="P8" s="3200"/>
      <c r="Q8" s="3201"/>
      <c r="R8" s="1814" t="str">
        <f>结果表!O41</f>
        <v>——</v>
      </c>
    </row>
    <row r="9" spans="1:18">
      <c r="A9" s="1815" t="s">
        <v>2044</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2031</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07" t="s">
        <v>2068</v>
      </c>
      <c r="B1" s="3207"/>
      <c r="C1" s="3207"/>
      <c r="D1" s="3207"/>
    </row>
    <row r="2" spans="1:4" ht="47.25" customHeight="1">
      <c r="A2" s="3208" t="str">
        <f>"1.权利限制："&amp;项目基本情况!L24&amp;"未设定租赁等其他他项权利。"</f>
        <v>1.权利限制：根据估价对象《不动产权证书》原件、《国有土地使用权》复印件，截至估价期日，估价对象抵押权未见登记。未设定租赁等其他他项权利。</v>
      </c>
      <c r="B2" s="3208"/>
      <c r="C2" s="3208"/>
      <c r="D2" s="3208"/>
    </row>
    <row r="3" spans="1:4" ht="48" customHeight="1">
      <c r="A3" s="3207"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207"/>
      <c r="C3" s="3207"/>
      <c r="D3" s="3207"/>
    </row>
    <row r="4" spans="1:4" ht="36.75" customHeight="1">
      <c r="A4" s="3207" t="str">
        <f>"3.估价规划限制条件：详见"&amp;项目基本情况!E21&amp;"。"</f>
        <v>3.估价规划限制条件：详见《建设工程规划许可证》[]、《出让合同》[]。</v>
      </c>
      <c r="B4" s="3207"/>
      <c r="C4" s="3207"/>
      <c r="D4" s="3207"/>
    </row>
    <row r="5" spans="1:4">
      <c r="A5" s="3206" t="s">
        <v>2069</v>
      </c>
      <c r="B5" s="3206"/>
      <c r="C5" s="3206"/>
      <c r="D5" s="3206"/>
    </row>
    <row r="6" spans="1:4">
      <c r="A6" s="3207" t="s">
        <v>2047</v>
      </c>
      <c r="B6" s="3207"/>
      <c r="C6" s="3207"/>
      <c r="D6" s="3207"/>
    </row>
    <row r="7" spans="1:4" ht="33" customHeight="1">
      <c r="A7" s="3207" t="s">
        <v>2578</v>
      </c>
      <c r="B7" s="3207"/>
      <c r="C7" s="3207"/>
      <c r="D7" s="3207"/>
    </row>
    <row r="8" spans="1:4" ht="32.25" customHeight="1">
      <c r="A8" s="320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07"/>
      <c r="C8" s="3207"/>
      <c r="D8" s="3207"/>
    </row>
    <row r="9" spans="1:4" ht="33.75" customHeight="1">
      <c r="A9" s="3207" t="str">
        <f>IF(项目基本情况!B8="抵押","3.抵押双方在办理抵押登记手续时，应使用本公司出具的正式《土地估价报告》，特提请报告使用者注意。","——")</f>
        <v>——</v>
      </c>
      <c r="B9" s="3207"/>
      <c r="C9" s="3207"/>
      <c r="D9" s="3207"/>
    </row>
    <row r="10" spans="1:4">
      <c r="A10" s="3207" t="str">
        <f>IF(项目基本情况!B8="抵押","4.估价师所知悉的法定优先受偿款情况为：","——")</f>
        <v>——</v>
      </c>
      <c r="B10" s="3207"/>
      <c r="C10" s="3207"/>
      <c r="D10" s="3207"/>
    </row>
    <row r="11" spans="1:4" ht="37.5" customHeight="1">
      <c r="A11" s="3209" t="str">
        <f>IF(项目基本情况!B8="抵押","（1）"&amp;CONCATENATE(项目基本情况!L24,项目基本情况!L25,项目基本情况!L26),"——")</f>
        <v>——</v>
      </c>
      <c r="B11" s="3209"/>
      <c r="C11" s="3209"/>
      <c r="D11" s="3209"/>
    </row>
    <row r="12" spans="1:4" ht="168" customHeight="1">
      <c r="A12" s="3206" t="s">
        <v>2071</v>
      </c>
      <c r="B12" s="3206"/>
      <c r="C12" s="3206"/>
      <c r="D12" s="3206"/>
    </row>
    <row r="13" spans="1:4">
      <c r="A13" s="3210" t="s">
        <v>2749</v>
      </c>
      <c r="B13" s="3210"/>
      <c r="C13" s="3210"/>
      <c r="D13" s="3210"/>
    </row>
    <row r="14" spans="1:4">
      <c r="A14" s="3209" t="str">
        <f>IF(项目基本情况!B8="抵押","综上，"&amp;结果表!K47,"——")</f>
        <v>——</v>
      </c>
      <c r="B14" s="3209"/>
      <c r="C14" s="3209"/>
      <c r="D14" s="3209"/>
    </row>
    <row r="15" spans="1:4" ht="58.5" customHeight="1">
      <c r="A15" s="320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7"/>
      <c r="C15" s="3207"/>
      <c r="D15" s="3207"/>
    </row>
    <row r="16" spans="1:4" ht="70.5" customHeight="1">
      <c r="A16" s="320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7"/>
      <c r="C16" s="3207"/>
      <c r="D16" s="3207"/>
    </row>
    <row r="17" spans="1:4">
      <c r="A17" s="3207" t="s">
        <v>2705</v>
      </c>
      <c r="B17" s="3207"/>
      <c r="C17" s="3207"/>
      <c r="D17" s="3207"/>
    </row>
    <row r="18" spans="1:4">
      <c r="A18" s="3207" t="s">
        <v>2697</v>
      </c>
      <c r="B18" s="3207"/>
      <c r="C18" s="3207"/>
      <c r="D18" s="3207"/>
    </row>
    <row r="19" spans="1:4">
      <c r="A19" s="2868" t="s">
        <v>2698</v>
      </c>
      <c r="B19" s="2868" t="s">
        <v>2699</v>
      </c>
      <c r="C19" s="2868" t="s">
        <v>2700</v>
      </c>
      <c r="D19" s="2868" t="s">
        <v>2701</v>
      </c>
    </row>
    <row r="20" spans="1:4">
      <c r="A20" s="2868" t="str">
        <f>项目基本情况!B4</f>
        <v>土地估价师</v>
      </c>
      <c r="B20" s="2868">
        <f>项目基本情况!C4</f>
        <v>0</v>
      </c>
      <c r="C20" s="2870"/>
      <c r="D20" s="1802" t="s">
        <v>2706</v>
      </c>
    </row>
    <row r="21" spans="1:4">
      <c r="A21" s="2868" t="str">
        <f>项目基本情况!D4</f>
        <v>土地估价师</v>
      </c>
      <c r="B21" s="2868">
        <f>项目基本情况!E4</f>
        <v>0</v>
      </c>
      <c r="C21" s="2870"/>
      <c r="D21" s="1802" t="s">
        <v>2707</v>
      </c>
    </row>
    <row r="23" spans="1:4">
      <c r="A23" s="3207" t="s">
        <v>2702</v>
      </c>
      <c r="B23" s="3207"/>
      <c r="C23" s="3207"/>
      <c r="D23" s="3207"/>
    </row>
    <row r="24" spans="1:4">
      <c r="A24" s="2868" t="s">
        <v>2698</v>
      </c>
      <c r="B24" s="2868" t="s">
        <v>2703</v>
      </c>
      <c r="C24" s="2868" t="s">
        <v>2700</v>
      </c>
      <c r="D24" s="2868" t="s">
        <v>2701</v>
      </c>
    </row>
    <row r="25" spans="1:4">
      <c r="A25" s="2871" t="s">
        <v>2704</v>
      </c>
      <c r="B25" s="2868" t="s">
        <v>952</v>
      </c>
      <c r="C25" s="2870"/>
      <c r="D25" s="1802" t="s">
        <v>2707</v>
      </c>
    </row>
    <row r="29" spans="1:4">
      <c r="D29" s="2869" t="s">
        <v>2042</v>
      </c>
    </row>
    <row r="30" spans="1:4">
      <c r="D30" s="287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18" t="s">
        <v>53</v>
      </c>
      <c r="B15" s="3219" t="s">
        <v>846</v>
      </c>
      <c r="C15" s="3215"/>
    </row>
    <row r="16" spans="1:7" ht="14.25">
      <c r="A16" s="3218"/>
      <c r="B16" s="3216" t="s">
        <v>54</v>
      </c>
      <c r="C16" s="1172" t="s">
        <v>53</v>
      </c>
    </row>
    <row r="17" spans="1:3" ht="14.25">
      <c r="A17" s="3218"/>
      <c r="B17" s="3216"/>
      <c r="C17" s="1172" t="s">
        <v>55</v>
      </c>
    </row>
    <row r="18" spans="1:3" ht="14.25">
      <c r="A18" s="3218"/>
      <c r="B18" s="3216"/>
      <c r="C18" s="1172" t="s">
        <v>56</v>
      </c>
    </row>
    <row r="19" spans="1:3" ht="14.25">
      <c r="A19" s="3218"/>
      <c r="B19" s="3214" t="s">
        <v>57</v>
      </c>
      <c r="C19" s="3215"/>
    </row>
    <row r="20" spans="1:3" ht="14.25">
      <c r="A20" s="1173" t="s">
        <v>58</v>
      </c>
      <c r="B20" s="1174"/>
      <c r="C20" s="1175"/>
    </row>
    <row r="21" spans="1:3" ht="14.25">
      <c r="A21" s="3217" t="s">
        <v>59</v>
      </c>
      <c r="B21" s="3214" t="s">
        <v>60</v>
      </c>
      <c r="C21" s="3215"/>
    </row>
    <row r="22" spans="1:3" ht="14.25">
      <c r="A22" s="3217"/>
      <c r="B22" s="3214" t="s">
        <v>61</v>
      </c>
      <c r="C22" s="3215"/>
    </row>
    <row r="23" spans="1:3" ht="14.25">
      <c r="A23" s="3217"/>
      <c r="B23" s="3214" t="s">
        <v>62</v>
      </c>
      <c r="C23" s="3215"/>
    </row>
    <row r="24" spans="1:3" ht="14.25">
      <c r="A24" s="3217"/>
      <c r="B24" s="3220" t="s">
        <v>63</v>
      </c>
      <c r="C24" s="1176" t="s">
        <v>837</v>
      </c>
    </row>
    <row r="25" spans="1:3" ht="14.25">
      <c r="A25" s="3217"/>
      <c r="B25" s="3221"/>
      <c r="C25" s="1176" t="s">
        <v>838</v>
      </c>
    </row>
    <row r="26" spans="1:3" ht="14.25">
      <c r="A26" s="3217"/>
      <c r="B26" s="3221"/>
      <c r="C26" s="1176" t="s">
        <v>839</v>
      </c>
    </row>
    <row r="27" spans="1:3" ht="14.25">
      <c r="A27" s="3217"/>
      <c r="B27" s="3221"/>
      <c r="C27" s="1176" t="s">
        <v>840</v>
      </c>
    </row>
    <row r="28" spans="1:3" ht="14.25">
      <c r="A28" s="3217"/>
      <c r="B28" s="3221"/>
      <c r="C28" s="1176" t="s">
        <v>841</v>
      </c>
    </row>
    <row r="29" spans="1:3" ht="14.25">
      <c r="A29" s="3217"/>
      <c r="B29" s="3221"/>
      <c r="C29" s="1176" t="s">
        <v>842</v>
      </c>
    </row>
    <row r="30" spans="1:3" ht="14.25">
      <c r="A30" s="3217"/>
      <c r="B30" s="3221"/>
      <c r="C30" s="1176" t="s">
        <v>843</v>
      </c>
    </row>
    <row r="31" spans="1:3" ht="14.25">
      <c r="A31" s="3217"/>
      <c r="B31" s="3221"/>
      <c r="C31" s="1176" t="s">
        <v>844</v>
      </c>
    </row>
    <row r="32" spans="1:3" ht="14.25">
      <c r="A32" s="3217"/>
      <c r="B32" s="3221"/>
      <c r="C32" s="1176" t="s">
        <v>1647</v>
      </c>
    </row>
    <row r="33" spans="1:3" ht="14.25">
      <c r="A33" s="3217"/>
      <c r="B33" s="3211" t="s">
        <v>1653</v>
      </c>
      <c r="C33" s="1176" t="s">
        <v>1648</v>
      </c>
    </row>
    <row r="34" spans="1:3" ht="14.25">
      <c r="A34" s="3217"/>
      <c r="B34" s="3212"/>
      <c r="C34" s="1181" t="s">
        <v>1649</v>
      </c>
    </row>
    <row r="35" spans="1:3" ht="14.25">
      <c r="A35" s="3217"/>
      <c r="B35" s="3212"/>
      <c r="C35" s="1182" t="s">
        <v>1650</v>
      </c>
    </row>
    <row r="36" spans="1:3" ht="14.25">
      <c r="A36" s="3217"/>
      <c r="B36" s="3212"/>
      <c r="C36" s="1182" t="s">
        <v>1651</v>
      </c>
    </row>
    <row r="37" spans="1:3" ht="14.25">
      <c r="A37" s="3217"/>
      <c r="B37" s="3213"/>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8">
        <f ca="1">TODAY()</f>
        <v>43384</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06">
        <v>43849</v>
      </c>
      <c r="D4" s="2343" t="s">
        <v>1915</v>
      </c>
      <c r="E4" s="2343">
        <f ca="1">IF(F4&lt;B2,"已过期",96010014)</f>
        <v>96010014</v>
      </c>
      <c r="F4" s="3007">
        <v>47118</v>
      </c>
    </row>
    <row r="5" spans="1:6" ht="20.25" customHeight="1">
      <c r="A5" s="2343" t="s">
        <v>1916</v>
      </c>
      <c r="B5" s="2343">
        <f ca="1">IF(C5&lt;B2,"已过期",1119970074)</f>
        <v>1119970074</v>
      </c>
      <c r="C5" s="3006">
        <v>43849</v>
      </c>
      <c r="D5" s="2343" t="s">
        <v>1916</v>
      </c>
      <c r="E5" s="2343">
        <f ca="1">IF(F5&lt;B2,"已过期",2002110027)</f>
        <v>2002110027</v>
      </c>
      <c r="F5" s="3007">
        <v>46752</v>
      </c>
    </row>
    <row r="6" spans="1:6" ht="20.25" customHeight="1">
      <c r="A6" s="2343" t="s">
        <v>1917</v>
      </c>
      <c r="B6" s="2343">
        <f ca="1">IF(C6&lt;B2,"已过期",1119970111)</f>
        <v>1119970111</v>
      </c>
      <c r="C6" s="3006">
        <v>43849</v>
      </c>
      <c r="D6" s="2343" t="s">
        <v>1917</v>
      </c>
      <c r="E6" s="2343">
        <f ca="1">IF(F6&lt;B2,"已过期",94010078)</f>
        <v>94010078</v>
      </c>
      <c r="F6" s="3007">
        <v>46387</v>
      </c>
    </row>
    <row r="7" spans="1:6" ht="20.25" customHeight="1">
      <c r="A7" s="2343" t="s">
        <v>1918</v>
      </c>
      <c r="B7" s="2343">
        <f ca="1">IF(C7&lt;B2,"已过期",1120050019)</f>
        <v>1120050019</v>
      </c>
      <c r="C7" s="3006">
        <v>44395</v>
      </c>
      <c r="D7" s="2343" t="s">
        <v>1918</v>
      </c>
      <c r="E7" s="2343">
        <f ca="1">IF(F7&lt;B2,"已过期",2002110030)</f>
        <v>2002110030</v>
      </c>
      <c r="F7" s="3007">
        <v>46387</v>
      </c>
    </row>
    <row r="8" spans="1:6" ht="20.25" customHeight="1">
      <c r="A8" s="2343" t="s">
        <v>1919</v>
      </c>
      <c r="B8" s="2343">
        <f ca="1">IF(C8&lt;B2,"已过期",1120000080)</f>
        <v>1120000080</v>
      </c>
      <c r="C8" s="3006">
        <v>43849</v>
      </c>
      <c r="D8" s="2343" t="s">
        <v>1919</v>
      </c>
      <c r="E8" s="2343">
        <f ca="1">IF(F8&lt;B2,"已过期",2000110082)</f>
        <v>2000110082</v>
      </c>
      <c r="F8" s="3007">
        <v>46387</v>
      </c>
    </row>
    <row r="9" spans="1:6" ht="20.25" customHeight="1">
      <c r="A9" s="2343" t="s">
        <v>1920</v>
      </c>
      <c r="B9" s="2343">
        <f ca="1">IF(C9&lt;B2,"已过期",1419970001)</f>
        <v>1419970001</v>
      </c>
      <c r="C9" s="3006">
        <v>43867</v>
      </c>
      <c r="D9" s="2343" t="s">
        <v>1920</v>
      </c>
      <c r="E9" s="2343">
        <f ca="1">IF(F9&lt;B2,"已过期",2002110125)</f>
        <v>2002110125</v>
      </c>
      <c r="F9" s="3007">
        <v>47118</v>
      </c>
    </row>
    <row r="10" spans="1:6" ht="20.25" customHeight="1">
      <c r="A10" s="2343" t="s">
        <v>1921</v>
      </c>
      <c r="B10" s="2343">
        <f ca="1">IF(C10&lt;B2,"已过期",1120060040)</f>
        <v>1120060040</v>
      </c>
      <c r="C10" s="3006">
        <v>43483</v>
      </c>
      <c r="D10" s="2343" t="s">
        <v>1921</v>
      </c>
      <c r="E10" s="2343">
        <f ca="1">IF(F10&lt;B2,"已过期",2004110096)</f>
        <v>2004110096</v>
      </c>
      <c r="F10" s="3007">
        <v>47118</v>
      </c>
    </row>
    <row r="11" spans="1:6" ht="20.25" customHeight="1">
      <c r="A11" s="2343" t="s">
        <v>1922</v>
      </c>
      <c r="B11" s="2343">
        <f ca="1">IF(C11&lt;B2,"已过期",1120100036)</f>
        <v>1120100036</v>
      </c>
      <c r="C11" s="3006">
        <v>43622</v>
      </c>
      <c r="D11" s="2343" t="s">
        <v>1922</v>
      </c>
      <c r="E11" s="2343">
        <f ca="1">IF(F11&lt;B2,"已过期",2010110070)</f>
        <v>2010110070</v>
      </c>
      <c r="F11" s="3007">
        <v>47907</v>
      </c>
    </row>
    <row r="12" spans="1:6" ht="20.25" customHeight="1">
      <c r="A12" s="2343" t="s">
        <v>2979</v>
      </c>
      <c r="B12" s="2343">
        <v>1120110054</v>
      </c>
      <c r="C12" s="3006">
        <v>43937</v>
      </c>
      <c r="D12" s="2343" t="s">
        <v>2979</v>
      </c>
      <c r="E12" s="2343">
        <v>2008110060</v>
      </c>
      <c r="F12" s="3007">
        <v>47177</v>
      </c>
    </row>
    <row r="13" spans="1:6" ht="20.25" customHeight="1">
      <c r="A13" s="2343" t="s">
        <v>1923</v>
      </c>
      <c r="B13" s="2343">
        <f ca="1">IF(C13&lt;B2,"已过期",1120070131)</f>
        <v>1120070131</v>
      </c>
      <c r="C13" s="3006">
        <v>43814</v>
      </c>
      <c r="D13" s="2343" t="s">
        <v>1923</v>
      </c>
      <c r="E13" s="2343">
        <v>2014110011</v>
      </c>
      <c r="F13" s="3007">
        <v>49302</v>
      </c>
    </row>
    <row r="14" spans="1:6" ht="20.25" customHeight="1">
      <c r="A14" s="2343" t="s">
        <v>1924</v>
      </c>
      <c r="B14" s="2343">
        <f ca="1">IF(C14&lt;B2,"已过期",1120130020)</f>
        <v>1120130020</v>
      </c>
      <c r="C14" s="3006">
        <v>43622</v>
      </c>
      <c r="D14" s="2343"/>
      <c r="E14" s="2343"/>
      <c r="F14" s="2343"/>
    </row>
    <row r="15" spans="1:6" ht="20.25" customHeight="1">
      <c r="A15" s="2343" t="s">
        <v>2577</v>
      </c>
      <c r="B15" s="2343">
        <v>1120070085</v>
      </c>
      <c r="C15" s="3006">
        <v>43814</v>
      </c>
      <c r="D15" s="2343" t="s">
        <v>2577</v>
      </c>
      <c r="E15" s="2343">
        <v>2004110128</v>
      </c>
      <c r="F15" s="3007">
        <v>47118</v>
      </c>
    </row>
    <row r="16" spans="1:6" ht="20.25" customHeight="1">
      <c r="A16" s="2343" t="s">
        <v>1925</v>
      </c>
      <c r="B16" s="2343">
        <f ca="1">IF(C16&lt;B2,"已过期",1120140022)</f>
        <v>1120140022</v>
      </c>
      <c r="C16" s="3006">
        <v>44029</v>
      </c>
      <c r="D16" s="2343" t="s">
        <v>1925</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1926</v>
      </c>
      <c r="E21" s="2343">
        <f ca="1">IF(F21&lt;B2,"已过期",2011110090)</f>
        <v>2011110090</v>
      </c>
      <c r="F21" s="3007">
        <v>48302</v>
      </c>
    </row>
    <row r="22" spans="1:7" ht="20.25" customHeight="1">
      <c r="A22" s="2343" t="s">
        <v>1927</v>
      </c>
      <c r="B22" s="2343">
        <f ca="1">IF(C22&lt;B2,"已过期",1120020033)</f>
        <v>1120020033</v>
      </c>
      <c r="C22" s="3006">
        <v>44339</v>
      </c>
      <c r="D22" s="2343" t="s">
        <v>1927</v>
      </c>
      <c r="E22" s="2343">
        <f ca="1">IF(F22&lt;B2,"已过期",2000110137)</f>
        <v>2000110137</v>
      </c>
      <c r="F22" s="3007">
        <v>46387</v>
      </c>
    </row>
    <row r="23" spans="1:7" ht="20.25" customHeight="1">
      <c r="A23" s="2343" t="s">
        <v>1928</v>
      </c>
      <c r="B23" s="2343">
        <f ca="1">IF(C23&lt;B2,"已过期",1120130048)</f>
        <v>1120130048</v>
      </c>
      <c r="C23" s="3006">
        <v>43686</v>
      </c>
      <c r="D23" s="2343"/>
      <c r="E23" s="2343"/>
      <c r="F23" s="2343"/>
    </row>
    <row r="24" spans="1:7" s="2347" customFormat="1" ht="20.25" customHeight="1">
      <c r="A24" s="2345" t="s">
        <v>2056</v>
      </c>
      <c r="B24" s="2345" t="s">
        <v>2056</v>
      </c>
      <c r="C24" s="3006"/>
      <c r="D24" s="3008" t="s">
        <v>2056</v>
      </c>
      <c r="E24" s="2345" t="s">
        <v>2056</v>
      </c>
      <c r="F24" s="2346"/>
    </row>
    <row r="25" spans="1:7" ht="20.25" customHeight="1">
      <c r="A25" s="3222" t="s">
        <v>1929</v>
      </c>
      <c r="B25" s="3222"/>
      <c r="C25" s="3222"/>
      <c r="D25" s="3222"/>
      <c r="E25" s="3222"/>
      <c r="F25" s="3222"/>
      <c r="G25" s="3222"/>
    </row>
    <row r="26" spans="1:7" ht="20.25" customHeight="1">
      <c r="A26" s="3223" t="s">
        <v>1930</v>
      </c>
      <c r="B26" s="3223"/>
      <c r="C26" s="3223"/>
      <c r="D26" s="3223" t="s">
        <v>1931</v>
      </c>
      <c r="E26" s="3223"/>
      <c r="F26" s="3223"/>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2945</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26" sqref="Y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2548</v>
      </c>
      <c r="R1" s="2582" t="s">
        <v>2542</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2543</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2544</v>
      </c>
      <c r="S3" s="9" t="s">
        <v>84</v>
      </c>
      <c r="T3" s="9" t="s">
        <v>85</v>
      </c>
      <c r="U3" s="9" t="s">
        <v>84</v>
      </c>
      <c r="V3" s="9" t="s">
        <v>86</v>
      </c>
      <c r="W3" s="9" t="s">
        <v>876</v>
      </c>
    </row>
    <row r="4" spans="1:23">
      <c r="A4" s="8" t="s">
        <v>87</v>
      </c>
      <c r="B4" s="8" t="s">
        <v>152</v>
      </c>
      <c r="C4" s="1552" t="s">
        <v>1712</v>
      </c>
      <c r="D4" s="9" t="s">
        <v>1997</v>
      </c>
      <c r="E4" s="9" t="s">
        <v>88</v>
      </c>
      <c r="F4" s="9" t="s">
        <v>89</v>
      </c>
      <c r="G4" s="9">
        <v>70</v>
      </c>
      <c r="H4" s="9" t="s">
        <v>90</v>
      </c>
      <c r="I4" s="9" t="s">
        <v>91</v>
      </c>
      <c r="K4" s="9" t="s">
        <v>92</v>
      </c>
      <c r="L4" s="9" t="s">
        <v>92</v>
      </c>
      <c r="M4" s="9" t="s">
        <v>92</v>
      </c>
      <c r="N4" s="9" t="s">
        <v>92</v>
      </c>
      <c r="O4" s="9" t="s">
        <v>92</v>
      </c>
      <c r="P4" s="1006" t="s">
        <v>760</v>
      </c>
      <c r="Q4" s="9" t="s">
        <v>92</v>
      </c>
      <c r="R4" s="1006" t="s">
        <v>2545</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2546</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2547</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11" t="s">
        <v>2957</v>
      </c>
      <c r="C18" s="1555"/>
    </row>
    <row r="19" spans="1:3">
      <c r="A19" s="8" t="s">
        <v>120</v>
      </c>
      <c r="B19" s="3111" t="s">
        <v>2965</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1945</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贵州省普定县穿洞街道金马新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1989</v>
      </c>
      <c r="B52" s="1770" t="s">
        <v>1990</v>
      </c>
      <c r="C52" s="1768" t="s">
        <v>1991</v>
      </c>
      <c r="D52" s="1768" t="s">
        <v>1992</v>
      </c>
      <c r="E52" s="1769"/>
    </row>
    <row r="53" spans="1:5">
      <c r="A53" s="3224" t="s">
        <v>1993</v>
      </c>
      <c r="B53" s="1768" t="s">
        <v>1999</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剩余土地使用年限为的出让国有建设用地使用权价格。</v>
      </c>
      <c r="D53" s="1769"/>
      <c r="E53" s="1769"/>
    </row>
    <row r="54" spans="1:5">
      <c r="A54" s="3224"/>
      <c r="B54" s="1768" t="s">
        <v>2000</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24"/>
      <c r="B55" s="1768" t="s">
        <v>1994</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24"/>
      <c r="B56" s="1768" t="s">
        <v>1995</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24"/>
      <c r="B57" s="1768" t="s">
        <v>1996</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2052</v>
      </c>
      <c r="B58" s="1768"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H36" sqref="H36:I36"/>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40" t="str">
        <f>IF(B10="北京市","北京市",C10)&amp;F10&amp;B16&amp;"国有建设用地使用权"&amp;B9&amp;"预评估"</f>
        <v>贵州省普定县穿洞街道金马新村出让国有建设用地使用权预评估</v>
      </c>
      <c r="C1" s="3241"/>
      <c r="D1" s="3241"/>
      <c r="E1" s="3241"/>
      <c r="F1" s="3241"/>
      <c r="G1" s="3241"/>
      <c r="H1" s="3241"/>
      <c r="I1" s="3242"/>
      <c r="J1" s="1694"/>
      <c r="K1" s="2454" t="str">
        <f>IF(B10="北京市","北京市",C10)&amp;F10&amp;B16&amp;"国有建设用地使用权"&amp;B9</f>
        <v>贵州省普定县穿洞街道金马新村出让国有建设用地使用权</v>
      </c>
      <c r="L1" s="1723"/>
      <c r="M1" s="1723"/>
      <c r="N1" s="1694"/>
      <c r="O1" s="1695"/>
      <c r="P1" s="1694"/>
      <c r="Q1" s="1694"/>
      <c r="R1" s="1694"/>
      <c r="S1" s="1694"/>
      <c r="T1" s="1694"/>
      <c r="U1" s="1694"/>
    </row>
    <row r="2" spans="1:21">
      <c r="A2" s="1660" t="s">
        <v>1941</v>
      </c>
      <c r="B2" s="1842"/>
      <c r="D2" s="1694"/>
      <c r="E2" s="1694"/>
      <c r="F2" s="1694"/>
      <c r="G2" s="1694"/>
      <c r="H2" s="1660"/>
      <c r="I2" s="1695"/>
      <c r="J2" s="1694"/>
      <c r="K2" s="2454" t="str">
        <f>IF(B10="北京市","北京市",C10)&amp;F10&amp;B16&amp;"国有建设用地使用权"</f>
        <v>贵州省普定县穿洞街道金马新村出让国有建设用地使用权</v>
      </c>
      <c r="L2" s="1723"/>
      <c r="M2" s="1723"/>
      <c r="N2" s="1694"/>
      <c r="O2" s="1695"/>
      <c r="P2" s="1694"/>
      <c r="Q2" s="1694"/>
      <c r="R2" s="1694"/>
      <c r="S2" s="1694"/>
      <c r="T2" s="1694"/>
      <c r="U2" s="1694"/>
    </row>
    <row r="3" spans="1:21">
      <c r="A3" s="1661" t="s">
        <v>1942</v>
      </c>
      <c r="B3" s="1662">
        <v>43361</v>
      </c>
      <c r="C3" s="1663" t="s">
        <v>1998</v>
      </c>
      <c r="D3" s="1662">
        <f>B3</f>
        <v>43361</v>
      </c>
      <c r="E3" s="1694"/>
      <c r="F3" s="1694"/>
      <c r="G3" s="1694"/>
      <c r="H3" s="1660"/>
      <c r="I3" s="1695"/>
      <c r="J3" s="1694"/>
      <c r="K3" s="1774"/>
      <c r="L3" s="1723"/>
      <c r="M3" s="1723"/>
      <c r="N3" s="1694"/>
      <c r="O3" s="1695"/>
      <c r="P3" s="1694"/>
      <c r="Q3" s="1694"/>
      <c r="R3" s="1694"/>
      <c r="S3" s="1694"/>
      <c r="T3" s="1694"/>
      <c r="U3" s="1694"/>
    </row>
    <row r="4" spans="1:21" ht="29.25" thickBot="1">
      <c r="A4" s="1664" t="s">
        <v>1943</v>
      </c>
      <c r="B4" s="1843" t="s">
        <v>2892</v>
      </c>
      <c r="C4" s="1846">
        <f>SUMIF(土地估价师,B4,估价师及机构信息!E3:E24)</f>
        <v>0</v>
      </c>
      <c r="D4" s="1843" t="s">
        <v>2892</v>
      </c>
      <c r="E4" s="1846">
        <f>SUMIF(土地估价师,D4,估价师及机构信息!E3:E24)</f>
        <v>0</v>
      </c>
      <c r="F4" s="1843" t="s">
        <v>952</v>
      </c>
      <c r="G4" s="1846">
        <f>SUMIF(土地估价师,F4,估价师及机构信息!E3:E24)</f>
        <v>0</v>
      </c>
      <c r="H4" s="1843" t="s">
        <v>952</v>
      </c>
      <c r="I4" s="1846">
        <f>SUMIF(土地估价师,H4,估价师及机构信息!E3:E24)</f>
        <v>0</v>
      </c>
      <c r="J4" s="1694"/>
      <c r="K4" s="2454"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5" t="s">
        <v>1944</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2709</v>
      </c>
      <c r="B6" s="1789"/>
      <c r="C6" s="1761"/>
      <c r="D6" s="1668"/>
      <c r="E6" s="1694"/>
      <c r="F6" s="1694"/>
      <c r="G6" s="1694"/>
      <c r="H6" s="1660"/>
      <c r="I6" s="1695"/>
      <c r="J6" s="1694"/>
      <c r="K6" s="3054" t="str">
        <f>IF(COUNTIF(B6,"*上海银行*"),"上海银行","")</f>
        <v/>
      </c>
      <c r="L6" s="1723"/>
      <c r="M6" s="1723"/>
      <c r="N6" s="1694"/>
      <c r="O6" s="1695"/>
      <c r="P6" s="1694"/>
      <c r="Q6" s="1694"/>
      <c r="R6" s="1694"/>
      <c r="S6" s="1694"/>
      <c r="T6" s="1694"/>
      <c r="U6" s="1694"/>
    </row>
    <row r="7" spans="1:21">
      <c r="A7" s="1669" t="s">
        <v>2710</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1945</v>
      </c>
      <c r="B8" s="1670"/>
      <c r="C8" s="1671"/>
      <c r="D8" s="3246" t="s">
        <v>1947</v>
      </c>
      <c r="E8" s="1844"/>
      <c r="F8" s="1672"/>
      <c r="G8" s="1660"/>
      <c r="H8" s="1660"/>
      <c r="I8" s="1707"/>
      <c r="J8" s="1694"/>
      <c r="K8" s="1774"/>
      <c r="L8" s="1723"/>
      <c r="M8" s="1723"/>
      <c r="N8" s="1694"/>
      <c r="O8" s="1695"/>
      <c r="P8" s="1694"/>
      <c r="Q8" s="1694"/>
      <c r="R8" s="1694"/>
      <c r="S8" s="1694"/>
      <c r="T8" s="1694"/>
      <c r="U8" s="1694"/>
    </row>
    <row r="9" spans="1:21" ht="15" thickBot="1">
      <c r="A9" s="1673" t="s">
        <v>1946</v>
      </c>
      <c r="B9" s="1674"/>
      <c r="C9" s="1675"/>
      <c r="D9" s="3247"/>
      <c r="E9" s="1674"/>
      <c r="F9" s="1747"/>
      <c r="G9" s="1742"/>
      <c r="H9" s="1742"/>
      <c r="I9" s="1743"/>
      <c r="J9" s="1694"/>
      <c r="K9" s="1774"/>
      <c r="L9" s="1723"/>
      <c r="M9" s="1723"/>
      <c r="N9" s="1694"/>
      <c r="O9" s="1695"/>
      <c r="P9" s="1694"/>
      <c r="Q9" s="1694"/>
      <c r="R9" s="1694"/>
      <c r="S9" s="1694"/>
      <c r="T9" s="1694"/>
      <c r="U9" s="1694"/>
    </row>
    <row r="10" spans="1:21" ht="15" thickTop="1">
      <c r="A10" s="1744" t="s">
        <v>2002</v>
      </c>
      <c r="B10" s="1719"/>
      <c r="C10" s="1676"/>
      <c r="D10" s="1667"/>
      <c r="E10" s="1677" t="s">
        <v>1949</v>
      </c>
      <c r="F10" s="1678" t="s">
        <v>2998</v>
      </c>
      <c r="G10" s="1745"/>
      <c r="H10" s="1746"/>
      <c r="I10" s="1667"/>
      <c r="J10" s="1694"/>
      <c r="K10" s="1774"/>
      <c r="L10" s="1723"/>
      <c r="M10" s="1723"/>
      <c r="N10" s="1694"/>
      <c r="O10" s="1695"/>
      <c r="P10" s="1694"/>
      <c r="Q10" s="1694"/>
      <c r="R10" s="1694"/>
      <c r="S10" s="1694"/>
      <c r="T10" s="1694"/>
      <c r="U10" s="1694"/>
    </row>
    <row r="11" spans="1:21">
      <c r="A11" s="1697" t="s">
        <v>2003</v>
      </c>
      <c r="B11" s="1698"/>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2061</v>
      </c>
      <c r="B12" s="3243"/>
      <c r="C12" s="3244"/>
      <c r="D12" s="3245"/>
      <c r="E12" s="1699" t="s">
        <v>2064</v>
      </c>
      <c r="F12" s="3261" t="s">
        <v>2893</v>
      </c>
      <c r="G12" s="3262"/>
      <c r="H12" s="3262"/>
      <c r="I12" s="3263"/>
      <c r="J12" s="1694"/>
      <c r="K12" s="1774"/>
      <c r="L12" s="1723"/>
      <c r="M12" s="1723"/>
      <c r="N12" s="1694"/>
      <c r="O12" s="1695"/>
      <c r="P12" s="1694"/>
      <c r="Q12" s="1694"/>
      <c r="R12" s="1694"/>
      <c r="S12" s="1694"/>
      <c r="T12" s="1694"/>
      <c r="U12" s="1694"/>
    </row>
    <row r="13" spans="1:21">
      <c r="A13" s="1687" t="s">
        <v>2062</v>
      </c>
      <c r="B13" s="3243"/>
      <c r="C13" s="3244"/>
      <c r="D13" s="3245"/>
      <c r="E13" s="1699" t="s">
        <v>2064</v>
      </c>
      <c r="F13" s="3261" t="s">
        <v>2894</v>
      </c>
      <c r="G13" s="3262"/>
      <c r="H13" s="3262"/>
      <c r="I13" s="3263"/>
      <c r="J13" s="1694"/>
      <c r="K13" s="1774"/>
      <c r="L13" s="1723"/>
      <c r="M13" s="1723"/>
      <c r="N13" s="1694"/>
      <c r="O13" s="1695"/>
      <c r="P13" s="1694"/>
      <c r="Q13" s="1694"/>
      <c r="R13" s="1694"/>
      <c r="S13" s="1694"/>
      <c r="T13" s="1694"/>
      <c r="U13" s="1694"/>
    </row>
    <row r="14" spans="1:21">
      <c r="A14" s="1661" t="s">
        <v>2065</v>
      </c>
      <c r="B14" s="1699"/>
      <c r="C14" s="1845" t="s">
        <v>2999</v>
      </c>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44"/>
      <c r="B15" s="1663"/>
      <c r="C15" s="1663"/>
      <c r="D15" s="1766" t="s">
        <v>1952</v>
      </c>
      <c r="E15" s="1766" t="s">
        <v>1953</v>
      </c>
      <c r="F15" s="1766" t="s">
        <v>1954</v>
      </c>
      <c r="G15" s="1686" t="s">
        <v>1955</v>
      </c>
      <c r="H15" s="1686" t="s">
        <v>1956</v>
      </c>
      <c r="I15" s="1686" t="s">
        <v>1957</v>
      </c>
      <c r="J15" s="1694"/>
      <c r="K15" s="1774"/>
      <c r="L15" s="1723"/>
      <c r="M15" s="1723"/>
      <c r="N15" s="1694"/>
      <c r="O15" s="1695"/>
      <c r="P15" s="1694"/>
      <c r="Q15" s="1694"/>
      <c r="R15" s="1694"/>
      <c r="S15" s="1694"/>
      <c r="T15" s="1694"/>
      <c r="U15" s="1694"/>
    </row>
    <row r="16" spans="1:21" ht="28.5">
      <c r="A16" s="1680" t="s">
        <v>1950</v>
      </c>
      <c r="B16" s="1681" t="s">
        <v>2984</v>
      </c>
      <c r="C16" s="1699" t="s">
        <v>1951</v>
      </c>
      <c r="D16" s="2645" t="s">
        <v>1952</v>
      </c>
      <c r="E16" s="1722" t="s">
        <v>2985</v>
      </c>
      <c r="F16" s="1722"/>
      <c r="G16" s="1722"/>
      <c r="H16" s="1722"/>
      <c r="I16" s="1686" t="s">
        <v>1957</v>
      </c>
      <c r="J16" s="1694"/>
      <c r="K16" s="2455" t="str">
        <f>IF(D17="","",D16&amp;TEXT(D17,"yyyy年m月d日;;"))</f>
        <v>住宅2087年3月19日</v>
      </c>
      <c r="L16" s="1699" t="str">
        <f>IF(OR(K16="",M16=""),"","、")</f>
        <v>、</v>
      </c>
      <c r="M16" s="2455" t="str">
        <f>IF(E17="","",E16&amp;TEXT(E17,"yyyy年m月d日;;"))</f>
        <v>商业2057年3月19日</v>
      </c>
      <c r="N16" s="1699" t="str">
        <f>IF(OR(M16="",O16=""),"","、")</f>
        <v/>
      </c>
      <c r="O16" s="2455" t="str">
        <f>IF(F17="","",F16&amp;TEXT(F17,"yyyy年m月d日;;"))</f>
        <v/>
      </c>
      <c r="P16" s="1699" t="str">
        <f>IF(OR(O16="",Q16=""),"","、")</f>
        <v/>
      </c>
      <c r="Q16" s="2455" t="str">
        <f>IF(G17="","",G16&amp;TEXT(G17,"yyyy年m月d日;;"))</f>
        <v/>
      </c>
      <c r="R16" s="1699" t="str">
        <f>IF(OR(Q16="",S16=""),"","、")</f>
        <v/>
      </c>
      <c r="S16" s="2455" t="str">
        <f>IF(H17="","",H16&amp;TEXT(H17,"yyyy年m月d日;;"))</f>
        <v/>
      </c>
      <c r="T16" s="1699" t="str">
        <f>IF(OR(S16="",U16=""),"","、")</f>
        <v/>
      </c>
      <c r="U16" s="2455" t="str">
        <f>IF(I17="","",I16&amp;TEXT(I17,"yyyy年m月d日;;"))</f>
        <v/>
      </c>
    </row>
    <row r="17" spans="1:21">
      <c r="A17" s="1763"/>
      <c r="B17" s="1682"/>
      <c r="C17" s="1683" t="s">
        <v>1958</v>
      </c>
      <c r="D17" s="1700">
        <v>68380</v>
      </c>
      <c r="E17" s="1700">
        <v>57423</v>
      </c>
      <c r="F17" s="1700"/>
      <c r="G17" s="1700"/>
      <c r="H17" s="1700"/>
      <c r="I17" s="1700"/>
      <c r="J17" s="1694"/>
      <c r="K17" s="2454" t="str">
        <f>CONCATENATE(K16,L16,M16,N16,O16,P16,Q16,R16,S16,T16,,U16)</f>
        <v>住宅2087年3月19日、商业2057年3月19日</v>
      </c>
      <c r="L17" s="1723"/>
      <c r="M17" s="1723"/>
      <c r="N17" s="1694"/>
      <c r="O17" s="1695"/>
      <c r="P17" s="1694"/>
      <c r="Q17" s="1694"/>
      <c r="R17" s="1694"/>
      <c r="S17" s="1694"/>
      <c r="T17" s="1694"/>
      <c r="U17" s="1694"/>
    </row>
    <row r="18" spans="1:21">
      <c r="A18" s="1763"/>
      <c r="B18" s="1682"/>
      <c r="C18" s="1683" t="s">
        <v>1959</v>
      </c>
      <c r="D18" s="1684">
        <v>70</v>
      </c>
      <c r="E18" s="1684">
        <v>40</v>
      </c>
      <c r="F18" s="1684"/>
      <c r="G18" s="1684"/>
      <c r="H18" s="1684"/>
      <c r="I18" s="1684"/>
      <c r="J18" s="1694"/>
      <c r="K18" s="1774"/>
      <c r="L18" s="1723"/>
      <c r="M18" s="1723"/>
      <c r="N18" s="1694"/>
      <c r="O18" s="1695"/>
      <c r="P18" s="1694"/>
      <c r="Q18" s="1694"/>
      <c r="R18" s="1694"/>
      <c r="S18" s="1694"/>
      <c r="T18" s="1694"/>
      <c r="U18" s="1694"/>
    </row>
    <row r="19" spans="1:21">
      <c r="A19" s="1763"/>
      <c r="B19" s="1682"/>
      <c r="C19" s="1660" t="s">
        <v>1960</v>
      </c>
      <c r="D19" s="1758">
        <f>IF(B16="出让",IF(D17="","",ROUNDDOWN(MIN((D17-$D$3)/365,D18),2)),D18)</f>
        <v>68.540000000000006</v>
      </c>
      <c r="E19" s="1685">
        <f>IF(B16="出让",IF(E17="","",ROUNDDOWN(MIN((E17-$D$3)/365,E18),2)),E18)</f>
        <v>38.520000000000003</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2063</v>
      </c>
      <c r="D20" s="3258"/>
      <c r="E20" s="3259"/>
      <c r="F20" s="3259"/>
      <c r="G20" s="3259"/>
      <c r="H20" s="3259"/>
      <c r="I20" s="3260"/>
      <c r="J20" s="1694"/>
      <c r="K20" s="1774"/>
      <c r="L20" s="1723"/>
      <c r="M20" s="1723"/>
      <c r="N20" s="1694"/>
      <c r="O20" s="1695"/>
      <c r="P20" s="1694"/>
      <c r="Q20" s="1694"/>
      <c r="R20" s="1694"/>
      <c r="S20" s="1694"/>
      <c r="T20" s="1694"/>
      <c r="U20" s="1694"/>
    </row>
    <row r="21" spans="1:21">
      <c r="A21" s="1763" t="s">
        <v>1961</v>
      </c>
      <c r="B21" s="1764" t="s">
        <v>1962</v>
      </c>
      <c r="C21" s="1759">
        <f>'数据-汇总表'!E3</f>
        <v>148915.86318846155</v>
      </c>
      <c r="D21" s="1760" t="s">
        <v>1963</v>
      </c>
      <c r="E21" s="3248" t="s">
        <v>2001</v>
      </c>
      <c r="F21" s="3249"/>
      <c r="G21" s="3249"/>
      <c r="H21" s="3249"/>
      <c r="I21" s="3250"/>
      <c r="J21" s="1694"/>
      <c r="K21" s="1774"/>
      <c r="L21" s="1723"/>
      <c r="M21" s="1723"/>
      <c r="N21" s="1694"/>
      <c r="O21" s="1695"/>
      <c r="P21" s="1694"/>
      <c r="Q21" s="1694"/>
      <c r="R21" s="1694"/>
      <c r="S21" s="1694"/>
      <c r="T21" s="1694"/>
      <c r="U21" s="1694"/>
    </row>
    <row r="22" spans="1:21">
      <c r="A22" s="3146" t="s">
        <v>952</v>
      </c>
      <c r="B22" s="1661" t="s">
        <v>1964</v>
      </c>
      <c r="C22" s="1686">
        <f>'数据-汇总表'!D3</f>
        <v>49638.62</v>
      </c>
      <c r="D22" s="1687" t="s">
        <v>1963</v>
      </c>
      <c r="E22" s="3248" t="s">
        <v>2895</v>
      </c>
      <c r="F22" s="3249"/>
      <c r="G22" s="3249"/>
      <c r="H22" s="3249"/>
      <c r="I22" s="3250"/>
      <c r="J22" s="1694"/>
      <c r="K22" s="1774"/>
      <c r="L22" s="1723"/>
      <c r="M22" s="1723"/>
      <c r="N22" s="1694"/>
      <c r="O22" s="1695"/>
      <c r="P22" s="1694"/>
      <c r="Q22" s="1694"/>
      <c r="R22" s="1694"/>
      <c r="S22" s="1694"/>
      <c r="T22" s="1694"/>
      <c r="U22" s="1694"/>
    </row>
    <row r="23" spans="1:21" ht="43.5" thickBot="1">
      <c r="A23" s="1765" t="s">
        <v>1965</v>
      </c>
      <c r="B23" s="1701" t="s">
        <v>1966</v>
      </c>
      <c r="C23" s="1702" t="s">
        <v>2986</v>
      </c>
      <c r="D23" s="1703" t="s">
        <v>1967</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1968</v>
      </c>
      <c r="B24" s="3251" t="s">
        <v>1969</v>
      </c>
      <c r="C24" s="3252"/>
      <c r="D24" s="3253" t="s">
        <v>1970</v>
      </c>
      <c r="E24" s="3254"/>
      <c r="F24" s="1708" t="s">
        <v>1971</v>
      </c>
      <c r="G24" s="1694"/>
      <c r="H24" s="1694"/>
      <c r="I24" s="1707"/>
      <c r="J24" s="1694"/>
      <c r="K24" s="3239" t="s">
        <v>1972</v>
      </c>
      <c r="L24" s="245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2328</v>
      </c>
      <c r="C25" s="1709" t="s">
        <v>1973</v>
      </c>
      <c r="D25" s="1710"/>
      <c r="E25" s="1711" t="s">
        <v>952</v>
      </c>
      <c r="F25" s="1712"/>
      <c r="G25" s="1694"/>
      <c r="H25" s="1694"/>
      <c r="I25" s="1707"/>
      <c r="J25" s="1694"/>
      <c r="K25" s="3239"/>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1974</v>
      </c>
      <c r="C26" s="1709" t="s">
        <v>2329</v>
      </c>
      <c r="D26" s="1660"/>
      <c r="E26" s="1660"/>
      <c r="F26" s="1688"/>
      <c r="G26" s="1694"/>
      <c r="H26" s="1694"/>
      <c r="I26" s="1707"/>
      <c r="J26" s="1694"/>
      <c r="K26" s="3239"/>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1975</v>
      </c>
      <c r="B27" s="1753" t="s">
        <v>1976</v>
      </c>
      <c r="C27" s="1713"/>
      <c r="D27" s="2650" t="s">
        <v>1976</v>
      </c>
      <c r="E27" s="1714"/>
      <c r="F27" s="1688"/>
      <c r="G27" s="1694"/>
      <c r="H27" s="1694"/>
      <c r="I27" s="1707"/>
      <c r="J27" s="1694"/>
      <c r="K27" s="1774"/>
      <c r="L27" s="1723"/>
      <c r="M27" s="1723"/>
      <c r="N27" s="1694"/>
      <c r="O27" s="1695"/>
      <c r="P27" s="1694"/>
      <c r="Q27" s="1694"/>
      <c r="R27" s="1694"/>
      <c r="S27" s="1694"/>
      <c r="T27" s="1694"/>
      <c r="U27" s="1694"/>
    </row>
    <row r="28" spans="1:21">
      <c r="A28" s="1756"/>
      <c r="B28" s="1753" t="s">
        <v>1977</v>
      </c>
      <c r="C28" s="1715"/>
      <c r="D28" s="2651" t="s">
        <v>1977</v>
      </c>
      <c r="E28" s="1716"/>
      <c r="F28" s="1688"/>
      <c r="G28" s="1694"/>
      <c r="H28" s="1694"/>
      <c r="I28" s="1707"/>
      <c r="J28" s="1694"/>
      <c r="K28" s="1774"/>
      <c r="L28" s="1723"/>
      <c r="M28" s="1723"/>
      <c r="N28" s="1694"/>
      <c r="O28" s="1695"/>
      <c r="P28" s="1694"/>
      <c r="Q28" s="1694"/>
      <c r="R28" s="1694"/>
      <c r="S28" s="1694"/>
      <c r="T28" s="1694"/>
      <c r="U28" s="1694"/>
    </row>
    <row r="29" spans="1:21">
      <c r="A29" s="1756"/>
      <c r="B29" s="1753" t="s">
        <v>1978</v>
      </c>
      <c r="C29" s="1715"/>
      <c r="D29" s="2651" t="s">
        <v>1978</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1979</v>
      </c>
      <c r="C30" s="1717"/>
      <c r="D30" s="2652" t="s">
        <v>1979</v>
      </c>
      <c r="E30" s="1718"/>
      <c r="F30" s="1689"/>
      <c r="G30" s="1742"/>
      <c r="H30" s="1742"/>
      <c r="I30" s="1743"/>
      <c r="J30" s="1694"/>
      <c r="K30" s="1774"/>
      <c r="L30" s="1723"/>
      <c r="M30" s="1723"/>
      <c r="N30" s="1694"/>
      <c r="O30" s="1695"/>
      <c r="P30" s="1694"/>
      <c r="Q30" s="1694"/>
      <c r="R30" s="1694"/>
      <c r="S30" s="1694"/>
      <c r="T30" s="1694"/>
      <c r="U30" s="1694"/>
    </row>
    <row r="31" spans="1:21" ht="15" thickTop="1">
      <c r="A31" s="3225" t="s">
        <v>2004</v>
      </c>
      <c r="B31" s="1764" t="s">
        <v>2005</v>
      </c>
      <c r="C31" s="3264" t="s">
        <v>3180</v>
      </c>
      <c r="D31" s="3265"/>
      <c r="E31" s="1694"/>
      <c r="F31" s="1694"/>
      <c r="G31" s="1694"/>
      <c r="H31" s="1694"/>
      <c r="I31" s="1707"/>
      <c r="J31" s="1694"/>
      <c r="K31" s="2457"/>
      <c r="L31" s="1694"/>
      <c r="M31" s="1694"/>
      <c r="N31" s="1694"/>
      <c r="O31" s="1694"/>
      <c r="P31" s="1694"/>
      <c r="Q31" s="1694"/>
      <c r="R31" s="1694"/>
      <c r="S31" s="1694"/>
      <c r="T31" s="1694"/>
      <c r="U31" s="1694"/>
    </row>
    <row r="32" spans="1:21">
      <c r="A32" s="3225"/>
      <c r="B32" s="1661" t="s">
        <v>2006</v>
      </c>
      <c r="C32" s="1719" t="s">
        <v>3181</v>
      </c>
      <c r="D32" s="1720"/>
      <c r="E32" s="1694"/>
      <c r="F32" s="1694"/>
      <c r="G32" s="1694"/>
      <c r="H32" s="1694"/>
      <c r="I32" s="1707"/>
      <c r="J32" s="1694"/>
      <c r="K32" s="2457"/>
      <c r="L32" s="1694"/>
      <c r="M32" s="1694"/>
      <c r="N32" s="1694"/>
      <c r="O32" s="1694"/>
      <c r="P32" s="1694"/>
      <c r="Q32" s="1694"/>
      <c r="R32" s="1694"/>
      <c r="S32" s="1694"/>
      <c r="T32" s="1694"/>
      <c r="U32" s="1694"/>
    </row>
    <row r="33" spans="1:21">
      <c r="A33" s="3225"/>
      <c r="B33" s="1661" t="s">
        <v>2007</v>
      </c>
      <c r="C33" s="1721" t="s">
        <v>2986</v>
      </c>
      <c r="D33" s="1838"/>
      <c r="E33" s="1694"/>
      <c r="F33" s="1694"/>
      <c r="G33" s="1694"/>
      <c r="H33" s="1694"/>
      <c r="I33" s="1707"/>
      <c r="J33" s="1694"/>
      <c r="K33" s="2457"/>
      <c r="L33" s="1694"/>
      <c r="M33" s="1694"/>
      <c r="N33" s="1694"/>
      <c r="O33" s="1694"/>
      <c r="P33" s="1694"/>
      <c r="Q33" s="1694"/>
      <c r="R33" s="1694"/>
      <c r="S33" s="1694"/>
      <c r="T33" s="1694"/>
      <c r="U33" s="1694"/>
    </row>
    <row r="34" spans="1:21">
      <c r="A34" s="3226"/>
      <c r="B34" s="1661" t="s">
        <v>2008</v>
      </c>
      <c r="C34" s="3227"/>
      <c r="D34" s="3228"/>
      <c r="E34" s="1694"/>
      <c r="F34" s="1694"/>
      <c r="G34" s="1694"/>
      <c r="H34" s="1694"/>
      <c r="I34" s="1707"/>
      <c r="J34" s="1694"/>
      <c r="K34" s="2457"/>
      <c r="L34" s="1694"/>
      <c r="M34" s="1694"/>
      <c r="N34" s="1694"/>
      <c r="O34" s="1694"/>
      <c r="P34" s="1694"/>
      <c r="Q34" s="1694"/>
      <c r="R34" s="1694"/>
      <c r="S34" s="1694"/>
      <c r="T34" s="1694"/>
      <c r="U34" s="1694"/>
    </row>
    <row r="35" spans="1:21">
      <c r="A35" s="3229" t="s">
        <v>847</v>
      </c>
      <c r="B35" s="1722" t="s">
        <v>3182</v>
      </c>
      <c r="C35" s="1776" t="str">
        <f>IF(B35="场地平整","——","具体情况：")</f>
        <v>具体情况：</v>
      </c>
      <c r="D35" s="3231" t="s">
        <v>3184</v>
      </c>
      <c r="E35" s="3232"/>
      <c r="F35" s="3232"/>
      <c r="G35" s="3232"/>
      <c r="H35" s="3232"/>
      <c r="I35" s="3233"/>
      <c r="J35" s="1694"/>
      <c r="K35" s="1775"/>
      <c r="L35" s="1723"/>
      <c r="M35" s="1723"/>
      <c r="N35" s="1694"/>
      <c r="O35" s="1695"/>
      <c r="P35" s="1694"/>
      <c r="Q35" s="1694"/>
      <c r="R35" s="1694"/>
      <c r="S35" s="1694"/>
      <c r="T35" s="1694"/>
      <c r="U35" s="1694"/>
    </row>
    <row r="36" spans="1:21" ht="28.5">
      <c r="A36" s="3225"/>
      <c r="B36" s="3234" t="s">
        <v>2057</v>
      </c>
      <c r="C36" s="3235"/>
      <c r="D36" s="1792" t="s">
        <v>3183</v>
      </c>
      <c r="E36" s="3236"/>
      <c r="F36" s="3236"/>
      <c r="G36" s="1687" t="str">
        <f>IF(B35="场地未平整","估价结果处理","")</f>
        <v>估价结果处理</v>
      </c>
      <c r="H36" s="3237"/>
      <c r="I36" s="3237"/>
      <c r="J36" s="1694"/>
      <c r="K36" s="1775"/>
      <c r="L36" s="1723"/>
      <c r="M36" s="1723"/>
      <c r="N36" s="1694"/>
      <c r="O36" s="1695"/>
      <c r="P36" s="1694"/>
      <c r="Q36" s="1694"/>
      <c r="R36" s="1694"/>
      <c r="S36" s="1694"/>
      <c r="T36" s="1694"/>
      <c r="U36" s="1694"/>
    </row>
    <row r="37" spans="1:21" ht="28.5">
      <c r="A37" s="3225"/>
      <c r="B37" s="3255"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25"/>
      <c r="B38" s="3256"/>
      <c r="C38" s="1669" t="s">
        <v>850</v>
      </c>
      <c r="D38" s="1791">
        <f>ROUNDDOWN(MIN(('数据-取费表'!$B$2-D37)/365,D34),1)</f>
        <v>118.7</v>
      </c>
      <c r="E38" s="1727" t="s">
        <v>851</v>
      </c>
      <c r="F38" s="1694"/>
      <c r="G38" s="1694"/>
      <c r="H38" s="1694"/>
      <c r="I38" s="1707"/>
      <c r="J38" s="1694"/>
      <c r="K38" s="1775"/>
      <c r="L38" s="1694"/>
      <c r="M38" s="1694"/>
      <c r="N38" s="1694"/>
      <c r="O38" s="1694"/>
      <c r="P38" s="1694"/>
      <c r="Q38" s="1694"/>
      <c r="R38" s="1694"/>
      <c r="S38" s="1694"/>
      <c r="T38" s="1694"/>
      <c r="U38" s="1694"/>
    </row>
    <row r="39" spans="1:21">
      <c r="A39" s="3226"/>
      <c r="B39" s="3257"/>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1980</v>
      </c>
      <c r="B40" s="1690"/>
      <c r="C40" s="1690"/>
      <c r="D40" s="1690"/>
      <c r="E40" s="1690"/>
      <c r="F40" s="1690"/>
      <c r="G40" s="1690"/>
      <c r="H40" s="1690"/>
      <c r="I40" s="1707"/>
      <c r="J40" s="1694"/>
      <c r="K40" s="1730">
        <f>COUNTIF(B40:H40,"——")</f>
        <v>0</v>
      </c>
      <c r="L40" s="1699" t="s">
        <v>1981</v>
      </c>
      <c r="M40" s="1696" t="s">
        <v>1982</v>
      </c>
      <c r="N40" s="1696" t="s">
        <v>1983</v>
      </c>
      <c r="O40" s="1696" t="s">
        <v>1984</v>
      </c>
      <c r="P40" s="1696" t="s">
        <v>1985</v>
      </c>
      <c r="Q40" s="1696" t="s">
        <v>1986</v>
      </c>
      <c r="R40" s="1696" t="s">
        <v>1987</v>
      </c>
      <c r="S40" s="3238" t="s">
        <v>1988</v>
      </c>
      <c r="T40" s="1731" t="str">
        <f>NUMBERSTRING(7-K40,1)&amp;"通"</f>
        <v>七通</v>
      </c>
      <c r="U40" s="1694"/>
    </row>
    <row r="41" spans="1:21">
      <c r="A41" s="1663"/>
      <c r="B41" s="3230" t="s">
        <v>1722</v>
      </c>
      <c r="C41" s="3230"/>
      <c r="D41" s="3230"/>
      <c r="E41" s="3230"/>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38"/>
      <c r="T41" s="1733" t="str">
        <f>IF(T40="一通",L41,IF(T40="二通",M41,IF(T40="三通",N41,IF(T40="四通",O41,IF(T40="五通",P41,IF(T40="六通",Q41,R41))))))</f>
        <v>、、、、、、</v>
      </c>
      <c r="U41" s="1694"/>
    </row>
    <row r="42" spans="1:21">
      <c r="A42" s="1735"/>
      <c r="B42" s="1766" t="s">
        <v>1898</v>
      </c>
      <c r="C42" s="1766" t="s">
        <v>1899</v>
      </c>
      <c r="D42" s="1766" t="s">
        <v>1900</v>
      </c>
      <c r="E42" s="1699" t="s">
        <v>1901</v>
      </c>
      <c r="F42" s="1736"/>
      <c r="G42" s="1694"/>
      <c r="H42" s="1694"/>
      <c r="I42" s="1707"/>
      <c r="J42" s="1694"/>
      <c r="K42" s="1774"/>
      <c r="L42" s="1723"/>
      <c r="M42" s="1723"/>
      <c r="N42" s="1694"/>
      <c r="O42" s="1695"/>
      <c r="P42" s="1694"/>
      <c r="Q42" s="1694"/>
      <c r="R42" s="1694"/>
      <c r="S42" s="1694"/>
      <c r="T42" s="1694"/>
      <c r="U42" s="1694"/>
    </row>
    <row r="43" spans="1:21">
      <c r="A43" s="1737" t="s">
        <v>1707</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1708</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71" customFormat="1" ht="21" thickBot="1">
      <c r="A45" s="3072" t="s">
        <v>2896</v>
      </c>
      <c r="B45" s="3067"/>
      <c r="C45" s="3067"/>
      <c r="D45" s="3067"/>
      <c r="E45" s="3067"/>
      <c r="F45" s="3067"/>
      <c r="G45" s="3067"/>
      <c r="H45" s="3067"/>
      <c r="I45" s="3068"/>
      <c r="J45" s="3067"/>
      <c r="K45" s="3069"/>
      <c r="L45" s="3070"/>
      <c r="M45" s="3070"/>
      <c r="N45" s="3067"/>
      <c r="O45" s="3068"/>
      <c r="P45" s="3067"/>
      <c r="Q45" s="3067"/>
      <c r="R45" s="3067"/>
      <c r="S45" s="3067"/>
      <c r="T45" s="3067"/>
      <c r="U45" s="3067"/>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2009</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2010</v>
      </c>
      <c r="B48" s="1686" t="s">
        <v>2011</v>
      </c>
      <c r="C48" s="1686" t="s">
        <v>2012</v>
      </c>
      <c r="D48" s="1686" t="s">
        <v>2013</v>
      </c>
      <c r="E48" s="1686" t="s">
        <v>2014</v>
      </c>
      <c r="F48" s="1686" t="s">
        <v>2015</v>
      </c>
      <c r="G48" s="1686" t="s">
        <v>2016</v>
      </c>
      <c r="H48" s="1686" t="s">
        <v>2017</v>
      </c>
      <c r="I48" s="1686" t="s">
        <v>2018</v>
      </c>
      <c r="J48" s="1772" t="s">
        <v>2019</v>
      </c>
      <c r="K48" s="1766" t="s">
        <v>2020</v>
      </c>
      <c r="L48" s="1766" t="s">
        <v>2021</v>
      </c>
      <c r="M48" s="1766" t="s">
        <v>2022</v>
      </c>
      <c r="N48" s="1686" t="s">
        <v>2023</v>
      </c>
      <c r="O48" s="1686" t="s">
        <v>2024</v>
      </c>
      <c r="P48" s="1686" t="s">
        <v>2025</v>
      </c>
      <c r="Q48" s="1699" t="s">
        <v>2026</v>
      </c>
      <c r="R48" s="1699" t="s">
        <v>2027</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1"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2" sqref="L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3" width="9.5" style="15" hidden="1" customWidth="1"/>
    <col min="34" max="35" width="9.5" style="15" customWidth="1"/>
    <col min="36"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9" t="s">
        <v>2336</v>
      </c>
      <c r="BA2" s="2360" t="s">
        <v>2335</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49638.62</v>
      </c>
      <c r="B3" s="22">
        <f>IF(C3="否",G5-AT5,G5)</f>
        <v>148915.86318846155</v>
      </c>
      <c r="C3" s="23" t="s">
        <v>2986</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148915.86318846155</v>
      </c>
      <c r="H5" s="27">
        <f t="shared" ref="H5:AT5" si="0">SUM(H13:H641)</f>
        <v>148524.48318846154</v>
      </c>
      <c r="I5" s="27">
        <f t="shared" si="0"/>
        <v>119886.81318846154</v>
      </c>
      <c r="J5" s="27">
        <f t="shared" si="0"/>
        <v>0</v>
      </c>
      <c r="K5" s="27">
        <f t="shared" si="0"/>
        <v>28637.67</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391.38</v>
      </c>
      <c r="AD5" s="27">
        <f t="shared" si="0"/>
        <v>0</v>
      </c>
      <c r="AE5" s="27">
        <f t="shared" si="0"/>
        <v>0</v>
      </c>
      <c r="AF5" s="27">
        <f t="shared" si="0"/>
        <v>0</v>
      </c>
      <c r="AG5" s="27">
        <f t="shared" si="0"/>
        <v>0</v>
      </c>
      <c r="AH5" s="27">
        <f t="shared" si="0"/>
        <v>391.38</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148915.86318846155</v>
      </c>
      <c r="BA5" s="29">
        <f t="shared" si="1"/>
        <v>148524.48318846154</v>
      </c>
      <c r="BB5" s="29">
        <f t="shared" si="1"/>
        <v>119886.81318846154</v>
      </c>
      <c r="BC5" s="29">
        <f t="shared" si="1"/>
        <v>28637.67</v>
      </c>
      <c r="BD5" s="29">
        <f t="shared" si="1"/>
        <v>0</v>
      </c>
      <c r="BE5" s="29">
        <f t="shared" si="1"/>
        <v>0</v>
      </c>
      <c r="BF5" s="29">
        <f t="shared" si="1"/>
        <v>0</v>
      </c>
      <c r="BG5" s="29">
        <f t="shared" si="1"/>
        <v>0</v>
      </c>
      <c r="BH5" s="29">
        <f t="shared" si="1"/>
        <v>0</v>
      </c>
      <c r="BI5" s="29">
        <f t="shared" si="1"/>
        <v>0</v>
      </c>
      <c r="BJ5" s="29">
        <f t="shared" si="1"/>
        <v>0</v>
      </c>
      <c r="BK5" s="29">
        <f t="shared" si="1"/>
        <v>0</v>
      </c>
      <c r="BL5" s="29">
        <f t="shared" si="1"/>
        <v>391.38</v>
      </c>
      <c r="BM5" s="29">
        <f t="shared" si="1"/>
        <v>0</v>
      </c>
      <c r="BN5" s="29">
        <f t="shared" si="1"/>
        <v>0</v>
      </c>
      <c r="BO5" s="29">
        <f t="shared" si="1"/>
        <v>391.38</v>
      </c>
      <c r="BP5" s="29">
        <f t="shared" si="1"/>
        <v>0</v>
      </c>
      <c r="BQ5" s="29">
        <f t="shared" si="1"/>
        <v>0</v>
      </c>
      <c r="BR5" s="29">
        <f t="shared" si="1"/>
        <v>0</v>
      </c>
      <c r="BS5" s="29">
        <f t="shared" si="1"/>
        <v>0</v>
      </c>
      <c r="BT5" s="30">
        <f t="shared" si="1"/>
        <v>0</v>
      </c>
    </row>
    <row r="6" spans="1:72" s="37" customFormat="1" ht="12.75">
      <c r="A6" s="26" t="s">
        <v>169</v>
      </c>
      <c r="B6" s="31"/>
      <c r="C6" s="31"/>
      <c r="D6" s="32"/>
      <c r="E6" s="27">
        <f>H6+AC6+AT6</f>
        <v>49638.619999999995</v>
      </c>
      <c r="F6" s="27" t="s">
        <v>1</v>
      </c>
      <c r="G6" s="27" t="s">
        <v>2</v>
      </c>
      <c r="H6" s="33">
        <f>SUMIF(I$12:AB$12,"总值",I6:AB6)</f>
        <v>49508.159999999996</v>
      </c>
      <c r="I6" s="27">
        <f t="shared" ref="I6:AB6" si="2">ROUND($A$3*I5/$B$3,2)</f>
        <v>39962.269999999997</v>
      </c>
      <c r="J6" s="27">
        <f t="shared" si="2"/>
        <v>0</v>
      </c>
      <c r="K6" s="27">
        <f t="shared" si="2"/>
        <v>9545.89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130.46</v>
      </c>
      <c r="AD6" s="27">
        <f t="shared" ref="AD6:AS6" si="3">ROUND($A$3*AD5/$B$3,2)</f>
        <v>0</v>
      </c>
      <c r="AE6" s="27">
        <f t="shared" si="3"/>
        <v>0</v>
      </c>
      <c r="AF6" s="27">
        <f t="shared" si="3"/>
        <v>0</v>
      </c>
      <c r="AG6" s="27">
        <f t="shared" si="3"/>
        <v>0</v>
      </c>
      <c r="AH6" s="27">
        <f t="shared" si="3"/>
        <v>130.46</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49638.62</v>
      </c>
      <c r="AZ6" s="27" t="s">
        <v>3</v>
      </c>
      <c r="BA6" s="27">
        <f>ROUND($AY$6*BA5/$AZ$5,2)</f>
        <v>49508.160000000003</v>
      </c>
      <c r="BB6" s="27">
        <f>ROUND($AY$6*BB5/$AZ$5,2)</f>
        <v>39962.269999999997</v>
      </c>
      <c r="BC6" s="27">
        <f t="shared" ref="BC6:BH6" si="4">ROUND($AY$6*BC5/$AZ$5,2)</f>
        <v>9545.89</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130.46</v>
      </c>
      <c r="BM6" s="27">
        <f t="shared" si="5"/>
        <v>0</v>
      </c>
      <c r="BN6" s="27">
        <f t="shared" si="5"/>
        <v>0</v>
      </c>
      <c r="BO6" s="27">
        <f t="shared" si="5"/>
        <v>130.46</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7" t="s">
        <v>2987</v>
      </c>
      <c r="J9" s="51"/>
      <c r="K9" s="3017" t="s">
        <v>2987</v>
      </c>
      <c r="L9" s="51"/>
      <c r="M9" s="301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7" t="s">
        <v>923</v>
      </c>
      <c r="J10" s="51"/>
      <c r="K10" s="3019" t="s">
        <v>2985</v>
      </c>
      <c r="L10" s="51"/>
      <c r="M10" s="3019"/>
      <c r="N10" s="51"/>
      <c r="O10" s="66"/>
      <c r="P10" s="51"/>
      <c r="Q10" s="66"/>
      <c r="R10" s="51"/>
      <c r="S10" s="66"/>
      <c r="T10" s="51"/>
      <c r="U10" s="66"/>
      <c r="V10" s="51"/>
      <c r="W10" s="66"/>
      <c r="X10" s="51"/>
      <c r="Y10" s="66"/>
      <c r="Z10" s="51"/>
      <c r="AA10" s="66"/>
      <c r="AB10" s="51"/>
      <c r="AC10" s="55"/>
      <c r="AD10" s="2313" t="s">
        <v>2320</v>
      </c>
      <c r="AE10" s="2335"/>
      <c r="AF10" s="2313" t="s">
        <v>2320</v>
      </c>
      <c r="AG10" s="2335"/>
      <c r="AH10" s="2313" t="s">
        <v>2321</v>
      </c>
      <c r="AI10" s="2335"/>
      <c r="AJ10" s="26" t="s">
        <v>2334</v>
      </c>
      <c r="AK10" s="2332"/>
      <c r="AL10" s="2313" t="s">
        <v>2322</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8"/>
      <c r="J11" s="71"/>
      <c r="K11" s="3018"/>
      <c r="L11" s="71"/>
      <c r="M11" s="70"/>
      <c r="N11" s="71"/>
      <c r="O11" s="70"/>
      <c r="P11" s="71"/>
      <c r="Q11" s="70"/>
      <c r="R11" s="71"/>
      <c r="S11" s="70"/>
      <c r="T11" s="71"/>
      <c r="U11" s="70"/>
      <c r="V11" s="71"/>
      <c r="W11" s="70"/>
      <c r="X11" s="71"/>
      <c r="Y11" s="70"/>
      <c r="Z11" s="71"/>
      <c r="AA11" s="70"/>
      <c r="AB11" s="71"/>
      <c r="AC11" s="55"/>
      <c r="AD11" s="2333" t="s">
        <v>2333</v>
      </c>
      <c r="AE11" s="1002"/>
      <c r="AF11" s="2333" t="s">
        <v>2333</v>
      </c>
      <c r="AG11" s="1002"/>
      <c r="AH11" s="2333" t="s">
        <v>2332</v>
      </c>
      <c r="AI11" s="2334"/>
      <c r="AJ11" s="2333" t="s">
        <v>2332</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3"/>
      <c r="B13" s="3013"/>
      <c r="C13" s="3013"/>
      <c r="D13" s="3014" t="s">
        <v>1679</v>
      </c>
      <c r="E13" s="27">
        <f t="shared" ref="E13:E20" si="6">IF($C$3="是",ROUND($A$3*G13/$B$3,2),ROUND($A$3*(G13-AT13)/$B$3,2))</f>
        <v>49638.62</v>
      </c>
      <c r="F13" s="81"/>
      <c r="G13" s="82">
        <f t="shared" ref="G13:G20" si="7">H13+AC13+AT13</f>
        <v>148915.86318846155</v>
      </c>
      <c r="H13" s="33">
        <f t="shared" ref="H13:H20" si="8">SUMIF(I$12:AB$12,"总值",I13:AB13)</f>
        <v>148524.48318846154</v>
      </c>
      <c r="I13" s="3016">
        <v>119886.81318846154</v>
      </c>
      <c r="J13" s="3016"/>
      <c r="K13" s="3016">
        <v>28637.67</v>
      </c>
      <c r="L13" s="3016"/>
      <c r="M13" s="3016"/>
      <c r="N13" s="83"/>
      <c r="O13" s="83"/>
      <c r="P13" s="83"/>
      <c r="Q13" s="83"/>
      <c r="R13" s="83"/>
      <c r="S13" s="83"/>
      <c r="T13" s="83"/>
      <c r="U13" s="83"/>
      <c r="V13" s="83"/>
      <c r="W13" s="83"/>
      <c r="X13" s="83"/>
      <c r="Y13" s="83"/>
      <c r="Z13" s="83"/>
      <c r="AA13" s="83"/>
      <c r="AB13" s="83"/>
      <c r="AC13" s="27">
        <f t="shared" ref="AC13:AC20" si="9">SUMIF(AD$12:AS$12,"总值",AD13:AS13)</f>
        <v>391.38</v>
      </c>
      <c r="AD13" s="3020"/>
      <c r="AE13" s="3020"/>
      <c r="AF13" s="3020"/>
      <c r="AG13" s="3020"/>
      <c r="AH13" s="3020">
        <v>391.38</v>
      </c>
      <c r="AI13" s="3020"/>
      <c r="AJ13" s="3020"/>
      <c r="AK13" s="3020"/>
      <c r="AL13" s="3020"/>
      <c r="AM13" s="3020"/>
      <c r="AN13" s="3020"/>
      <c r="AO13" s="3020"/>
      <c r="AP13" s="3020"/>
      <c r="AQ13" s="3020"/>
      <c r="AR13" s="3020"/>
      <c r="AS13" s="3020"/>
      <c r="AT13" s="3021"/>
      <c r="AU13" s="3022"/>
      <c r="AV13" s="17">
        <f t="shared" ref="AV13:AX20" si="10">A13</f>
        <v>0</v>
      </c>
      <c r="AW13" s="17">
        <f t="shared" si="10"/>
        <v>0</v>
      </c>
      <c r="AX13" s="17">
        <f t="shared" si="10"/>
        <v>0</v>
      </c>
      <c r="AY13" s="996">
        <f t="shared" ref="AY13:AY20" si="11">ROUND($AY$6*AZ13/$AZ$5,2)</f>
        <v>49638.62</v>
      </c>
      <c r="AZ13" s="27">
        <f t="shared" ref="AZ13:AZ20" si="12">BA13+BL13</f>
        <v>148915.86318846155</v>
      </c>
      <c r="BA13" s="27">
        <f t="shared" ref="BA13:BA20" si="13">SUM(BB13:BK13)</f>
        <v>148524.48318846154</v>
      </c>
      <c r="BB13" s="27">
        <f t="shared" ref="BB13:BB20" si="14">IF($D13="是",I13-J13,0)</f>
        <v>119886.81318846154</v>
      </c>
      <c r="BC13" s="27">
        <f t="shared" ref="BC13:BC20" si="15">IF($D13="是",K13-L13,0)</f>
        <v>28637.67</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391.38</v>
      </c>
      <c r="BM13" s="27">
        <f t="shared" ref="BM13:BM20" si="25">IF($D13="是",AD13-AE13,0)</f>
        <v>0</v>
      </c>
      <c r="BN13" s="27">
        <f t="shared" ref="BN13:BN20" si="26">IF($D13="是",AF13-AG13,0)</f>
        <v>0</v>
      </c>
      <c r="BO13" s="27">
        <f t="shared" ref="BO13:BO20" si="27">IF($D13="是",AH13-AI13,0)</f>
        <v>391.38</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3"/>
      <c r="B14" s="3013"/>
      <c r="C14" s="3015"/>
      <c r="D14" s="3014"/>
      <c r="E14" s="27">
        <f t="shared" si="6"/>
        <v>0</v>
      </c>
      <c r="F14" s="81"/>
      <c r="G14" s="82">
        <f t="shared" si="7"/>
        <v>0</v>
      </c>
      <c r="H14" s="33">
        <f t="shared" si="8"/>
        <v>0</v>
      </c>
      <c r="I14" s="3016"/>
      <c r="J14" s="3016"/>
      <c r="K14" s="3016"/>
      <c r="L14" s="3016"/>
      <c r="M14" s="3016"/>
      <c r="N14" s="83"/>
      <c r="O14" s="83"/>
      <c r="P14" s="83"/>
      <c r="Q14" s="83"/>
      <c r="R14" s="83"/>
      <c r="S14" s="83"/>
      <c r="T14" s="83"/>
      <c r="U14" s="83"/>
      <c r="V14" s="83"/>
      <c r="W14" s="83"/>
      <c r="X14" s="83"/>
      <c r="Y14" s="83"/>
      <c r="Z14" s="83"/>
      <c r="AA14" s="83"/>
      <c r="AB14" s="83"/>
      <c r="AC14" s="27">
        <f t="shared" si="9"/>
        <v>0</v>
      </c>
      <c r="AD14" s="3020"/>
      <c r="AE14" s="3020"/>
      <c r="AF14" s="3020"/>
      <c r="AG14" s="3020"/>
      <c r="AH14" s="3020"/>
      <c r="AI14" s="3020"/>
      <c r="AJ14" s="3020"/>
      <c r="AK14" s="3020"/>
      <c r="AL14" s="3020"/>
      <c r="AM14" s="3020"/>
      <c r="AN14" s="3020"/>
      <c r="AO14" s="3020"/>
      <c r="AP14" s="3020"/>
      <c r="AQ14" s="3020"/>
      <c r="AR14" s="3020"/>
      <c r="AS14" s="3020"/>
      <c r="AT14" s="3021"/>
      <c r="AU14" s="3022"/>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c r="D15" s="3014"/>
      <c r="E15" s="27">
        <f t="shared" si="6"/>
        <v>0</v>
      </c>
      <c r="F15" s="81"/>
      <c r="G15" s="82">
        <f t="shared" si="7"/>
        <v>0</v>
      </c>
      <c r="H15" s="33">
        <f t="shared" si="8"/>
        <v>0</v>
      </c>
      <c r="I15" s="3016"/>
      <c r="J15" s="3016"/>
      <c r="K15" s="3016"/>
      <c r="L15" s="3016"/>
      <c r="M15" s="3016"/>
      <c r="N15" s="83"/>
      <c r="O15" s="83"/>
      <c r="P15" s="83"/>
      <c r="Q15" s="83"/>
      <c r="R15" s="83"/>
      <c r="S15" s="83"/>
      <c r="T15" s="83"/>
      <c r="U15" s="83"/>
      <c r="V15" s="83"/>
      <c r="W15" s="83"/>
      <c r="X15" s="83"/>
      <c r="Y15" s="83"/>
      <c r="Z15" s="83"/>
      <c r="AA15" s="83"/>
      <c r="AB15" s="83"/>
      <c r="AC15" s="27">
        <f t="shared" si="9"/>
        <v>0</v>
      </c>
      <c r="AD15" s="3020"/>
      <c r="AE15" s="3020"/>
      <c r="AF15" s="3020"/>
      <c r="AG15" s="3020"/>
      <c r="AH15" s="3020"/>
      <c r="AI15" s="3020"/>
      <c r="AJ15" s="3020"/>
      <c r="AK15" s="3020"/>
      <c r="AL15" s="3020"/>
      <c r="AM15" s="3020"/>
      <c r="AN15" s="3020"/>
      <c r="AO15" s="3020"/>
      <c r="AP15" s="3020"/>
      <c r="AQ15" s="3020"/>
      <c r="AR15" s="3020"/>
      <c r="AS15" s="3020"/>
      <c r="AT15" s="3021"/>
      <c r="AU15" s="3022"/>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6"/>
      <c r="J16" s="3016"/>
      <c r="K16" s="3016"/>
      <c r="L16" s="3016"/>
      <c r="M16" s="3016"/>
      <c r="N16" s="83"/>
      <c r="O16" s="83"/>
      <c r="P16" s="83"/>
      <c r="Q16" s="83"/>
      <c r="R16" s="83"/>
      <c r="S16" s="83"/>
      <c r="T16" s="83"/>
      <c r="U16" s="83"/>
      <c r="V16" s="83"/>
      <c r="W16" s="83"/>
      <c r="X16" s="83"/>
      <c r="Y16" s="83"/>
      <c r="Z16" s="83"/>
      <c r="AA16" s="83"/>
      <c r="AB16" s="83"/>
      <c r="AC16" s="27">
        <f t="shared" si="9"/>
        <v>0</v>
      </c>
      <c r="AD16" s="3020"/>
      <c r="AE16" s="3020"/>
      <c r="AF16" s="3020"/>
      <c r="AG16" s="3020"/>
      <c r="AH16" s="3020"/>
      <c r="AI16" s="3020"/>
      <c r="AJ16" s="3020"/>
      <c r="AK16" s="3020"/>
      <c r="AL16" s="3020"/>
      <c r="AM16" s="3020"/>
      <c r="AN16" s="3020"/>
      <c r="AO16" s="3020"/>
      <c r="AP16" s="3020"/>
      <c r="AQ16" s="3020"/>
      <c r="AR16" s="3020"/>
      <c r="AS16" s="3020"/>
      <c r="AT16" s="3021"/>
      <c r="AU16" s="3022"/>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6"/>
      <c r="J17" s="3016"/>
      <c r="K17" s="3016"/>
      <c r="L17" s="3016"/>
      <c r="M17" s="3016"/>
      <c r="N17" s="83"/>
      <c r="O17" s="83"/>
      <c r="P17" s="83"/>
      <c r="Q17" s="83"/>
      <c r="R17" s="83"/>
      <c r="S17" s="83"/>
      <c r="T17" s="83"/>
      <c r="U17" s="83"/>
      <c r="V17" s="83"/>
      <c r="W17" s="83"/>
      <c r="X17" s="83"/>
      <c r="Y17" s="83"/>
      <c r="Z17" s="83"/>
      <c r="AA17" s="83"/>
      <c r="AB17" s="83"/>
      <c r="AC17" s="27">
        <f t="shared" si="9"/>
        <v>0</v>
      </c>
      <c r="AD17" s="3020"/>
      <c r="AE17" s="3020"/>
      <c r="AF17" s="3020"/>
      <c r="AG17" s="3020"/>
      <c r="AH17" s="3020"/>
      <c r="AI17" s="3020"/>
      <c r="AJ17" s="3020"/>
      <c r="AK17" s="3020"/>
      <c r="AL17" s="3020"/>
      <c r="AM17" s="3020"/>
      <c r="AN17" s="3020"/>
      <c r="AO17" s="3020"/>
      <c r="AP17" s="3020"/>
      <c r="AQ17" s="3020"/>
      <c r="AR17" s="3020"/>
      <c r="AS17" s="3020"/>
      <c r="AT17" s="3021"/>
      <c r="AU17" s="3022"/>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4"/>
      <c r="E18" s="87">
        <f t="shared" si="6"/>
        <v>0</v>
      </c>
      <c r="F18" s="88"/>
      <c r="G18" s="89">
        <f t="shared" si="7"/>
        <v>0</v>
      </c>
      <c r="H18" s="90">
        <f t="shared" si="8"/>
        <v>0</v>
      </c>
      <c r="I18" s="3016"/>
      <c r="J18" s="91"/>
      <c r="K18" s="3016"/>
      <c r="L18" s="3016"/>
      <c r="M18" s="91"/>
      <c r="N18" s="91"/>
      <c r="O18" s="91"/>
      <c r="P18" s="91"/>
      <c r="Q18" s="91"/>
      <c r="R18" s="91"/>
      <c r="S18" s="91"/>
      <c r="T18" s="91"/>
      <c r="U18" s="91"/>
      <c r="V18" s="91"/>
      <c r="W18" s="91"/>
      <c r="X18" s="91"/>
      <c r="Y18" s="91"/>
      <c r="Z18" s="91"/>
      <c r="AA18" s="91"/>
      <c r="AB18" s="91"/>
      <c r="AC18" s="87">
        <f t="shared" si="9"/>
        <v>0</v>
      </c>
      <c r="AD18" s="92"/>
      <c r="AE18" s="92"/>
      <c r="AF18" s="1395"/>
      <c r="AG18" s="92"/>
      <c r="AH18" s="3020"/>
      <c r="AI18" s="92"/>
      <c r="AJ18" s="92"/>
      <c r="AK18" s="92"/>
      <c r="AL18" s="1364"/>
      <c r="AM18" s="92"/>
      <c r="AN18" s="1395"/>
      <c r="AO18" s="92"/>
      <c r="AP18" s="3020"/>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3014"/>
      <c r="E19" s="87">
        <f t="shared" si="6"/>
        <v>0</v>
      </c>
      <c r="F19" s="88"/>
      <c r="G19" s="89">
        <f t="shared" si="7"/>
        <v>0</v>
      </c>
      <c r="H19" s="90">
        <f t="shared" si="8"/>
        <v>0</v>
      </c>
      <c r="I19" s="3016"/>
      <c r="J19" s="91"/>
      <c r="K19" s="3016"/>
      <c r="L19" s="3016"/>
      <c r="M19" s="91"/>
      <c r="N19" s="91"/>
      <c r="O19" s="91"/>
      <c r="P19" s="91"/>
      <c r="Q19" s="91"/>
      <c r="R19" s="91"/>
      <c r="S19" s="91"/>
      <c r="T19" s="91"/>
      <c r="U19" s="91"/>
      <c r="V19" s="91"/>
      <c r="W19" s="91"/>
      <c r="X19" s="91"/>
      <c r="Y19" s="91"/>
      <c r="Z19" s="91"/>
      <c r="AA19" s="91"/>
      <c r="AB19" s="91"/>
      <c r="AC19" s="87">
        <f t="shared" si="9"/>
        <v>0</v>
      </c>
      <c r="AD19" s="92"/>
      <c r="AE19" s="92"/>
      <c r="AF19" s="1395"/>
      <c r="AG19" s="92"/>
      <c r="AH19" s="3020"/>
      <c r="AI19" s="92"/>
      <c r="AJ19" s="92"/>
      <c r="AK19" s="92"/>
      <c r="AL19" s="92"/>
      <c r="AM19" s="92"/>
      <c r="AN19" s="1395"/>
      <c r="AO19" s="92"/>
      <c r="AP19" s="3020"/>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6" t="s">
        <v>0</v>
      </c>
      <c r="B1" s="3266" t="s">
        <v>4</v>
      </c>
      <c r="C1" s="3266" t="s">
        <v>5</v>
      </c>
      <c r="D1" s="3267" t="s">
        <v>40</v>
      </c>
      <c r="E1" s="3267" t="s">
        <v>41</v>
      </c>
      <c r="F1" s="3267"/>
      <c r="G1" s="3267"/>
      <c r="H1" s="3267"/>
      <c r="I1" s="3267"/>
      <c r="J1" s="3267"/>
      <c r="K1" s="3267"/>
      <c r="L1" s="3267"/>
      <c r="M1" s="3267"/>
    </row>
    <row r="2" spans="1:13" ht="27" customHeight="1">
      <c r="A2" s="3266"/>
      <c r="B2" s="3266"/>
      <c r="C2" s="3266"/>
      <c r="D2" s="3267"/>
      <c r="E2" s="3267" t="s">
        <v>24</v>
      </c>
      <c r="F2" s="3267" t="s">
        <v>25</v>
      </c>
      <c r="G2" s="3267"/>
      <c r="H2" s="3267"/>
      <c r="I2" s="3267"/>
      <c r="J2" s="3267" t="s">
        <v>26</v>
      </c>
      <c r="K2" s="3267"/>
      <c r="L2" s="3267"/>
      <c r="M2" s="3267"/>
    </row>
    <row r="3" spans="1:13" ht="28.5">
      <c r="A3" s="3266"/>
      <c r="B3" s="3266"/>
      <c r="C3" s="3266"/>
      <c r="D3" s="3267"/>
      <c r="E3" s="32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7" t="s">
        <v>42</v>
      </c>
      <c r="B9" s="3267"/>
      <c r="C9" s="32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9" sqref="F29"/>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77" t="s">
        <v>203</v>
      </c>
      <c r="B2" s="3277"/>
      <c r="C2" s="3277"/>
      <c r="D2" s="1974" t="s">
        <v>204</v>
      </c>
      <c r="E2" s="106" t="s">
        <v>205</v>
      </c>
      <c r="F2" s="1983"/>
      <c r="G2" s="1198"/>
      <c r="H2" s="1199"/>
      <c r="I2" s="1200" t="s">
        <v>857</v>
      </c>
      <c r="J2" s="1983"/>
      <c r="K2" s="1983"/>
      <c r="L2" s="1983"/>
    </row>
    <row r="3" spans="1:16" ht="15.75" thickBot="1">
      <c r="A3" s="3278" t="s">
        <v>206</v>
      </c>
      <c r="B3" s="3278"/>
      <c r="C3" s="3278"/>
      <c r="D3" s="107">
        <f>'数据-基础表'!AY6</f>
        <v>49638.62</v>
      </c>
      <c r="E3" s="107">
        <f>'数据-基础表'!AZ5</f>
        <v>148915.86318846155</v>
      </c>
      <c r="F3" s="1983"/>
      <c r="G3" s="280" t="s">
        <v>858</v>
      </c>
      <c r="H3" s="275" t="s">
        <v>859</v>
      </c>
      <c r="I3" s="1975">
        <f>ROUND('数据-基础表'!B3/'数据-基础表'!A3,2)</f>
        <v>3</v>
      </c>
      <c r="J3" s="1983"/>
      <c r="K3" s="1983"/>
      <c r="L3" s="1983"/>
    </row>
    <row r="4" spans="1:16" ht="15">
      <c r="A4" s="3279"/>
      <c r="B4" s="3280"/>
      <c r="C4" s="3281"/>
      <c r="D4" s="108" t="s">
        <v>204</v>
      </c>
      <c r="E4" s="109" t="s">
        <v>205</v>
      </c>
      <c r="F4" s="1983"/>
      <c r="G4" s="1201"/>
      <c r="H4" s="275" t="s">
        <v>860</v>
      </c>
      <c r="I4" s="1975">
        <f>ROUND(SUMIF('数据-基础表'!I9:AS9,"地上",'数据-基础表'!I5:AS5)/'数据-基础表'!A3,2)</f>
        <v>3</v>
      </c>
      <c r="J4" s="1983"/>
      <c r="K4" s="1983"/>
      <c r="L4" s="1983"/>
    </row>
    <row r="5" spans="1:16">
      <c r="A5" s="110" t="s">
        <v>207</v>
      </c>
      <c r="B5" s="3282" t="s">
        <v>230</v>
      </c>
      <c r="C5" s="3282"/>
      <c r="D5" s="111">
        <f>ROUND($D$3*E5/$E$3,2)</f>
        <v>39962.269999999997</v>
      </c>
      <c r="E5" s="112">
        <f>SUMIF('数据-基础表'!$11:$11,"住宅",'数据-基础表'!$5:$5)</f>
        <v>119886.81318846154</v>
      </c>
      <c r="F5" s="1983"/>
      <c r="G5" s="280" t="s">
        <v>861</v>
      </c>
      <c r="H5" s="275" t="s">
        <v>859</v>
      </c>
      <c r="I5" s="1975">
        <f>ROUND(E31/D31,2)</f>
        <v>3</v>
      </c>
      <c r="J5" s="1983"/>
      <c r="K5" s="1983"/>
      <c r="L5" s="1983"/>
    </row>
    <row r="6" spans="1:16" ht="15" thickBot="1">
      <c r="A6" s="113"/>
      <c r="B6" s="3282" t="s">
        <v>208</v>
      </c>
      <c r="C6" s="3282"/>
      <c r="D6" s="111">
        <f>ROUND($D$3*E6/$E$3,2)</f>
        <v>9676.35</v>
      </c>
      <c r="E6" s="112">
        <f>E3-E5</f>
        <v>29029.050000000003</v>
      </c>
      <c r="F6" s="1983"/>
      <c r="G6" s="1201"/>
      <c r="H6" s="275" t="s">
        <v>860</v>
      </c>
      <c r="I6" s="1975">
        <f>ROUND(F31/D31,2)</f>
        <v>3</v>
      </c>
      <c r="J6" s="1983"/>
      <c r="K6" s="1983"/>
      <c r="L6" s="1983"/>
    </row>
    <row r="7" spans="1:16" ht="15">
      <c r="A7" s="3274"/>
      <c r="B7" s="3275"/>
      <c r="C7" s="3276"/>
      <c r="D7" s="108" t="s">
        <v>204</v>
      </c>
      <c r="E7" s="114" t="s">
        <v>231</v>
      </c>
      <c r="F7" s="1983"/>
      <c r="G7" s="1156" t="s">
        <v>1646</v>
      </c>
      <c r="H7" s="1157"/>
      <c r="I7" s="1847"/>
      <c r="J7" s="1983"/>
      <c r="K7" s="1983"/>
      <c r="L7" s="1983"/>
    </row>
    <row r="8" spans="1:16">
      <c r="A8" s="110" t="s">
        <v>209</v>
      </c>
      <c r="B8" s="115" t="s">
        <v>210</v>
      </c>
      <c r="C8" s="111" t="s">
        <v>211</v>
      </c>
      <c r="D8" s="111">
        <f t="shared" ref="D8:D15" si="0">ROUND($D$3*E8/$E$3,2)</f>
        <v>49508.160000000003</v>
      </c>
      <c r="E8" s="116">
        <f>SUMIF('数据-基础表'!BB10:BK10,"地上",'数据-基础表'!BB5:BK5)</f>
        <v>148524.48318846154</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2330</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2337</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49508.160000000003</v>
      </c>
      <c r="E16" s="120">
        <f>SUM(E8:E15)</f>
        <v>148524.48318846154</v>
      </c>
      <c r="F16" s="1983"/>
      <c r="G16" s="1985"/>
      <c r="H16" s="968" t="s">
        <v>219</v>
      </c>
      <c r="I16" s="969"/>
      <c r="J16" s="1983"/>
      <c r="K16" s="3268" t="s">
        <v>2569</v>
      </c>
      <c r="L16" s="3269"/>
      <c r="M16" s="3269"/>
      <c r="N16" s="3269"/>
      <c r="O16" s="3269"/>
      <c r="P16" s="3270"/>
    </row>
    <row r="17" spans="1:19" ht="15">
      <c r="A17" s="121" t="s">
        <v>216</v>
      </c>
      <c r="B17" s="122" t="s">
        <v>217</v>
      </c>
      <c r="C17" s="2297" t="s">
        <v>2316</v>
      </c>
      <c r="D17" s="108" t="s">
        <v>204</v>
      </c>
      <c r="E17" s="124" t="s">
        <v>205</v>
      </c>
      <c r="F17" s="125"/>
      <c r="G17" s="1366"/>
      <c r="H17" s="970" t="s">
        <v>218</v>
      </c>
      <c r="I17" s="971" t="s">
        <v>2315</v>
      </c>
      <c r="J17" s="1983"/>
      <c r="K17" s="3271" t="s">
        <v>2570</v>
      </c>
      <c r="L17" s="3272"/>
      <c r="M17" s="3273"/>
      <c r="N17" s="3271" t="s">
        <v>2571</v>
      </c>
      <c r="O17" s="3272"/>
      <c r="P17" s="3273"/>
      <c r="R17" s="2298" t="s">
        <v>2314</v>
      </c>
      <c r="S17" s="144"/>
    </row>
    <row r="18" spans="1:19" ht="15">
      <c r="A18" s="117"/>
      <c r="B18" s="128"/>
      <c r="C18" s="129"/>
      <c r="D18" s="2641"/>
      <c r="E18" s="130" t="s">
        <v>220</v>
      </c>
      <c r="F18" s="131" t="s">
        <v>221</v>
      </c>
      <c r="G18" s="1367" t="s">
        <v>222</v>
      </c>
      <c r="H18" s="972" t="s">
        <v>223</v>
      </c>
      <c r="I18" s="973" t="s">
        <v>224</v>
      </c>
      <c r="J18" s="1983"/>
      <c r="K18" s="2604" t="s">
        <v>2572</v>
      </c>
      <c r="L18" s="2605" t="s">
        <v>2573</v>
      </c>
      <c r="M18" s="2606" t="s">
        <v>2574</v>
      </c>
      <c r="N18" s="2604" t="s">
        <v>2572</v>
      </c>
      <c r="O18" s="2605" t="s">
        <v>2573</v>
      </c>
      <c r="P18" s="2606" t="s">
        <v>2574</v>
      </c>
      <c r="R18" s="2299" t="s">
        <v>2312</v>
      </c>
      <c r="S18" s="2299" t="s">
        <v>2313</v>
      </c>
    </row>
    <row r="19" spans="1:19">
      <c r="A19" s="133"/>
      <c r="B19" s="115" t="s">
        <v>225</v>
      </c>
      <c r="C19" s="3023" t="s">
        <v>2988</v>
      </c>
      <c r="D19" s="111">
        <f t="shared" ref="D19:D26" si="1">ROUND($D$3*E19/$E$3,2)</f>
        <v>39962.269999999997</v>
      </c>
      <c r="E19" s="134">
        <f t="shared" ref="E19:E26" si="2">SUM(F19:G19)</f>
        <v>119886.81318846154</v>
      </c>
      <c r="F19" s="135">
        <f>'数据-基础表'!I13</f>
        <v>119886.81318846154</v>
      </c>
      <c r="G19" s="1368"/>
      <c r="H19" s="974">
        <f>ROUND($D$3*I19/$E$3,2)</f>
        <v>130.46</v>
      </c>
      <c r="I19" s="116">
        <f>IF($I$17="自定义",P19,M19)</f>
        <v>391.38</v>
      </c>
      <c r="J19" s="1983"/>
      <c r="K19" s="2607">
        <f t="shared" ref="K19:K26" si="3">ROUND(E$28*E19/E$27,2)</f>
        <v>0</v>
      </c>
      <c r="L19" s="275">
        <f t="shared" ref="L19:L26" si="4">ROUND(IF(COUNTIF(C19,"*住宅*")&gt;0,E$29*E19/E$32,0),2)</f>
        <v>391.38</v>
      </c>
      <c r="M19" s="2608">
        <f>K19+L19</f>
        <v>391.38</v>
      </c>
      <c r="N19" s="2609"/>
      <c r="O19" s="2610"/>
      <c r="P19" s="2611">
        <f>N19+O19</f>
        <v>0</v>
      </c>
      <c r="R19" s="275">
        <f t="shared" ref="R19:S26" si="5">D19+H19</f>
        <v>40092.729999999996</v>
      </c>
      <c r="S19" s="2300">
        <f t="shared" si="5"/>
        <v>120278.19318846155</v>
      </c>
    </row>
    <row r="20" spans="1:19">
      <c r="A20" s="138"/>
      <c r="B20" s="115" t="s">
        <v>226</v>
      </c>
      <c r="C20" s="3023" t="s">
        <v>2989</v>
      </c>
      <c r="D20" s="111">
        <f t="shared" si="1"/>
        <v>9545.89</v>
      </c>
      <c r="E20" s="134">
        <f t="shared" si="2"/>
        <v>28637.67</v>
      </c>
      <c r="F20" s="135">
        <f>'数据-基础表'!K13</f>
        <v>28637.67</v>
      </c>
      <c r="G20" s="1368"/>
      <c r="H20" s="974">
        <f t="shared" ref="H20:H26" si="6">ROUND($D$3*I20/$E$3,2)</f>
        <v>0</v>
      </c>
      <c r="I20" s="116">
        <f t="shared" ref="I20:I26" si="7">IF($I$17="自定义",P20,M20)</f>
        <v>0</v>
      </c>
      <c r="J20" s="1983"/>
      <c r="K20" s="2607">
        <f t="shared" si="3"/>
        <v>0</v>
      </c>
      <c r="L20" s="275">
        <f t="shared" si="4"/>
        <v>0</v>
      </c>
      <c r="M20" s="2608">
        <f t="shared" ref="M20:M26" si="8">K20+L20</f>
        <v>0</v>
      </c>
      <c r="N20" s="2609"/>
      <c r="O20" s="2610"/>
      <c r="P20" s="2611">
        <f t="shared" ref="P20:P26" si="9">N20+O20</f>
        <v>0</v>
      </c>
      <c r="R20" s="275">
        <f t="shared" si="5"/>
        <v>9545.89</v>
      </c>
      <c r="S20" s="2300">
        <f t="shared" si="5"/>
        <v>28637.67</v>
      </c>
    </row>
    <row r="21" spans="1:19">
      <c r="A21" s="138"/>
      <c r="B21" s="115" t="s">
        <v>226</v>
      </c>
      <c r="C21" s="3023"/>
      <c r="D21" s="111">
        <f t="shared" si="1"/>
        <v>0</v>
      </c>
      <c r="E21" s="134">
        <f t="shared" si="2"/>
        <v>0</v>
      </c>
      <c r="F21" s="135"/>
      <c r="G21" s="1368"/>
      <c r="H21" s="974">
        <f t="shared" si="6"/>
        <v>0</v>
      </c>
      <c r="I21" s="116">
        <f t="shared" si="7"/>
        <v>0</v>
      </c>
      <c r="J21" s="1983"/>
      <c r="K21" s="2607">
        <f t="shared" si="3"/>
        <v>0</v>
      </c>
      <c r="L21" s="275">
        <f t="shared" si="4"/>
        <v>0</v>
      </c>
      <c r="M21" s="2608">
        <f t="shared" si="8"/>
        <v>0</v>
      </c>
      <c r="N21" s="2609"/>
      <c r="O21" s="2610"/>
      <c r="P21" s="2611">
        <f t="shared" si="9"/>
        <v>0</v>
      </c>
      <c r="R21" s="275">
        <f t="shared" si="5"/>
        <v>0</v>
      </c>
      <c r="S21" s="2300">
        <f t="shared" si="5"/>
        <v>0</v>
      </c>
    </row>
    <row r="22" spans="1:19">
      <c r="A22" s="138"/>
      <c r="B22" s="115" t="s">
        <v>226</v>
      </c>
      <c r="C22" s="1365"/>
      <c r="D22" s="111">
        <f t="shared" si="1"/>
        <v>0</v>
      </c>
      <c r="E22" s="134">
        <f t="shared" si="2"/>
        <v>0</v>
      </c>
      <c r="F22" s="140"/>
      <c r="G22" s="1369"/>
      <c r="H22" s="974">
        <f t="shared" si="6"/>
        <v>0</v>
      </c>
      <c r="I22" s="116">
        <f t="shared" si="7"/>
        <v>0</v>
      </c>
      <c r="J22" s="1983"/>
      <c r="K22" s="2607">
        <f t="shared" si="3"/>
        <v>0</v>
      </c>
      <c r="L22" s="275">
        <f t="shared" si="4"/>
        <v>0</v>
      </c>
      <c r="M22" s="2608">
        <f t="shared" si="8"/>
        <v>0</v>
      </c>
      <c r="N22" s="2609"/>
      <c r="O22" s="2610"/>
      <c r="P22" s="2611">
        <f t="shared" si="9"/>
        <v>0</v>
      </c>
      <c r="R22" s="275">
        <f t="shared" si="5"/>
        <v>0</v>
      </c>
      <c r="S22" s="2300">
        <f t="shared" si="5"/>
        <v>0</v>
      </c>
    </row>
    <row r="23" spans="1:19">
      <c r="A23" s="138"/>
      <c r="B23" s="115" t="s">
        <v>226</v>
      </c>
      <c r="C23" s="139"/>
      <c r="D23" s="111">
        <f>ROUND($D$3*E23/$E$3,2)</f>
        <v>0</v>
      </c>
      <c r="E23" s="134">
        <f>SUM(F23:G23)</f>
        <v>0</v>
      </c>
      <c r="F23" s="140"/>
      <c r="G23" s="1369"/>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226</v>
      </c>
      <c r="C24" s="139"/>
      <c r="D24" s="111">
        <f>ROUND($D$3*E24/$E$3,2)</f>
        <v>0</v>
      </c>
      <c r="E24" s="134">
        <f>SUM(F24:G24)</f>
        <v>0</v>
      </c>
      <c r="F24" s="140"/>
      <c r="G24" s="1369"/>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226</v>
      </c>
      <c r="C25" s="139"/>
      <c r="D25" s="111">
        <f t="shared" si="1"/>
        <v>0</v>
      </c>
      <c r="E25" s="134">
        <f t="shared" si="2"/>
        <v>0</v>
      </c>
      <c r="F25" s="140"/>
      <c r="G25" s="1369"/>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226</v>
      </c>
      <c r="C26" s="142"/>
      <c r="D26" s="111">
        <f t="shared" si="1"/>
        <v>0</v>
      </c>
      <c r="E26" s="134">
        <f t="shared" si="2"/>
        <v>0</v>
      </c>
      <c r="F26" s="140"/>
      <c r="G26" s="1369"/>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15.75" thickBot="1">
      <c r="A27" s="138"/>
      <c r="B27" s="111"/>
      <c r="C27" s="127" t="s">
        <v>215</v>
      </c>
      <c r="D27" s="134">
        <f>SUM(D19:D26)</f>
        <v>49508.159999999996</v>
      </c>
      <c r="E27" s="143">
        <f>IF(SUM(E19:E26)='数据-基础表'!BA5,SUM(E19:E26),IF(F27="地上面积有误","面积有误","地下面积有误"))</f>
        <v>148524.48318846154</v>
      </c>
      <c r="F27" s="134">
        <f>IF(SUM(F19:F26)=E8,SUM(F19:F26),"地上面积有误")</f>
        <v>148524.48318846154</v>
      </c>
      <c r="G27" s="112">
        <f>SUM(G19:G26)</f>
        <v>0</v>
      </c>
      <c r="H27" s="975">
        <f>SUM(H19:H26)</f>
        <v>130.46</v>
      </c>
      <c r="I27" s="976">
        <f>SUM(I19:I26)</f>
        <v>391.38</v>
      </c>
      <c r="J27" s="1983"/>
      <c r="K27" s="2616">
        <f>SUM(K19:K26)</f>
        <v>0</v>
      </c>
      <c r="L27" s="2617">
        <f>SUM(L19:L26)</f>
        <v>391.38</v>
      </c>
      <c r="M27" s="2618">
        <f>SUM(M19:M26)</f>
        <v>391.38</v>
      </c>
      <c r="N27" s="2616">
        <f t="shared" ref="N27:O27" si="10">SUM(N19:N26)</f>
        <v>0</v>
      </c>
      <c r="O27" s="2617">
        <f t="shared" si="10"/>
        <v>0</v>
      </c>
      <c r="P27" s="2619">
        <f>SUM(P19:P26)</f>
        <v>0</v>
      </c>
      <c r="R27" s="2304">
        <f>IF(SUM(R19:R26)=$D$3,SUM(R19:R26),SUM(R19:R26)&amp;"误差"&amp;ROUND(SUM(R19:R26)-$D$3,2))</f>
        <v>49638.619999999995</v>
      </c>
      <c r="S27" s="275">
        <f>IF(SUM(S19:S26)=$E$3,SUM(S19:S26),SUM(S19:S26)&amp;"误差"&amp;ROUND(SUM(S19:S26)-E3,2))</f>
        <v>148915.86318846155</v>
      </c>
    </row>
    <row r="28" spans="1:19">
      <c r="A28" s="138"/>
      <c r="B28" s="115" t="s">
        <v>227</v>
      </c>
      <c r="C28" s="136" t="s">
        <v>228</v>
      </c>
      <c r="D28" s="111">
        <f>ROUND($D$3*E28/$E$3,2)</f>
        <v>0</v>
      </c>
      <c r="E28" s="134">
        <f>SUM(F28:G28)</f>
        <v>0</v>
      </c>
      <c r="F28" s="144">
        <f>'数据-基础表'!BQ5+'数据-基础表'!BS5</f>
        <v>0</v>
      </c>
      <c r="G28" s="145">
        <f>'数据-基础表'!BR5+'数据-基础表'!BT5</f>
        <v>0</v>
      </c>
      <c r="H28" s="1983"/>
      <c r="I28" s="1983"/>
      <c r="J28" s="1983"/>
      <c r="K28" s="1983"/>
      <c r="L28" s="1983"/>
    </row>
    <row r="29" spans="1:19">
      <c r="A29" s="138"/>
      <c r="B29" s="115" t="s">
        <v>227</v>
      </c>
      <c r="C29" s="2312" t="s">
        <v>2323</v>
      </c>
      <c r="D29" s="111">
        <f>ROUND($D$3*E29/$E$3,2)</f>
        <v>130.46</v>
      </c>
      <c r="E29" s="134">
        <f>SUM(F29:G29)</f>
        <v>391.38</v>
      </c>
      <c r="F29" s="144">
        <f>'数据-基础表'!BM5+'数据-基础表'!BO5</f>
        <v>391.38</v>
      </c>
      <c r="G29" s="146">
        <f>'数据-基础表'!BN5+'数据-基础表'!BP5</f>
        <v>0</v>
      </c>
      <c r="H29" s="1983"/>
      <c r="I29" s="1983"/>
      <c r="J29" s="1983"/>
      <c r="K29" s="1983"/>
      <c r="L29" s="1983"/>
    </row>
    <row r="30" spans="1:19">
      <c r="A30" s="138"/>
      <c r="B30" s="111"/>
      <c r="C30" s="147" t="s">
        <v>215</v>
      </c>
      <c r="D30" s="134">
        <f>SUM(D28:D29)</f>
        <v>130.46</v>
      </c>
      <c r="E30" s="134">
        <f>SUM(E28:E29)</f>
        <v>391.38</v>
      </c>
      <c r="F30" s="134">
        <f>SUM(F28:F29)</f>
        <v>391.38</v>
      </c>
      <c r="G30" s="112">
        <f>SUM(G28:G29)</f>
        <v>0</v>
      </c>
      <c r="H30" s="1983"/>
      <c r="I30" s="1983"/>
      <c r="J30" s="1983"/>
      <c r="K30" s="1983"/>
      <c r="L30" s="1983"/>
    </row>
    <row r="31" spans="1:19" ht="32.25" customHeight="1" thickBot="1">
      <c r="A31" s="1370"/>
      <c r="B31" s="1371" t="s">
        <v>229</v>
      </c>
      <c r="C31" s="2329" t="s">
        <v>2325</v>
      </c>
      <c r="D31" s="1372">
        <f>D27+D30</f>
        <v>49638.619999999995</v>
      </c>
      <c r="E31" s="1372">
        <f>E27+E30</f>
        <v>148915.86318846155</v>
      </c>
      <c r="F31" s="1373">
        <f>F27+F30</f>
        <v>148915.86318846155</v>
      </c>
      <c r="G31" s="1374">
        <f>G27+G30</f>
        <v>0</v>
      </c>
      <c r="H31" s="1983"/>
      <c r="I31" s="1983"/>
      <c r="J31" s="1983"/>
      <c r="K31" s="1983"/>
      <c r="L31" s="1983"/>
    </row>
    <row r="32" spans="1:19">
      <c r="A32" s="1983"/>
      <c r="B32" s="2362" t="s">
        <v>2324</v>
      </c>
      <c r="C32" s="2646"/>
      <c r="D32" s="1201"/>
      <c r="E32" s="1201">
        <f>SUMIF(C19:C26,"*住宅*",E19:E26)</f>
        <v>119886.81318846154</v>
      </c>
      <c r="F32" s="1201"/>
      <c r="G32" s="1201"/>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B29" sqref="B2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43361</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40.5">
      <c r="A5" s="2303"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2831</v>
      </c>
      <c r="O5" s="163" t="s">
        <v>246</v>
      </c>
      <c r="P5" s="165" t="s">
        <v>247</v>
      </c>
      <c r="Q5" s="166" t="s">
        <v>248</v>
      </c>
      <c r="R5" s="167" t="s">
        <v>249</v>
      </c>
      <c r="S5" s="2620" t="s">
        <v>2575</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2326</v>
      </c>
      <c r="AI5" s="171" t="s">
        <v>2295</v>
      </c>
      <c r="AJ5" s="171" t="s">
        <v>258</v>
      </c>
      <c r="AK5" s="159" t="s">
        <v>259</v>
      </c>
      <c r="AL5" s="159" t="s">
        <v>260</v>
      </c>
      <c r="AM5" s="172" t="s">
        <v>261</v>
      </c>
      <c r="AN5" s="2390" t="s">
        <v>2376</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住宅</v>
      </c>
      <c r="B6" s="2336" t="str">
        <f>IF(A6=0,"","经营性")</f>
        <v>经营性</v>
      </c>
      <c r="C6" s="173" t="s">
        <v>923</v>
      </c>
      <c r="D6" s="2307">
        <f>SUMIF(项目基本情况!D$15:I$15,C6,项目基本情况!D$18:I$18)</f>
        <v>70</v>
      </c>
      <c r="E6" s="2308">
        <f>IF(B6="","",SUMIF(项目基本情况!D$15:I$15,C6,项目基本情况!D$17:I$17))</f>
        <v>68380</v>
      </c>
      <c r="F6" s="174">
        <f>SUMIF(项目基本情况!D$15:I$15,C6,项目基本情况!D$19:I$19)</f>
        <v>68.540000000000006</v>
      </c>
      <c r="G6" s="175">
        <f>IF(ISERROR(ROUND(POWER(1+H6,D6-F6)*(POWER(1+H6,F6)-1)/(POWER(1+H6,D6)-1),3)),0,ROUND(POWER(1+H6,D6-F6)*(POWER(1+H6,F6)-1)/(POWER(1+H6,D6)-1),3))</f>
        <v>0.997</v>
      </c>
      <c r="H6" s="3024">
        <v>4.4999999999999998E-2</v>
      </c>
      <c r="I6" s="3024">
        <v>5.5E-2</v>
      </c>
      <c r="J6" s="176">
        <v>8.5000000000000006E-2</v>
      </c>
      <c r="K6" s="179">
        <f>SUMIF('数据-汇总表'!C$19:C$33,'数据-取费表'!A6,'数据-汇总表'!E$19:E$33)</f>
        <v>119886.81318846154</v>
      </c>
      <c r="L6" s="3025">
        <v>1800</v>
      </c>
      <c r="M6" s="177">
        <f t="shared" ref="M6:M14" si="0">ROUND(K6*L6/10000,0)</f>
        <v>21580</v>
      </c>
      <c r="N6" s="3026">
        <v>0</v>
      </c>
      <c r="O6" s="177">
        <f>IF($N$5="成新度","——",ROUND(M6*N6,0))</f>
        <v>0</v>
      </c>
      <c r="P6" s="178">
        <f>IF($N$5="成新度","——",M6-O6)</f>
        <v>21580</v>
      </c>
      <c r="Q6" s="3027">
        <v>0.15</v>
      </c>
      <c r="R6" s="179">
        <f>SUMIF('数据-汇总表'!C$19:C$33,A6,'数据-汇总表'!R$19:R$33)</f>
        <v>40092.729999999996</v>
      </c>
      <c r="S6" s="132">
        <f>IF('数据-汇总表'!$I$17="按面积比例",SUMIF('数据-汇总表'!C$19:C$33,A6,'数据-汇总表'!K$19:K$33),SUMIF('数据-汇总表'!C$19:C$33,A6,'数据-汇总表'!N$19:N$33))</f>
        <v>0</v>
      </c>
      <c r="T6" s="2233" t="str">
        <f>IF($T$4="按面积比例",IF(ISERROR(ROUND($M$14*S6/S$16,0)),"0",ROUND($M$14*S6/S$16,0)),"需自行计算录入")</f>
        <v>0</v>
      </c>
      <c r="U6" s="180"/>
      <c r="V6" s="181"/>
      <c r="W6" s="181"/>
      <c r="X6" s="2320"/>
      <c r="Y6" s="182"/>
      <c r="Z6" s="183"/>
      <c r="AA6" s="176"/>
      <c r="AB6" s="176"/>
      <c r="AC6" s="2323"/>
      <c r="AD6" s="184"/>
      <c r="AE6" s="972">
        <f ca="1">IF(AN6="",0,SUMIF(INDIRECT("'"&amp;AN6&amp;"'"&amp;"!E:E"),$AE$5,INDIRECT("'"&amp;AN6&amp;"'"&amp;"!F:F")))</f>
        <v>0</v>
      </c>
      <c r="AF6" s="141"/>
      <c r="AG6" s="1213">
        <f>IF(AF6="",0,AE6-AF6)</f>
        <v>0</v>
      </c>
      <c r="AH6" s="141"/>
      <c r="AI6" s="187"/>
      <c r="AJ6" s="188"/>
      <c r="AK6" s="189"/>
      <c r="AL6" s="190"/>
      <c r="AM6" s="3038"/>
      <c r="AN6" s="2391"/>
      <c r="AO6" s="1999"/>
      <c r="AP6" s="1204">
        <f>ROUND(1-1/(1+H6)^F6,3)</f>
        <v>0.95099999999999996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商业</v>
      </c>
      <c r="B7" s="2336" t="str">
        <f t="shared" ref="B7:B13" si="1">IF(A7=0,"","经营性")</f>
        <v>经营性</v>
      </c>
      <c r="C7" s="173" t="s">
        <v>2985</v>
      </c>
      <c r="D7" s="2307">
        <f>SUMIF(项目基本情况!D$15:I$15,C7,项目基本情况!D$18:I$18)</f>
        <v>40</v>
      </c>
      <c r="E7" s="2308">
        <f>IF(B7="","",SUMIF(项目基本情况!D$15:I$15,C7,项目基本情况!D$17:I$17))</f>
        <v>57423</v>
      </c>
      <c r="F7" s="174">
        <f>SUMIF(项目基本情况!D$15:I$15,C7,项目基本情况!D$19:I$19)</f>
        <v>38.520000000000003</v>
      </c>
      <c r="G7" s="175">
        <f t="shared" ref="G7:G11" si="2">IF(ISERROR(ROUND(POWER(1+H7,D7-F7)*(POWER(1+H7,F7)-1)/(POWER(1+H7,D7)-1),3)),0,ROUND(POWER(1+H7,D7-F7)*(POWER(1+H7,F7)-1)/(POWER(1+H7,D7)-1),3))</f>
        <v>0.98799999999999999</v>
      </c>
      <c r="H7" s="3024">
        <v>0.05</v>
      </c>
      <c r="I7" s="3024">
        <v>0.06</v>
      </c>
      <c r="J7" s="176">
        <v>8.5000000000000006E-2</v>
      </c>
      <c r="K7" s="179">
        <f>SUMIF('数据-汇总表'!C$19:C$33,'数据-取费表'!A7,'数据-汇总表'!E$19:E$33)</f>
        <v>28637.67</v>
      </c>
      <c r="L7" s="3025">
        <v>2000</v>
      </c>
      <c r="M7" s="177">
        <f t="shared" si="0"/>
        <v>5728</v>
      </c>
      <c r="N7" s="3026">
        <v>0</v>
      </c>
      <c r="O7" s="177">
        <f t="shared" ref="O7:O14" si="3">IF($N$5="成新度","——",ROUND(M7*N7,0))</f>
        <v>0</v>
      </c>
      <c r="P7" s="178">
        <f t="shared" ref="P7:P14" si="4">IF($N$5="成新度","——",M7-O7)</f>
        <v>5728</v>
      </c>
      <c r="Q7" s="3027">
        <v>0.3</v>
      </c>
      <c r="R7" s="179">
        <f>SUMIF('数据-汇总表'!C$19:C$33,A7,'数据-汇总表'!R$19:R$33)</f>
        <v>9545.89</v>
      </c>
      <c r="S7" s="132">
        <f>IF('数据-汇总表'!$I$17="按面积比例",SUMIF('数据-汇总表'!C$19:C$33,A7,'数据-汇总表'!K$19:K$33),SUMIF('数据-汇总表'!C$19:C$33,A7,'数据-汇总表'!N$19:N$33))</f>
        <v>0</v>
      </c>
      <c r="T7" s="2233" t="str">
        <f t="shared" ref="T7:T13" si="5">IF($T$4="按面积比例",IF(ISERROR(ROUND($M$14*S7/S$16,0)),"0",ROUND($M$14*S7/S$16,0)),"需自行计算录入")</f>
        <v>0</v>
      </c>
      <c r="U7" s="180">
        <f>T21</f>
        <v>1.63</v>
      </c>
      <c r="V7" s="181">
        <v>0.03</v>
      </c>
      <c r="W7" s="181">
        <v>0.1</v>
      </c>
      <c r="X7" s="2320"/>
      <c r="Y7" s="182">
        <v>1</v>
      </c>
      <c r="Z7" s="183"/>
      <c r="AA7" s="176"/>
      <c r="AB7" s="176"/>
      <c r="AC7" s="2323"/>
      <c r="AD7" s="184"/>
      <c r="AE7" s="972">
        <f t="shared" ref="AE7:AE13" ca="1" si="6">IF(AN7="",0,SUMIF(INDIRECT("'"&amp;AN7&amp;"'"&amp;"!E:E"),$AE$5,INDIRECT("'"&amp;AN7&amp;"'"&amp;"!F:F")))</f>
        <v>38.520000000000003</v>
      </c>
      <c r="AF7" s="141"/>
      <c r="AG7" s="1213">
        <f t="shared" ref="AG7:AG13" si="7">IF(AF7="",0,AE7-AF7)</f>
        <v>0</v>
      </c>
      <c r="AH7" s="141"/>
      <c r="AI7" s="187">
        <v>365</v>
      </c>
      <c r="AJ7" s="188"/>
      <c r="AK7" s="189">
        <v>1.4999999999999999E-2</v>
      </c>
      <c r="AL7" s="190">
        <v>1.5E-3</v>
      </c>
      <c r="AM7" s="2389">
        <v>0.02</v>
      </c>
      <c r="AN7" s="2391" t="s">
        <v>2990</v>
      </c>
      <c r="AO7" s="1999"/>
      <c r="AP7" s="1204">
        <f t="shared" ref="AP7:AP13" si="8">ROUND(1-1/(1+H7)^F7,3)</f>
        <v>0.84699999999999998</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3024"/>
      <c r="I8" s="3024"/>
      <c r="J8" s="176"/>
      <c r="K8" s="179">
        <f>SUMIF('数据-汇总表'!C$19:C$33,'数据-取费表'!A8,'数据-汇总表'!E$19:E$33)</f>
        <v>0</v>
      </c>
      <c r="L8" s="3025"/>
      <c r="M8" s="177">
        <f>ROUND(K8*L8/10000,0)</f>
        <v>0</v>
      </c>
      <c r="N8" s="3026"/>
      <c r="O8" s="177">
        <f t="shared" si="3"/>
        <v>0</v>
      </c>
      <c r="P8" s="178">
        <f t="shared" si="4"/>
        <v>0</v>
      </c>
      <c r="Q8" s="3027"/>
      <c r="R8" s="179">
        <f>SUMIF('数据-汇总表'!C$19:C$33,A8,'数据-汇总表'!R$19:R$33)</f>
        <v>0</v>
      </c>
      <c r="S8" s="132">
        <f>IF('数据-汇总表'!$I$17="按面积比例",SUMIF('数据-汇总表'!C$19:C$33,A8,'数据-汇总表'!K$19:K$33),SUMIF('数据-汇总表'!C$19:C$33,A8,'数据-汇总表'!N$19:N$33))</f>
        <v>0</v>
      </c>
      <c r="T8" s="2233" t="str">
        <f t="shared" si="5"/>
        <v>0</v>
      </c>
      <c r="U8" s="180"/>
      <c r="V8" s="181"/>
      <c r="W8" s="181"/>
      <c r="X8" s="2320"/>
      <c r="Y8" s="182"/>
      <c r="Z8" s="183"/>
      <c r="AA8" s="176"/>
      <c r="AB8" s="176"/>
      <c r="AC8" s="2323"/>
      <c r="AD8" s="184"/>
      <c r="AE8" s="972">
        <f t="shared" ca="1" si="6"/>
        <v>0</v>
      </c>
      <c r="AF8" s="141"/>
      <c r="AG8" s="1213">
        <f t="shared" si="7"/>
        <v>0</v>
      </c>
      <c r="AH8" s="141"/>
      <c r="AI8" s="187"/>
      <c r="AJ8" s="188"/>
      <c r="AK8" s="189"/>
      <c r="AL8" s="190"/>
      <c r="AM8" s="2389"/>
      <c r="AN8" s="2391"/>
      <c r="AO8" s="1999"/>
      <c r="AP8" s="1204">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t="str">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389"/>
      <c r="AN9" s="2391"/>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t="str">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89"/>
      <c r="AN10" s="2391"/>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t="str">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8"/>
      <c r="AN11" s="2391"/>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t="str">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8"/>
      <c r="AN12" s="2391"/>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t="str">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89"/>
      <c r="AN13" s="2391"/>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2317</v>
      </c>
      <c r="B14" s="2305" t="s">
        <v>1680</v>
      </c>
      <c r="C14" s="2306" t="s">
        <v>2317</v>
      </c>
      <c r="D14" s="2307"/>
      <c r="E14" s="2308"/>
      <c r="F14" s="174"/>
      <c r="G14" s="175"/>
      <c r="H14" s="2309"/>
      <c r="I14" s="2309"/>
      <c r="J14" s="2309"/>
      <c r="K14" s="179">
        <f>SUMIF('数据-汇总表'!C$19:C$33,'数据-取费表'!A14,'数据-汇总表'!E$19:E$33)</f>
        <v>0</v>
      </c>
      <c r="L14" s="193">
        <v>1800</v>
      </c>
      <c r="M14" s="177">
        <f t="shared" si="0"/>
        <v>0</v>
      </c>
      <c r="N14" s="194"/>
      <c r="O14" s="177">
        <f t="shared" si="3"/>
        <v>0</v>
      </c>
      <c r="P14" s="178">
        <f t="shared" si="4"/>
        <v>0</v>
      </c>
      <c r="Q14" s="2317"/>
      <c r="R14" s="179"/>
      <c r="S14" s="132"/>
      <c r="T14" s="2316"/>
      <c r="U14" s="974"/>
      <c r="V14" s="2319"/>
      <c r="W14" s="2319"/>
      <c r="X14" s="2320"/>
      <c r="Y14" s="2321"/>
      <c r="Z14" s="136"/>
      <c r="AA14" s="2322"/>
      <c r="AB14" s="2322"/>
      <c r="AC14" s="2323"/>
      <c r="AD14" s="2320"/>
      <c r="AE14" s="972"/>
      <c r="AF14" s="2295"/>
      <c r="AG14" s="1213"/>
      <c r="AH14" s="2295"/>
      <c r="AI14" s="1572"/>
      <c r="AJ14" s="1572"/>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2319</v>
      </c>
      <c r="B15" s="2305" t="s">
        <v>1680</v>
      </c>
      <c r="C15" s="2306" t="s">
        <v>2318</v>
      </c>
      <c r="D15" s="2307"/>
      <c r="E15" s="2308"/>
      <c r="F15" s="174"/>
      <c r="G15" s="175"/>
      <c r="H15" s="2309"/>
      <c r="I15" s="2309"/>
      <c r="J15" s="2309"/>
      <c r="K15" s="179">
        <f>SUMIF('数据-汇总表'!C$19:C$33,'数据-取费表'!A15,'数据-汇总表'!E$19:E$33)</f>
        <v>391.38</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2"/>
      <c r="AJ15" s="1572"/>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0.995</v>
      </c>
      <c r="H16" s="203">
        <f>ROUND(SUMPRODUCT(H6:H13,K6:K13)/SUMPRODUCT((H6:H13&gt;0)*(K6:K13)),3)</f>
        <v>4.5999999999999999E-2</v>
      </c>
      <c r="I16" s="204"/>
      <c r="J16" s="204"/>
      <c r="K16" s="205">
        <f>SUM(K6:K15)</f>
        <v>148915.86318846155</v>
      </c>
      <c r="L16" s="206">
        <f>ROUND(M16*10000/SUM(K6:K14),0)</f>
        <v>1839</v>
      </c>
      <c r="M16" s="206">
        <f>SUM(M6:M14)</f>
        <v>27308</v>
      </c>
      <c r="N16" s="207">
        <f>ROUND(SUMPRODUCT(M6:M14,N6:N14)/M16,3)</f>
        <v>0</v>
      </c>
      <c r="O16" s="206">
        <f>SUM(O6:O14)</f>
        <v>0</v>
      </c>
      <c r="P16" s="206">
        <f>SUM(P6:P14)</f>
        <v>27308</v>
      </c>
      <c r="Q16" s="208">
        <f>ROUND(SUMPRODUCT(Q6:Q13,K6:K13)/SUMPRODUCT((Q6:Q13&gt;0)*(K6:K13)),2)</f>
        <v>0.18</v>
      </c>
      <c r="R16" s="2310">
        <f>SUM(R6:R13)</f>
        <v>49638.619999999995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0.93100000000000005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1991"/>
      <c r="K18" s="1990"/>
      <c r="L18" s="1990"/>
      <c r="M18" s="1988"/>
      <c r="N18" s="1988"/>
      <c r="O18" s="1988"/>
      <c r="P18" s="1988"/>
      <c r="Q18" s="1988"/>
      <c r="R18" s="1988"/>
      <c r="S18" s="3191" t="s">
        <v>3169</v>
      </c>
      <c r="T18" s="3191" t="s">
        <v>3170</v>
      </c>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2339</v>
      </c>
      <c r="D19" s="1992"/>
      <c r="E19" s="1991"/>
      <c r="F19" s="1991"/>
      <c r="G19" s="1991"/>
      <c r="H19" s="1991"/>
      <c r="I19" s="1991"/>
      <c r="J19" s="1991"/>
      <c r="K19" s="1990"/>
      <c r="L19" s="1990"/>
      <c r="M19" s="1988"/>
      <c r="N19" s="1988"/>
      <c r="O19" s="1988"/>
      <c r="P19" s="1988"/>
      <c r="Q19" s="1988"/>
      <c r="R19" s="1988"/>
      <c r="S19" s="1988" t="s">
        <v>3166</v>
      </c>
      <c r="T19" s="1988">
        <v>2</v>
      </c>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3</v>
      </c>
      <c r="C20" s="2363" t="s">
        <v>2338</v>
      </c>
      <c r="D20" s="1992"/>
      <c r="E20" s="1991"/>
      <c r="F20" s="1991"/>
      <c r="G20" s="1991"/>
      <c r="H20" s="1991"/>
      <c r="I20" s="1991"/>
      <c r="J20" s="1991"/>
      <c r="K20" s="1990"/>
      <c r="L20" s="1990"/>
      <c r="M20" s="1988"/>
      <c r="N20" s="1988"/>
      <c r="O20" s="1988"/>
      <c r="P20" s="1988"/>
      <c r="Q20" s="1988"/>
      <c r="R20" s="1988"/>
      <c r="S20" s="1988" t="s">
        <v>3167</v>
      </c>
      <c r="T20" s="1988">
        <f>1.8*0.7</f>
        <v>1.26</v>
      </c>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t="s">
        <v>3168</v>
      </c>
      <c r="T21" s="1988">
        <f>(T19+T20)/2</f>
        <v>1.63</v>
      </c>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3</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3</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2341</v>
      </c>
      <c r="B27" s="227">
        <v>50</v>
      </c>
      <c r="C27" s="2366" t="s">
        <v>2345</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2342</v>
      </c>
      <c r="B28" s="229">
        <v>50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2340</v>
      </c>
      <c r="B29" s="232"/>
      <c r="C29" s="1553" t="s">
        <v>2343</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110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1378">
        <v>90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9">
        <v>0.03</v>
      </c>
      <c r="C33" s="2364" t="s">
        <v>2897</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0.05</v>
      </c>
      <c r="C34" s="2364" t="s">
        <v>2898</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2899</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2900</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2901</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2901</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2459</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2460</v>
      </c>
      <c r="B40" s="2480">
        <f ca="1">存贷款利率!E2</f>
        <v>4.7500000000000001E-2</v>
      </c>
      <c r="C40" s="2364" t="s">
        <v>2344</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098">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7.0000000000000007E-2</v>
      </c>
      <c r="C44" s="2364" t="s">
        <v>2902</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2903</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2904</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73" t="s">
        <v>2905</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74" t="s">
        <v>2906</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74" t="s">
        <v>2907</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18</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1327</v>
      </c>
      <c r="C53" s="3075" t="s">
        <v>2908</v>
      </c>
      <c r="D53" s="3076" t="s">
        <v>2909</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8" t="s">
        <v>2910</v>
      </c>
      <c r="B54" s="186"/>
      <c r="C54" s="1993">
        <v>30</v>
      </c>
      <c r="D54" s="3077"/>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8" t="s">
        <v>2911</v>
      </c>
      <c r="B55" s="186"/>
      <c r="C55" s="1993">
        <v>24</v>
      </c>
      <c r="D55" s="3077"/>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8" t="s">
        <v>2912</v>
      </c>
      <c r="B56" s="3196">
        <v>18</v>
      </c>
      <c r="C56" s="1993">
        <v>18</v>
      </c>
      <c r="D56" s="3077"/>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8" t="s">
        <v>2913</v>
      </c>
      <c r="B57" s="186"/>
      <c r="C57" s="1993">
        <v>12</v>
      </c>
      <c r="D57" s="3077"/>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8" t="s">
        <v>2914</v>
      </c>
      <c r="B58" s="186"/>
      <c r="C58" s="1993">
        <v>3</v>
      </c>
      <c r="D58" s="3077"/>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8" t="s">
        <v>2915</v>
      </c>
      <c r="B59" s="186"/>
      <c r="C59" s="1993">
        <v>1.5</v>
      </c>
      <c r="D59" s="3077"/>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8" t="s">
        <v>2916</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8" t="s">
        <v>2917</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8" t="s">
        <v>2918</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9" t="s">
        <v>2919</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3" t="s">
        <v>1664</v>
      </c>
      <c r="B1" s="3284"/>
      <c r="C1" s="3284"/>
      <c r="D1" s="3284"/>
      <c r="E1" s="3284"/>
      <c r="F1" s="3284"/>
      <c r="G1" s="3284"/>
      <c r="H1" s="2001"/>
      <c r="I1" s="2002"/>
      <c r="J1" s="2003"/>
      <c r="K1" s="2001"/>
      <c r="L1" s="2002"/>
      <c r="M1" s="2003"/>
      <c r="N1" s="2001"/>
      <c r="O1" s="2002"/>
      <c r="P1" s="2003"/>
      <c r="Q1" s="2004"/>
      <c r="R1" s="2005"/>
    </row>
    <row r="2" spans="1:18" ht="14.25" thickBot="1">
      <c r="A2" s="1221"/>
      <c r="B2" s="1222"/>
      <c r="C2" s="1223" t="s">
        <v>1665</v>
      </c>
      <c r="D2" s="1224"/>
      <c r="E2" s="1225"/>
      <c r="F2" s="1226"/>
      <c r="G2" s="1223" t="s">
        <v>1666</v>
      </c>
      <c r="H2" s="2007"/>
      <c r="I2" s="2007"/>
      <c r="J2" s="2007"/>
      <c r="K2" s="2007"/>
      <c r="L2" s="2007"/>
      <c r="M2" s="2007"/>
      <c r="N2" s="2007"/>
      <c r="O2" s="2007"/>
      <c r="P2" s="2007"/>
      <c r="Q2" s="2007"/>
      <c r="R2" s="2007"/>
    </row>
    <row r="3" spans="1:18" ht="54">
      <c r="A3" s="1227" t="s">
        <v>1667</v>
      </c>
      <c r="B3" s="1228" t="s">
        <v>1654</v>
      </c>
      <c r="C3" s="3080" t="s">
        <v>2926</v>
      </c>
      <c r="D3" s="2008"/>
      <c r="E3" s="1229" t="s">
        <v>1667</v>
      </c>
      <c r="F3" s="1230" t="s">
        <v>1655</v>
      </c>
      <c r="G3" s="3084" t="s">
        <v>2925</v>
      </c>
      <c r="H3" s="2007"/>
      <c r="I3" s="2007"/>
      <c r="J3" s="2007"/>
      <c r="K3" s="2007"/>
      <c r="L3" s="2007"/>
      <c r="M3" s="2007"/>
      <c r="N3" s="2007"/>
      <c r="O3" s="2007"/>
      <c r="P3" s="2007"/>
      <c r="Q3" s="2007"/>
      <c r="R3" s="2007"/>
    </row>
    <row r="4" spans="1:18" ht="41.25">
      <c r="A4" s="1229"/>
      <c r="B4" s="1231" t="s">
        <v>1668</v>
      </c>
      <c r="C4" s="3081" t="s">
        <v>2927</v>
      </c>
      <c r="D4" s="2008"/>
      <c r="E4" s="1232"/>
      <c r="F4" s="1233" t="s">
        <v>1669</v>
      </c>
      <c r="G4" s="3082" t="s">
        <v>2922</v>
      </c>
      <c r="H4" s="2007"/>
      <c r="I4" s="2007"/>
      <c r="J4" s="2007"/>
      <c r="K4" s="2007"/>
      <c r="L4" s="2007"/>
      <c r="M4" s="2007"/>
      <c r="N4" s="2007"/>
      <c r="O4" s="2007"/>
      <c r="P4" s="2007"/>
      <c r="Q4" s="2007"/>
      <c r="R4" s="2007"/>
    </row>
    <row r="5" spans="1:18" ht="41.25">
      <c r="A5" s="1229"/>
      <c r="B5" s="1231" t="s">
        <v>1670</v>
      </c>
      <c r="C5" s="3081" t="s">
        <v>2928</v>
      </c>
      <c r="D5" s="2008"/>
      <c r="E5" s="1232"/>
      <c r="F5" s="1231" t="s">
        <v>2549</v>
      </c>
      <c r="G5" s="3082" t="s">
        <v>2923</v>
      </c>
      <c r="H5" s="2007"/>
      <c r="I5" s="2007"/>
      <c r="J5" s="2007"/>
      <c r="K5" s="2007"/>
      <c r="L5" s="2007"/>
      <c r="M5" s="2007"/>
      <c r="N5" s="2007"/>
      <c r="O5" s="2007"/>
      <c r="P5" s="2007"/>
      <c r="Q5" s="2007"/>
      <c r="R5" s="2007"/>
    </row>
    <row r="6" spans="1:18" ht="54">
      <c r="A6" s="1229"/>
      <c r="B6" s="1231" t="s">
        <v>1656</v>
      </c>
      <c r="C6" s="3082" t="s">
        <v>2922</v>
      </c>
      <c r="D6" s="2008"/>
      <c r="E6" s="1232"/>
      <c r="F6" s="1231" t="s">
        <v>2550</v>
      </c>
      <c r="G6" s="3082" t="s">
        <v>2920</v>
      </c>
      <c r="H6" s="2007"/>
      <c r="I6" s="2007"/>
      <c r="J6" s="2007"/>
      <c r="K6" s="2007"/>
      <c r="L6" s="2007"/>
      <c r="M6" s="2007"/>
      <c r="N6" s="2007"/>
      <c r="O6" s="2007"/>
      <c r="P6" s="2007"/>
      <c r="Q6" s="2007"/>
      <c r="R6" s="2007"/>
    </row>
    <row r="7" spans="1:18" ht="41.25" thickBot="1">
      <c r="A7" s="1229"/>
      <c r="B7" s="1231" t="s">
        <v>2549</v>
      </c>
      <c r="C7" s="3082" t="s">
        <v>2923</v>
      </c>
      <c r="D7" s="2009"/>
      <c r="E7" s="1234"/>
      <c r="F7" s="1235" t="s">
        <v>1671</v>
      </c>
      <c r="G7" s="3085" t="s">
        <v>2924</v>
      </c>
      <c r="H7" s="2007"/>
      <c r="I7" s="2007"/>
      <c r="J7" s="2007"/>
      <c r="K7" s="2007"/>
      <c r="L7" s="2007"/>
      <c r="M7" s="2007"/>
      <c r="N7" s="2007"/>
      <c r="O7" s="2007"/>
      <c r="P7" s="2007"/>
      <c r="Q7" s="2007"/>
      <c r="R7" s="2007"/>
    </row>
    <row r="8" spans="1:18" ht="27">
      <c r="A8" s="1229"/>
      <c r="B8" s="1231" t="s">
        <v>2550</v>
      </c>
      <c r="C8" s="3082" t="s">
        <v>2920</v>
      </c>
      <c r="D8" s="2009"/>
      <c r="E8" s="2009"/>
      <c r="F8" s="1554"/>
      <c r="G8" s="1554"/>
      <c r="H8" s="2007"/>
      <c r="I8" s="2007"/>
      <c r="J8" s="2007"/>
      <c r="K8" s="2007"/>
      <c r="L8" s="2007"/>
      <c r="M8" s="2007"/>
      <c r="N8" s="2007"/>
      <c r="O8" s="2007"/>
      <c r="P8" s="2007"/>
      <c r="Q8" s="2007"/>
      <c r="R8" s="2007"/>
    </row>
    <row r="9" spans="1:18" ht="40.5">
      <c r="A9" s="1229"/>
      <c r="B9" s="1231" t="s">
        <v>1657</v>
      </c>
      <c r="C9" s="3081" t="s">
        <v>2921</v>
      </c>
      <c r="D9" s="2008"/>
      <c r="E9" s="2009"/>
      <c r="F9" s="1554"/>
      <c r="G9" s="1554"/>
      <c r="H9" s="2007"/>
      <c r="I9" s="2007"/>
      <c r="J9" s="2007"/>
      <c r="K9" s="2007"/>
      <c r="L9" s="2007"/>
      <c r="M9" s="2007"/>
      <c r="N9" s="2007"/>
      <c r="O9" s="2007"/>
      <c r="P9" s="2007"/>
      <c r="Q9" s="2007"/>
      <c r="R9" s="2007"/>
    </row>
    <row r="10" spans="1:18" s="2015" customFormat="1" ht="15" thickBot="1">
      <c r="A10" s="1236"/>
      <c r="B10" s="1237" t="s">
        <v>1672</v>
      </c>
      <c r="C10" s="3083"/>
      <c r="D10" s="2008"/>
      <c r="E10" s="2008"/>
      <c r="F10" s="1554"/>
      <c r="G10" s="1554"/>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1673</v>
      </c>
      <c r="B13" s="2577"/>
      <c r="C13" s="2577"/>
      <c r="D13" s="1224"/>
      <c r="E13" s="2577"/>
      <c r="F13" s="2577"/>
      <c r="G13" s="2577"/>
    </row>
    <row r="14" spans="1:18" ht="14.25" thickBot="1">
      <c r="A14" s="1238"/>
      <c r="B14" s="1239"/>
      <c r="C14" s="1240" t="s">
        <v>1665</v>
      </c>
      <c r="D14" s="2008"/>
      <c r="E14" s="1241"/>
      <c r="F14" s="1241"/>
      <c r="G14" s="1223" t="s">
        <v>1666</v>
      </c>
    </row>
    <row r="15" spans="1:18" ht="54">
      <c r="A15" s="2587" t="s">
        <v>1658</v>
      </c>
      <c r="B15" s="1242" t="s">
        <v>1654</v>
      </c>
      <c r="C15" s="1243" t="str">
        <f>C3</f>
        <v>估价对象周边居住用地比例、居住小区规模和社区发展完善程度，综合评价居住社区成熟度一般</v>
      </c>
      <c r="D15" s="2008"/>
      <c r="E15" s="2584" t="s">
        <v>1659</v>
      </c>
      <c r="F15" s="1242" t="s">
        <v>1674</v>
      </c>
      <c r="G15" s="1244" t="str">
        <f>G3</f>
        <v>估价对象位于XX开发区，园区建设成熟度XX，产业集聚程度XX</v>
      </c>
    </row>
    <row r="16" spans="1:18" ht="40.5">
      <c r="A16" s="2588"/>
      <c r="B16" s="1245" t="s">
        <v>1668</v>
      </c>
      <c r="C16" s="1246" t="str">
        <f>C4</f>
        <v>估价对象位于XX商圈，周边商业氛围成熟，人流量大，商业繁华度好</v>
      </c>
      <c r="D16" s="2008"/>
      <c r="E16" s="2585"/>
      <c r="F16" s="1247" t="s">
        <v>1669</v>
      </c>
      <c r="G16" s="1005" t="str">
        <f>G4</f>
        <v>估价对象周边道路状况、公共交通通达情况、停车便捷程度，综合评价交通便捷度较好</v>
      </c>
    </row>
    <row r="17" spans="1:7" ht="40.5">
      <c r="A17" s="2588"/>
      <c r="B17" s="1245" t="s">
        <v>1670</v>
      </c>
      <c r="C17" s="1246" t="str">
        <f>C5</f>
        <v>估价对象位于XX商圈，周边办公楼项目较多，入驻率高，办公集聚程度较好</v>
      </c>
      <c r="D17" s="2009"/>
      <c r="E17" s="2585"/>
      <c r="F17" s="1247" t="s">
        <v>1675</v>
      </c>
      <c r="G17" s="2793"/>
    </row>
    <row r="18" spans="1:7" ht="54">
      <c r="A18" s="2588"/>
      <c r="B18" s="1247" t="s">
        <v>1656</v>
      </c>
      <c r="C18" s="1005" t="str">
        <f>C6</f>
        <v>估价对象周边道路状况、公共交通通达情况、停车便捷程度，综合评价交通便捷度较好</v>
      </c>
      <c r="D18" s="2009"/>
      <c r="E18" s="2585"/>
      <c r="F18" s="1247" t="s">
        <v>1671</v>
      </c>
      <c r="G18" s="1005" t="str">
        <f>G7</f>
        <v>该园区内是否有污染型企业，绿化情况，卫生条件，整体环境状况判断</v>
      </c>
    </row>
    <row r="19" spans="1:7" ht="27">
      <c r="A19" s="2588"/>
      <c r="B19" s="1247" t="s">
        <v>1660</v>
      </c>
      <c r="C19" s="2793"/>
      <c r="D19" s="2008"/>
      <c r="E19" s="2585"/>
      <c r="F19" s="1231" t="s">
        <v>2549</v>
      </c>
      <c r="G19" s="1005" t="str">
        <f>G5</f>
        <v>估价对象所在区域公共配套设施齐备情况</v>
      </c>
    </row>
    <row r="20" spans="1:7" ht="40.5">
      <c r="A20" s="2588"/>
      <c r="B20" s="1247" t="s">
        <v>1661</v>
      </c>
      <c r="C20" s="1246" t="str">
        <f>C9</f>
        <v>区域自然环境：；人文环境；综合评价环境状况一般</v>
      </c>
      <c r="D20" s="2009"/>
      <c r="E20" s="2585"/>
      <c r="F20" s="1231" t="s">
        <v>2550</v>
      </c>
      <c r="G20" s="1005" t="str">
        <f>G6</f>
        <v>估价对象所在区域基础设施水平</v>
      </c>
    </row>
    <row r="21" spans="1:7" ht="27">
      <c r="A21" s="2588"/>
      <c r="B21" s="1231" t="s">
        <v>2549</v>
      </c>
      <c r="C21" s="1005" t="str">
        <f>C7</f>
        <v>估价对象所在区域公共配套设施齐备情况</v>
      </c>
      <c r="D21" s="2008"/>
      <c r="E21" s="2585"/>
      <c r="F21" s="1247" t="s">
        <v>1662</v>
      </c>
      <c r="G21" s="3086"/>
    </row>
    <row r="22" spans="1:7" ht="27">
      <c r="A22" s="2588"/>
      <c r="B22" s="1231" t="s">
        <v>2550</v>
      </c>
      <c r="C22" s="1005" t="str">
        <f>C8</f>
        <v>估价对象所在区域基础设施水平</v>
      </c>
      <c r="D22" s="2008"/>
      <c r="E22" s="2585"/>
      <c r="F22" s="1247" t="s">
        <v>1672</v>
      </c>
      <c r="G22" s="2793"/>
    </row>
    <row r="23" spans="1:7" ht="15" thickBot="1">
      <c r="A23" s="2588"/>
      <c r="B23" s="1247" t="s">
        <v>1662</v>
      </c>
      <c r="C23" s="3086"/>
      <c r="E23" s="2586"/>
      <c r="F23" s="1248" t="s">
        <v>1676</v>
      </c>
      <c r="G23" s="3087"/>
    </row>
    <row r="24" spans="1:7" ht="14.25" thickBot="1">
      <c r="A24" s="2589"/>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8" sqref="B28"/>
    </sheetView>
  </sheetViews>
  <sheetFormatPr defaultColWidth="14.625" defaultRowHeight="13.5"/>
  <cols>
    <col min="1" max="1" width="24.375" customWidth="1"/>
  </cols>
  <sheetData>
    <row r="1" spans="1:9" ht="16.5">
      <c r="A1" s="3044" t="s">
        <v>2847</v>
      </c>
      <c r="B1" s="3044">
        <f>SUM(B14:B23)</f>
        <v>148915.86318846155</v>
      </c>
      <c r="C1" s="3045"/>
      <c r="D1" s="3045"/>
      <c r="E1" s="3045"/>
      <c r="F1" s="3045"/>
    </row>
    <row r="2" spans="1:9" ht="16.5">
      <c r="A2" s="3044" t="s">
        <v>2848</v>
      </c>
      <c r="B2" s="3044">
        <f>SUM(C14:C23)</f>
        <v>49638.62</v>
      </c>
      <c r="C2" s="3045"/>
      <c r="D2" s="3045"/>
      <c r="E2" s="3045"/>
      <c r="F2" s="3045"/>
    </row>
    <row r="3" spans="1:9" ht="16.5">
      <c r="A3" s="3044" t="s">
        <v>2849</v>
      </c>
      <c r="B3" s="3046">
        <f>项目基本情况!D3</f>
        <v>43361</v>
      </c>
      <c r="C3" s="3045"/>
      <c r="D3" s="3045"/>
      <c r="E3" s="3045"/>
      <c r="F3" s="3045"/>
    </row>
    <row r="4" spans="1:9" ht="33">
      <c r="A4" s="3044" t="s">
        <v>2850</v>
      </c>
      <c r="B4" s="3044" t="s">
        <v>2851</v>
      </c>
      <c r="C4" s="3044" t="s">
        <v>2852</v>
      </c>
      <c r="D4" s="3044" t="s">
        <v>2853</v>
      </c>
      <c r="E4" s="3045"/>
      <c r="F4" s="3045"/>
    </row>
    <row r="5" spans="1:9" ht="16.5">
      <c r="A5" s="3044" t="s">
        <v>2854</v>
      </c>
      <c r="B5" s="3044">
        <f ca="1">SUM(D14:D23)</f>
        <v>14085</v>
      </c>
      <c r="C5" s="3044">
        <f ca="1">ROUND(B5*10000/$B$1,0)</f>
        <v>946</v>
      </c>
      <c r="D5" s="3044">
        <f ca="1">ROUND(B5*10000/$B$2,0)</f>
        <v>2838</v>
      </c>
      <c r="E5" s="3045"/>
      <c r="F5" s="3045"/>
    </row>
    <row r="6" spans="1:9" ht="16.5">
      <c r="A6" s="3044" t="s">
        <v>2855</v>
      </c>
      <c r="B6" s="3044">
        <f>SUM(G14:G23)</f>
        <v>0</v>
      </c>
      <c r="C6" s="3044">
        <f t="shared" ref="C6:C8" si="0">ROUND(B6*10000/$B$1,0)</f>
        <v>0</v>
      </c>
      <c r="D6" s="3044">
        <f t="shared" ref="D6:D8" si="1">ROUND(B6*10000/$B$2,0)</f>
        <v>0</v>
      </c>
      <c r="E6" s="3045"/>
      <c r="F6" s="3045"/>
    </row>
    <row r="7" spans="1:9" ht="16.5">
      <c r="A7" s="3044" t="s">
        <v>2856</v>
      </c>
      <c r="B7" s="3044">
        <f>SUM(H14:H23)</f>
        <v>0</v>
      </c>
      <c r="C7" s="3044">
        <f t="shared" si="0"/>
        <v>0</v>
      </c>
      <c r="D7" s="3044">
        <f t="shared" si="1"/>
        <v>0</v>
      </c>
      <c r="E7" s="3045"/>
      <c r="F7" s="3045"/>
    </row>
    <row r="8" spans="1:9" ht="16.5">
      <c r="A8" s="3044" t="s">
        <v>2857</v>
      </c>
      <c r="B8" s="3044">
        <f>SUM(I14:I23)</f>
        <v>0</v>
      </c>
      <c r="C8" s="3044">
        <f t="shared" si="0"/>
        <v>0</v>
      </c>
      <c r="D8" s="3044">
        <f t="shared" si="1"/>
        <v>0</v>
      </c>
      <c r="E8" s="3045"/>
      <c r="F8" s="3045"/>
    </row>
    <row r="9" spans="1:9" ht="16.5">
      <c r="A9" s="3044" t="s">
        <v>2858</v>
      </c>
      <c r="B9" s="3047"/>
      <c r="C9" s="3045"/>
      <c r="D9" s="3045"/>
      <c r="E9" s="3045"/>
      <c r="F9" s="3045"/>
    </row>
    <row r="10" spans="1:9" ht="16.5">
      <c r="A10" s="3044" t="s">
        <v>2859</v>
      </c>
      <c r="B10" s="3047"/>
      <c r="C10" s="3045"/>
      <c r="D10" s="3045"/>
      <c r="E10" s="3045"/>
      <c r="F10" s="3045"/>
    </row>
    <row r="11" spans="1:9" ht="16.5">
      <c r="A11" s="3044" t="s">
        <v>2876</v>
      </c>
      <c r="B11" s="3047"/>
      <c r="C11" s="3045"/>
      <c r="D11" s="3045"/>
      <c r="E11" s="3045"/>
      <c r="F11" s="3045"/>
    </row>
    <row r="12" spans="1:9" ht="16.5">
      <c r="A12" s="3045"/>
      <c r="B12" s="3045"/>
      <c r="C12" s="3045"/>
      <c r="D12" s="3045"/>
      <c r="E12" s="3045"/>
      <c r="F12" s="3045"/>
    </row>
    <row r="13" spans="1:9" ht="33">
      <c r="A13" s="3050" t="s">
        <v>2875</v>
      </c>
      <c r="B13" s="3048" t="s">
        <v>2847</v>
      </c>
      <c r="C13" s="3048" t="s">
        <v>2848</v>
      </c>
      <c r="D13" s="3048" t="s">
        <v>2860</v>
      </c>
      <c r="E13" s="3044" t="s">
        <v>2874</v>
      </c>
      <c r="F13" s="3044" t="s">
        <v>2853</v>
      </c>
      <c r="G13" s="3048" t="s">
        <v>2861</v>
      </c>
      <c r="H13" s="3048" t="s">
        <v>2862</v>
      </c>
      <c r="I13" s="3048" t="s">
        <v>2863</v>
      </c>
    </row>
    <row r="14" spans="1:9" ht="16.5">
      <c r="A14" s="3051" t="s">
        <v>2873</v>
      </c>
      <c r="B14" s="3048">
        <f>结果表!L38</f>
        <v>148915.86318846155</v>
      </c>
      <c r="C14" s="3048">
        <f>结果表!K38</f>
        <v>49638.62</v>
      </c>
      <c r="D14" s="3048">
        <f ca="1">结果表!C42</f>
        <v>14085</v>
      </c>
      <c r="E14" s="3048">
        <f ca="1">ROUND(D14*10000/B14,0)</f>
        <v>946</v>
      </c>
      <c r="F14" s="3048">
        <f ca="1">ROUND(D14*10000/C14,0)</f>
        <v>2838</v>
      </c>
      <c r="G14" s="3048" t="str">
        <f>结果表!C44</f>
        <v>——</v>
      </c>
      <c r="H14" s="3048" t="str">
        <f>结果表!C45</f>
        <v>——</v>
      </c>
      <c r="I14" s="3048" t="str">
        <f>结果表!C46</f>
        <v>——</v>
      </c>
    </row>
    <row r="15" spans="1:9" ht="16.5">
      <c r="A15" s="3051" t="s">
        <v>2864</v>
      </c>
      <c r="B15" s="3052"/>
      <c r="C15" s="3052"/>
      <c r="D15" s="3052"/>
      <c r="E15" s="3048" t="e">
        <f t="shared" ref="E15:E23" si="2">ROUND(D15*10000/B15,0)</f>
        <v>#DIV/0!</v>
      </c>
      <c r="F15" s="3048" t="e">
        <f t="shared" ref="F15:F23" si="3">ROUND(D15*10000/C15,0)</f>
        <v>#DIV/0!</v>
      </c>
      <c r="G15" s="3049"/>
      <c r="H15" s="3049"/>
      <c r="I15" s="3052"/>
    </row>
    <row r="16" spans="1:9" ht="16.5">
      <c r="A16" s="3051" t="s">
        <v>2865</v>
      </c>
      <c r="B16" s="3052"/>
      <c r="C16" s="3052"/>
      <c r="D16" s="3052"/>
      <c r="E16" s="3048" t="e">
        <f t="shared" si="2"/>
        <v>#DIV/0!</v>
      </c>
      <c r="F16" s="3048" t="e">
        <f t="shared" si="3"/>
        <v>#DIV/0!</v>
      </c>
      <c r="G16" s="3049"/>
      <c r="H16" s="3049"/>
      <c r="I16" s="3052"/>
    </row>
    <row r="17" spans="1:9" ht="16.5">
      <c r="A17" s="3051" t="s">
        <v>2866</v>
      </c>
      <c r="B17" s="3052"/>
      <c r="C17" s="3052"/>
      <c r="D17" s="3052"/>
      <c r="E17" s="3048" t="e">
        <f t="shared" si="2"/>
        <v>#DIV/0!</v>
      </c>
      <c r="F17" s="3048" t="e">
        <f t="shared" si="3"/>
        <v>#DIV/0!</v>
      </c>
      <c r="G17" s="3049"/>
      <c r="H17" s="3049"/>
      <c r="I17" s="3052"/>
    </row>
    <row r="18" spans="1:9" ht="16.5">
      <c r="A18" s="3051" t="s">
        <v>2867</v>
      </c>
      <c r="B18" s="3052"/>
      <c r="C18" s="3052"/>
      <c r="D18" s="3052"/>
      <c r="E18" s="3048" t="e">
        <f t="shared" si="2"/>
        <v>#DIV/0!</v>
      </c>
      <c r="F18" s="3048" t="e">
        <f t="shared" si="3"/>
        <v>#DIV/0!</v>
      </c>
      <c r="G18" s="3052"/>
      <c r="H18" s="3052"/>
      <c r="I18" s="3052"/>
    </row>
    <row r="19" spans="1:9" ht="16.5">
      <c r="A19" s="3051" t="s">
        <v>2868</v>
      </c>
      <c r="B19" s="3052"/>
      <c r="C19" s="3052"/>
      <c r="D19" s="3052"/>
      <c r="E19" s="3048" t="e">
        <f t="shared" si="2"/>
        <v>#DIV/0!</v>
      </c>
      <c r="F19" s="3048" t="e">
        <f t="shared" si="3"/>
        <v>#DIV/0!</v>
      </c>
      <c r="G19" s="3052"/>
      <c r="H19" s="3052"/>
      <c r="I19" s="3052"/>
    </row>
    <row r="20" spans="1:9" ht="16.5">
      <c r="A20" s="3051" t="s">
        <v>2869</v>
      </c>
      <c r="B20" s="3052"/>
      <c r="C20" s="3052"/>
      <c r="D20" s="3052"/>
      <c r="E20" s="3048" t="e">
        <f t="shared" si="2"/>
        <v>#DIV/0!</v>
      </c>
      <c r="F20" s="3048" t="e">
        <f t="shared" si="3"/>
        <v>#DIV/0!</v>
      </c>
      <c r="G20" s="3052"/>
      <c r="H20" s="3052"/>
      <c r="I20" s="3052"/>
    </row>
    <row r="21" spans="1:9" ht="16.5">
      <c r="A21" s="3051" t="s">
        <v>2870</v>
      </c>
      <c r="B21" s="3052"/>
      <c r="C21" s="3052"/>
      <c r="D21" s="3052"/>
      <c r="E21" s="3048" t="e">
        <f t="shared" si="2"/>
        <v>#DIV/0!</v>
      </c>
      <c r="F21" s="3048" t="e">
        <f t="shared" si="3"/>
        <v>#DIV/0!</v>
      </c>
      <c r="G21" s="3052"/>
      <c r="H21" s="3052"/>
      <c r="I21" s="3052"/>
    </row>
    <row r="22" spans="1:9" ht="16.5">
      <c r="A22" s="3051" t="s">
        <v>2871</v>
      </c>
      <c r="B22" s="3052"/>
      <c r="C22" s="3052"/>
      <c r="D22" s="3052"/>
      <c r="E22" s="3048" t="e">
        <f t="shared" si="2"/>
        <v>#DIV/0!</v>
      </c>
      <c r="F22" s="3048" t="e">
        <f t="shared" si="3"/>
        <v>#DIV/0!</v>
      </c>
      <c r="G22" s="3052"/>
      <c r="H22" s="3052"/>
      <c r="I22" s="3052"/>
    </row>
    <row r="23" spans="1:9" ht="16.5">
      <c r="A23" s="3051" t="s">
        <v>2872</v>
      </c>
      <c r="B23" s="3052"/>
      <c r="C23" s="3052"/>
      <c r="D23" s="3052"/>
      <c r="E23" s="3044" t="e">
        <f t="shared" si="2"/>
        <v>#DIV/0!</v>
      </c>
      <c r="F23" s="3044" t="e">
        <f t="shared" si="3"/>
        <v>#DIV/0!</v>
      </c>
      <c r="G23" s="3052"/>
      <c r="H23" s="3052"/>
      <c r="I23" s="305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7" sqref="G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2058</v>
      </c>
      <c r="B1" s="1778"/>
      <c r="C1" s="1806" t="s">
        <v>2059</v>
      </c>
      <c r="D1" s="1807"/>
      <c r="E1" s="1806" t="s">
        <v>2060</v>
      </c>
      <c r="F1" s="1808"/>
      <c r="G1" s="311"/>
      <c r="H1" s="311"/>
      <c r="I1" s="311"/>
      <c r="J1" s="2028"/>
      <c r="K1" s="2028"/>
      <c r="L1" s="2028"/>
      <c r="M1" s="2028"/>
      <c r="N1" s="2028"/>
      <c r="O1" s="2028"/>
      <c r="P1" s="2028"/>
      <c r="Q1" s="2028"/>
      <c r="R1" s="2028"/>
      <c r="S1" s="2028"/>
      <c r="T1" s="2028"/>
      <c r="U1" s="2028"/>
      <c r="V1" s="2028"/>
    </row>
    <row r="2" spans="1:22" ht="21.75" customHeight="1" thickBot="1">
      <c r="A2" s="3321" t="str">
        <f>项目基本情况!K2</f>
        <v>贵州省普定县穿洞街道金马新村出让国有建设用地使用权</v>
      </c>
      <c r="B2" s="3322"/>
      <c r="C2" s="3323"/>
      <c r="D2" s="3323"/>
      <c r="E2" s="3323"/>
      <c r="F2" s="3323"/>
      <c r="G2" s="3322"/>
      <c r="H2" s="3322"/>
      <c r="I2" s="3324"/>
      <c r="J2" s="2029"/>
      <c r="K2" s="2028"/>
      <c r="L2" s="2028"/>
      <c r="M2" s="2028"/>
      <c r="N2" s="2028"/>
      <c r="O2" s="2028"/>
      <c r="P2" s="2028"/>
      <c r="Q2" s="2028"/>
      <c r="R2" s="2028"/>
      <c r="S2" s="2028"/>
      <c r="T2" s="2028"/>
      <c r="U2" s="2028"/>
      <c r="V2" s="2028"/>
    </row>
    <row r="3" spans="1:22" ht="14.25">
      <c r="A3" s="3314" t="s">
        <v>298</v>
      </c>
      <c r="B3" s="3315"/>
      <c r="C3" s="3315"/>
      <c r="D3" s="3315"/>
      <c r="E3" s="3315"/>
      <c r="F3" s="3315"/>
      <c r="G3" s="3315"/>
      <c r="H3" s="3315"/>
      <c r="I3" s="3315"/>
      <c r="J3" s="2029"/>
      <c r="K3" s="2028"/>
      <c r="L3" s="2028"/>
      <c r="M3" s="2028"/>
      <c r="N3" s="2028"/>
      <c r="O3" s="2028"/>
      <c r="P3" s="2028"/>
      <c r="Q3" s="2028"/>
      <c r="R3" s="2028"/>
      <c r="S3" s="2028"/>
      <c r="T3" s="2028"/>
      <c r="U3" s="2028"/>
      <c r="V3" s="2028"/>
    </row>
    <row r="4" spans="1:22" ht="14.25">
      <c r="A4" s="258" t="s">
        <v>299</v>
      </c>
      <c r="B4" s="259" t="s">
        <v>300</v>
      </c>
      <c r="C4" s="260" t="s">
        <v>2991</v>
      </c>
      <c r="D4" s="260" t="s">
        <v>2992</v>
      </c>
      <c r="E4" s="3286" t="s">
        <v>301</v>
      </c>
      <c r="F4" s="3287"/>
      <c r="G4" s="3287"/>
      <c r="H4" s="3287"/>
      <c r="I4" s="3316"/>
      <c r="J4" s="2029"/>
      <c r="K4" s="2028"/>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85" t="s">
        <v>302</v>
      </c>
      <c r="B5" s="3311">
        <v>25</v>
      </c>
      <c r="C5" s="3309"/>
      <c r="D5" s="3313"/>
      <c r="E5" s="261" t="s">
        <v>303</v>
      </c>
      <c r="F5" s="262"/>
      <c r="G5" s="262"/>
      <c r="H5" s="262"/>
      <c r="I5" s="263"/>
      <c r="J5" s="2029"/>
      <c r="K5" s="2028"/>
      <c r="L5" s="2028"/>
      <c r="M5" s="2028"/>
      <c r="N5" s="2028"/>
      <c r="O5" s="2028"/>
      <c r="P5" s="2028"/>
      <c r="Q5" s="2028"/>
      <c r="R5" s="2028"/>
      <c r="S5" s="2028"/>
      <c r="T5" s="2028"/>
      <c r="U5" s="2028"/>
      <c r="V5" s="2028"/>
    </row>
    <row r="6" spans="1:22" ht="14.25">
      <c r="A6" s="3285"/>
      <c r="B6" s="3311"/>
      <c r="C6" s="3312"/>
      <c r="D6" s="3313"/>
      <c r="E6" s="261" t="s">
        <v>304</v>
      </c>
      <c r="F6" s="262"/>
      <c r="G6" s="262"/>
      <c r="H6" s="262"/>
      <c r="I6" s="263"/>
      <c r="J6" s="2029"/>
      <c r="K6" s="2028"/>
      <c r="L6" s="2028"/>
      <c r="M6" s="2028"/>
      <c r="N6" s="2028"/>
      <c r="O6" s="2028"/>
      <c r="P6" s="2028"/>
      <c r="Q6" s="2028"/>
      <c r="R6" s="2028"/>
      <c r="S6" s="2028"/>
      <c r="T6" s="2028"/>
      <c r="U6" s="2028"/>
      <c r="V6" s="2028"/>
    </row>
    <row r="7" spans="1:22" ht="14.25">
      <c r="A7" s="3285"/>
      <c r="B7" s="3311"/>
      <c r="C7" s="3310"/>
      <c r="D7" s="3313"/>
      <c r="E7" s="261" t="s">
        <v>305</v>
      </c>
      <c r="F7" s="262"/>
      <c r="G7" s="262"/>
      <c r="H7" s="262"/>
      <c r="I7" s="263"/>
      <c r="J7" s="2029"/>
      <c r="K7" s="2028"/>
      <c r="L7" s="2028"/>
      <c r="M7" s="2028"/>
      <c r="N7" s="2028"/>
      <c r="O7" s="2028"/>
      <c r="P7" s="2028"/>
      <c r="Q7" s="2028"/>
      <c r="R7" s="2028"/>
      <c r="S7" s="2028"/>
      <c r="T7" s="2028"/>
      <c r="U7" s="2028"/>
      <c r="V7" s="2028"/>
    </row>
    <row r="8" spans="1:22" ht="14.25">
      <c r="A8" s="3285" t="s">
        <v>306</v>
      </c>
      <c r="B8" s="3311">
        <v>15</v>
      </c>
      <c r="C8" s="3309"/>
      <c r="D8" s="3313"/>
      <c r="E8" s="261" t="s">
        <v>307</v>
      </c>
      <c r="F8" s="262"/>
      <c r="G8" s="262"/>
      <c r="H8" s="262"/>
      <c r="I8" s="263"/>
      <c r="J8" s="2029"/>
      <c r="K8" s="2028"/>
      <c r="L8" s="2028"/>
      <c r="M8" s="2028"/>
      <c r="N8" s="2028"/>
      <c r="O8" s="2028"/>
      <c r="P8" s="2028"/>
      <c r="Q8" s="2028"/>
      <c r="R8" s="2028"/>
      <c r="S8" s="2028"/>
      <c r="T8" s="2028"/>
      <c r="U8" s="2028"/>
      <c r="V8" s="2028"/>
    </row>
    <row r="9" spans="1:22" ht="14.25">
      <c r="A9" s="3285"/>
      <c r="B9" s="3311"/>
      <c r="C9" s="3310"/>
      <c r="D9" s="3313"/>
      <c r="E9" s="261" t="s">
        <v>308</v>
      </c>
      <c r="F9" s="262"/>
      <c r="G9" s="262"/>
      <c r="H9" s="262"/>
      <c r="I9" s="263"/>
      <c r="J9" s="2029"/>
      <c r="K9" s="2028"/>
      <c r="L9" s="2028"/>
      <c r="M9" s="2028"/>
      <c r="N9" s="2028"/>
      <c r="O9" s="2028"/>
      <c r="P9" s="2028"/>
      <c r="Q9" s="2028"/>
      <c r="R9" s="2028"/>
      <c r="S9" s="2028"/>
      <c r="T9" s="2028"/>
      <c r="U9" s="2028"/>
      <c r="V9" s="2028"/>
    </row>
    <row r="10" spans="1:22" ht="14.25">
      <c r="A10" s="3285" t="s">
        <v>309</v>
      </c>
      <c r="B10" s="3311">
        <v>15</v>
      </c>
      <c r="C10" s="3309"/>
      <c r="D10" s="3313"/>
      <c r="E10" s="261" t="s">
        <v>310</v>
      </c>
      <c r="F10" s="262"/>
      <c r="G10" s="262"/>
      <c r="H10" s="262"/>
      <c r="I10" s="263"/>
      <c r="J10" s="2029"/>
      <c r="K10" s="2028"/>
      <c r="L10" s="2028"/>
      <c r="M10" s="2028"/>
      <c r="N10" s="2028"/>
      <c r="O10" s="2028"/>
      <c r="P10" s="2028"/>
      <c r="Q10" s="2028"/>
      <c r="R10" s="2028"/>
      <c r="S10" s="2028"/>
      <c r="T10" s="2028"/>
      <c r="U10" s="2028"/>
      <c r="V10" s="2028"/>
    </row>
    <row r="11" spans="1:22" ht="14.25">
      <c r="A11" s="3285"/>
      <c r="B11" s="3311"/>
      <c r="C11" s="3310"/>
      <c r="D11" s="3313"/>
      <c r="E11" s="261" t="s">
        <v>311</v>
      </c>
      <c r="F11" s="262"/>
      <c r="G11" s="262"/>
      <c r="H11" s="262"/>
      <c r="I11" s="263"/>
      <c r="J11" s="2029"/>
      <c r="K11" s="2028"/>
      <c r="L11" s="2028"/>
      <c r="M11" s="2028"/>
      <c r="N11" s="2028"/>
      <c r="O11" s="2028"/>
      <c r="P11" s="2028"/>
      <c r="Q11" s="2028"/>
      <c r="R11" s="2028"/>
      <c r="S11" s="2028"/>
      <c r="T11" s="2028"/>
      <c r="U11" s="2028"/>
      <c r="V11" s="2028"/>
    </row>
    <row r="12" spans="1:22" ht="14.25">
      <c r="A12" s="3285" t="s">
        <v>312</v>
      </c>
      <c r="B12" s="3311">
        <v>15</v>
      </c>
      <c r="C12" s="3309"/>
      <c r="D12" s="3313"/>
      <c r="E12" s="261" t="s">
        <v>313</v>
      </c>
      <c r="F12" s="262"/>
      <c r="G12" s="262"/>
      <c r="H12" s="262"/>
      <c r="I12" s="263"/>
      <c r="J12" s="2029"/>
      <c r="K12" s="2028"/>
      <c r="L12" s="2028"/>
      <c r="M12" s="2028"/>
      <c r="N12" s="2028"/>
      <c r="O12" s="2028"/>
      <c r="P12" s="2028"/>
      <c r="Q12" s="2028"/>
      <c r="R12" s="2028"/>
      <c r="S12" s="2028"/>
      <c r="T12" s="2028"/>
      <c r="U12" s="2028"/>
      <c r="V12" s="2028"/>
    </row>
    <row r="13" spans="1:22" ht="14.25">
      <c r="A13" s="3285"/>
      <c r="B13" s="3311"/>
      <c r="C13" s="3310"/>
      <c r="D13" s="3313"/>
      <c r="E13" s="261" t="s">
        <v>314</v>
      </c>
      <c r="F13" s="262"/>
      <c r="G13" s="262"/>
      <c r="H13" s="262"/>
      <c r="I13" s="263"/>
      <c r="J13" s="2029"/>
      <c r="K13" s="2028"/>
      <c r="L13" s="2028"/>
      <c r="M13" s="2028"/>
      <c r="N13" s="2028"/>
      <c r="O13" s="2028"/>
      <c r="P13" s="2028"/>
      <c r="Q13" s="2028"/>
      <c r="R13" s="2028"/>
      <c r="S13" s="2028"/>
      <c r="T13" s="2028"/>
      <c r="U13" s="2028"/>
      <c r="V13" s="2028"/>
    </row>
    <row r="14" spans="1:22" ht="14.25">
      <c r="A14" s="3285" t="s">
        <v>315</v>
      </c>
      <c r="B14" s="3311">
        <v>30</v>
      </c>
      <c r="C14" s="3309">
        <v>5</v>
      </c>
      <c r="D14" s="3313">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285"/>
      <c r="B15" s="3311"/>
      <c r="C15" s="3312"/>
      <c r="D15" s="3313"/>
      <c r="E15" s="261" t="s">
        <v>317</v>
      </c>
      <c r="F15" s="262"/>
      <c r="G15" s="262"/>
      <c r="H15" s="262"/>
      <c r="I15" s="263"/>
      <c r="J15" s="2029"/>
      <c r="K15" s="2028"/>
      <c r="L15" s="2028"/>
      <c r="M15" s="2028"/>
      <c r="N15" s="2028"/>
      <c r="O15" s="2028"/>
      <c r="P15" s="2028"/>
      <c r="Q15" s="2028"/>
      <c r="R15" s="2028"/>
      <c r="S15" s="2028"/>
      <c r="T15" s="2028"/>
      <c r="U15" s="2028"/>
      <c r="V15" s="2028"/>
    </row>
    <row r="16" spans="1:22" ht="14.25">
      <c r="A16" s="3285"/>
      <c r="B16" s="3311"/>
      <c r="C16" s="3310"/>
      <c r="D16" s="3313"/>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7708</v>
      </c>
      <c r="D19" s="271">
        <f ca="1">SUMIF(INDIRECT("'"&amp;D4&amp;"'"&amp;"!A:A"),结果表!B19,INDIRECT("'"&amp;D4&amp;"'"&amp;"!B:B"))</f>
        <v>20461</v>
      </c>
      <c r="E19" s="268" t="s">
        <v>323</v>
      </c>
      <c r="F19" s="269" t="s">
        <v>322</v>
      </c>
      <c r="G19" s="272">
        <f ca="1">ROUND(C19*$C$18+D19*$D$18,0)</f>
        <v>14085</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518</v>
      </c>
      <c r="D20" s="277">
        <f ca="1">SUMIF(INDIRECT("'"&amp;D4&amp;"'"&amp;"!A:A"),结果表!B20,INDIRECT("'"&amp;D4&amp;"'"&amp;"!B:B"))</f>
        <v>1374</v>
      </c>
      <c r="E20" s="274"/>
      <c r="F20" s="275" t="s">
        <v>325</v>
      </c>
      <c r="G20" s="278">
        <f ca="1">ROUND(C20*$C$18+D20*$D$18,0)</f>
        <v>946</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1553</v>
      </c>
      <c r="D21" s="151">
        <f ca="1">SUMIF(INDIRECT("'"&amp;D4&amp;"'"&amp;"!A:A"),结果表!B21,INDIRECT("'"&amp;D4&amp;"'"&amp;"!B:B"))</f>
        <v>4122</v>
      </c>
      <c r="E21" s="274"/>
      <c r="F21" s="280" t="s">
        <v>327</v>
      </c>
      <c r="G21" s="282">
        <f ca="1">ROUND(C21*$C$18+D21*$D$18,0)</f>
        <v>2838</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1.6545147898287493</v>
      </c>
      <c r="E22" s="284"/>
      <c r="F22" s="285"/>
      <c r="G22" s="286">
        <f ca="1">ROUND(G19/('数据-汇总表'!D3/666.67),0)</f>
        <v>189</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291"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292"/>
      <c r="B25" s="1321" t="s">
        <v>331</v>
      </c>
      <c r="C25" s="290">
        <f>IF(B30=0,0,C30)</f>
        <v>0</v>
      </c>
      <c r="D25" s="291"/>
      <c r="E25" s="311"/>
      <c r="F25" s="311"/>
      <c r="G25" s="311"/>
      <c r="H25" s="311"/>
      <c r="I25" s="311"/>
      <c r="J25" s="2028"/>
      <c r="K25" s="1255" t="str">
        <f ca="1">项目基本情况!B16&amp;"国有建设用地使用权价格："&amp;O38&amp;"万元"</f>
        <v>出让国有建设用地使用权价格：14085万元</v>
      </c>
      <c r="L25" s="1256"/>
      <c r="M25" s="1256"/>
      <c r="N25" s="1256"/>
      <c r="O25" s="1257"/>
      <c r="P25" s="2028"/>
      <c r="Q25" s="2028"/>
      <c r="R25" s="2028"/>
      <c r="S25" s="2028"/>
      <c r="T25" s="2028"/>
      <c r="U25" s="2028"/>
      <c r="V25" s="2028"/>
    </row>
    <row r="26" spans="1:26" s="1254" customFormat="1" ht="18">
      <c r="A26" s="293" t="s">
        <v>332</v>
      </c>
      <c r="B26" s="294" t="s">
        <v>333</v>
      </c>
      <c r="C26" s="294" t="s">
        <v>334</v>
      </c>
      <c r="D26" s="295" t="s">
        <v>335</v>
      </c>
      <c r="E26" s="311"/>
      <c r="F26" s="311"/>
      <c r="G26" s="311"/>
      <c r="H26" s="311"/>
      <c r="I26" s="311"/>
      <c r="J26" s="2028"/>
      <c r="K26" s="1258" t="str">
        <f ca="1">"大写金额：人民币"&amp;NUMBERSTRING(INT(O38*10000),2)&amp;"元整"</f>
        <v>大写金额：人民币壹亿肆仟零捌拾伍万元整</v>
      </c>
      <c r="L26" s="1252"/>
      <c r="M26" s="1252"/>
      <c r="N26" s="1252"/>
      <c r="O26" s="1251"/>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8" t="str">
        <f ca="1">"单位面积地价："&amp;M38&amp;"元/平方米"</f>
        <v>单位面积地价：2838元/平方米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楼面地价：946元/平方米</v>
      </c>
      <c r="L28" s="1252"/>
      <c r="M28" s="1252"/>
      <c r="N28" s="1252"/>
      <c r="O28" s="1251"/>
      <c r="P28" s="2028"/>
      <c r="V28" s="2028"/>
    </row>
    <row r="29" spans="1:26" ht="18">
      <c r="A29" s="293"/>
      <c r="B29" s="294"/>
      <c r="C29" s="294"/>
      <c r="D29" s="295"/>
      <c r="E29" s="311"/>
      <c r="F29" s="311"/>
      <c r="G29" s="311"/>
      <c r="H29" s="311"/>
      <c r="I29" s="311"/>
      <c r="J29" s="2028"/>
      <c r="K29" s="1258" t="str">
        <f>IF(OR(项目基本情况!E8="抵押价格",项目基本情况!E8="已注销及未注销"),"抵押价格："&amp;O39&amp;"万元","——")</f>
        <v>——</v>
      </c>
      <c r="L29" s="1252"/>
      <c r="M29" s="1252"/>
      <c r="N29" s="1252"/>
      <c r="O29" s="1251"/>
      <c r="P29" s="2028"/>
      <c r="V29" s="2028"/>
    </row>
    <row r="30" spans="1:26" ht="18.75" thickBot="1">
      <c r="A30" s="3128" t="s">
        <v>336</v>
      </c>
      <c r="B30" s="309"/>
      <c r="C30" s="309"/>
      <c r="D30" s="310"/>
      <c r="E30" s="3129" t="s">
        <v>2970</v>
      </c>
      <c r="F30" s="311"/>
      <c r="G30" s="311"/>
      <c r="H30" s="311"/>
      <c r="I30" s="311"/>
      <c r="J30" s="2028"/>
      <c r="K30" s="1258" t="str">
        <f>IF(K29="——","——","大写金额：人民币"&amp;NUMBERSTRING(INT(O39*10000),2)&amp;"元整")</f>
        <v>——</v>
      </c>
      <c r="L30" s="1252"/>
      <c r="M30" s="1252"/>
      <c r="N30" s="1252"/>
      <c r="O30" s="1251"/>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抵押担保权已注销时的抵押价格：——万元</v>
      </c>
      <c r="L31" s="2464"/>
      <c r="M31" s="2464"/>
      <c r="N31" s="2464"/>
      <c r="O31" s="2465"/>
      <c r="P31" s="2028"/>
      <c r="V31" s="2028"/>
    </row>
    <row r="32" spans="1:26" ht="18.75" thickBot="1">
      <c r="A32" s="268" t="s">
        <v>337</v>
      </c>
      <c r="B32" s="1382" t="s">
        <v>1689</v>
      </c>
      <c r="C32" s="1383">
        <f ca="1">G19-C24</f>
        <v>14085</v>
      </c>
      <c r="D32" s="1384" t="s">
        <v>1690</v>
      </c>
      <c r="E32" s="311"/>
      <c r="F32" s="311"/>
      <c r="G32" s="311"/>
      <c r="H32" s="311"/>
      <c r="I32" s="311"/>
      <c r="J32" s="2028"/>
      <c r="K32" s="2463" t="e">
        <f>IF(K31="——","——","大写金额：人民币"&amp;NUMBERSTRING(INT(O40*10000),2)&amp;"元整")</f>
        <v>#VALUE!</v>
      </c>
      <c r="L32" s="2466"/>
      <c r="M32" s="2466"/>
      <c r="N32" s="2466"/>
      <c r="O32" s="2467"/>
      <c r="P32" s="2028"/>
      <c r="V32" s="2028"/>
    </row>
    <row r="33" spans="1:26" ht="18.75" thickBot="1">
      <c r="A33" s="298" t="s">
        <v>340</v>
      </c>
      <c r="B33" s="1385" t="s">
        <v>1691</v>
      </c>
      <c r="C33" s="264">
        <f ca="1">ROUND(C32*10000/'数据-汇总表'!E3,0)</f>
        <v>946</v>
      </c>
      <c r="D33" s="1386" t="s">
        <v>1692</v>
      </c>
      <c r="E33" s="3291" t="s">
        <v>338</v>
      </c>
      <c r="F33" s="296" t="s">
        <v>339</v>
      </c>
      <c r="G33" s="297"/>
      <c r="H33" s="980"/>
      <c r="I33" s="1259"/>
      <c r="J33" s="2028"/>
      <c r="K33" s="1258" t="str">
        <f>IF(项目基本情况!E9="——","——","抵押净值："&amp;C46&amp;"万元")</f>
        <v>抵押净值：——万元</v>
      </c>
      <c r="L33" s="1252"/>
      <c r="M33" s="1252"/>
      <c r="N33" s="1252"/>
      <c r="O33" s="1251"/>
      <c r="P33" s="2028"/>
      <c r="V33" s="2028"/>
    </row>
    <row r="34" spans="1:26" s="1254" customFormat="1" ht="18.75" thickBot="1">
      <c r="A34" s="300"/>
      <c r="B34" s="1387" t="s">
        <v>1693</v>
      </c>
      <c r="C34" s="264">
        <f ca="1">ROUND(C32*10000/'数据-汇总表'!D3,0)</f>
        <v>2838</v>
      </c>
      <c r="D34" s="1388" t="s">
        <v>1692</v>
      </c>
      <c r="E34" s="3332"/>
      <c r="F34" s="127" t="s">
        <v>341</v>
      </c>
      <c r="G34" s="299"/>
      <c r="H34" s="105"/>
      <c r="I34" s="311"/>
      <c r="J34" s="2028"/>
      <c r="K34" s="1261" t="e">
        <f>IF(K33="——","——","大写金额：人民币"&amp;NUMBERSTRING(INT(O41*10000),2)&amp;"元整")</f>
        <v>#VALUE!</v>
      </c>
      <c r="L34" s="1262"/>
      <c r="M34" s="1262"/>
      <c r="N34" s="1262"/>
      <c r="O34" s="1263"/>
      <c r="P34" s="2028"/>
      <c r="Q34" s="292"/>
      <c r="R34" s="292"/>
      <c r="S34" s="292"/>
      <c r="T34" s="292"/>
      <c r="U34" s="292"/>
      <c r="V34" s="2028"/>
      <c r="W34" s="292"/>
      <c r="X34" s="292"/>
      <c r="Y34" s="292"/>
      <c r="Z34" s="292"/>
    </row>
    <row r="35" spans="1:26" ht="15.75" thickBot="1">
      <c r="A35" s="284"/>
      <c r="B35" s="1389"/>
      <c r="C35" s="1390">
        <f ca="1">ROUND(C32/('数据-汇总表'!D3/666.67),0)</f>
        <v>189</v>
      </c>
      <c r="D35" s="1391" t="s">
        <v>1694</v>
      </c>
      <c r="E35" s="3333"/>
      <c r="F35" s="301" t="s">
        <v>342</v>
      </c>
      <c r="G35" s="982"/>
      <c r="H35" s="981" t="s">
        <v>343</v>
      </c>
      <c r="I35" s="311"/>
      <c r="J35" s="2028"/>
      <c r="K35" s="3306" t="s">
        <v>350</v>
      </c>
      <c r="L35" s="3306" t="s">
        <v>351</v>
      </c>
      <c r="M35" s="1264" t="s">
        <v>352</v>
      </c>
      <c r="N35" s="3306" t="s">
        <v>353</v>
      </c>
      <c r="O35" s="3306" t="s">
        <v>354</v>
      </c>
      <c r="P35" s="2028"/>
      <c r="V35" s="2028"/>
    </row>
    <row r="36" spans="1:26" ht="16.5" customHeight="1">
      <c r="A36" s="303" t="s">
        <v>344</v>
      </c>
      <c r="B36" s="304" t="s">
        <v>333</v>
      </c>
      <c r="C36" s="305" t="s">
        <v>345</v>
      </c>
      <c r="D36" s="305" t="s">
        <v>346</v>
      </c>
      <c r="E36" s="306" t="s">
        <v>347</v>
      </c>
      <c r="F36" s="311"/>
      <c r="G36" s="311"/>
      <c r="H36" s="311"/>
      <c r="I36" s="311"/>
      <c r="J36" s="2030"/>
      <c r="K36" s="3307"/>
      <c r="L36" s="3307"/>
      <c r="M36" s="1266" t="s">
        <v>355</v>
      </c>
      <c r="N36" s="3307"/>
      <c r="O36" s="3307"/>
      <c r="P36" s="2028"/>
      <c r="V36" s="2028"/>
    </row>
    <row r="37" spans="1:26" ht="16.5" customHeight="1" thickBot="1">
      <c r="A37" s="1260" t="s">
        <v>348</v>
      </c>
      <c r="B37" s="307"/>
      <c r="C37" s="294"/>
      <c r="D37" s="294"/>
      <c r="E37" s="295"/>
      <c r="F37" s="311"/>
      <c r="G37" s="311"/>
      <c r="H37" s="311"/>
      <c r="I37" s="311"/>
      <c r="J37" s="2030"/>
      <c r="K37" s="3308"/>
      <c r="L37" s="3308"/>
      <c r="M37" s="1267"/>
      <c r="N37" s="3308"/>
      <c r="O37" s="3308"/>
      <c r="P37" s="2028"/>
      <c r="V37" s="2028"/>
    </row>
    <row r="38" spans="1:26" ht="16.5" customHeight="1" thickBot="1">
      <c r="A38" s="1260" t="s">
        <v>349</v>
      </c>
      <c r="B38" s="307"/>
      <c r="C38" s="294"/>
      <c r="D38" s="294"/>
      <c r="E38" s="295"/>
      <c r="F38" s="311"/>
      <c r="G38" s="311"/>
      <c r="H38" s="311"/>
      <c r="I38" s="311"/>
      <c r="J38" s="2030"/>
      <c r="K38" s="1268">
        <f>'数据-汇总表'!D3</f>
        <v>49638.62</v>
      </c>
      <c r="L38" s="1269">
        <f>'数据-汇总表'!E3</f>
        <v>148915.86318846155</v>
      </c>
      <c r="M38" s="1269">
        <f ca="1">C34</f>
        <v>2838</v>
      </c>
      <c r="N38" s="1269">
        <f ca="1">C33</f>
        <v>946</v>
      </c>
      <c r="O38" s="1270">
        <f ca="1">C32</f>
        <v>14085</v>
      </c>
      <c r="P38" s="2028"/>
      <c r="V38" s="2028"/>
    </row>
    <row r="39" spans="1:26" ht="16.5" customHeight="1" thickBot="1">
      <c r="A39" s="1265"/>
      <c r="B39" s="308"/>
      <c r="C39" s="309"/>
      <c r="D39" s="309"/>
      <c r="E39" s="310"/>
      <c r="F39" s="311"/>
      <c r="G39" s="311"/>
      <c r="H39" s="311"/>
      <c r="I39" s="311"/>
      <c r="J39" s="2030"/>
      <c r="K39" s="3351" t="str">
        <f>MID(A44,3,LEN(A44)-2)</f>
        <v/>
      </c>
      <c r="L39" s="3352"/>
      <c r="M39" s="3352"/>
      <c r="N39" s="3353"/>
      <c r="O39" s="1393" t="str">
        <f>C44</f>
        <v>——</v>
      </c>
      <c r="P39" s="2028"/>
      <c r="V39" s="2028"/>
    </row>
    <row r="40" spans="1:26" ht="19.5" thickBot="1">
      <c r="A40" s="104" t="s">
        <v>873</v>
      </c>
      <c r="B40" s="311"/>
      <c r="C40" s="311"/>
      <c r="D40" s="311"/>
      <c r="E40" s="311"/>
      <c r="F40" s="311"/>
      <c r="G40" s="311"/>
      <c r="H40" s="311"/>
      <c r="I40" s="311"/>
      <c r="J40" s="2030"/>
      <c r="K40" s="3351" t="str">
        <f t="shared" ref="K40:K41" si="0">MID(A45,3,LEN(A45)-2)</f>
        <v/>
      </c>
      <c r="L40" s="3352"/>
      <c r="M40" s="3352"/>
      <c r="N40" s="3353"/>
      <c r="O40" s="1393" t="str">
        <f>C45</f>
        <v>——</v>
      </c>
      <c r="P40" s="2028"/>
      <c r="V40" s="2028"/>
    </row>
    <row r="41" spans="1:26" ht="16.5" thickBot="1">
      <c r="A41" s="312" t="s">
        <v>356</v>
      </c>
      <c r="B41" s="313"/>
      <c r="C41" s="314" t="s">
        <v>357</v>
      </c>
      <c r="D41" s="315" t="s">
        <v>358</v>
      </c>
      <c r="E41" s="315" t="s">
        <v>359</v>
      </c>
      <c r="F41" s="316" t="s">
        <v>360</v>
      </c>
      <c r="G41" s="311"/>
      <c r="H41" s="311"/>
      <c r="I41" s="311"/>
      <c r="J41" s="2030"/>
      <c r="K41" s="3351" t="str">
        <f t="shared" si="0"/>
        <v/>
      </c>
      <c r="L41" s="3352"/>
      <c r="M41" s="3352"/>
      <c r="N41" s="3353"/>
      <c r="O41" s="1393" t="str">
        <f>C46</f>
        <v>——</v>
      </c>
      <c r="P41" s="2028"/>
      <c r="V41" s="2028"/>
    </row>
    <row r="42" spans="1:26" ht="29.25">
      <c r="A42" s="3293" t="s">
        <v>2070</v>
      </c>
      <c r="B42" s="3294"/>
      <c r="C42" s="264">
        <f ca="1">C32</f>
        <v>14085</v>
      </c>
      <c r="D42" s="317">
        <f ca="1">C33</f>
        <v>946</v>
      </c>
      <c r="E42" s="317">
        <f ca="1">C34</f>
        <v>2838</v>
      </c>
      <c r="F42" s="318">
        <f ca="1">C35</f>
        <v>189</v>
      </c>
      <c r="G42" s="311"/>
      <c r="H42" s="311"/>
      <c r="I42" s="319"/>
      <c r="J42" s="2030"/>
      <c r="K42" s="1271" t="s">
        <v>361</v>
      </c>
      <c r="L42" s="2047" t="s">
        <v>362</v>
      </c>
      <c r="M42" s="1272" t="s">
        <v>363</v>
      </c>
      <c r="N42" s="2048" t="s">
        <v>364</v>
      </c>
      <c r="O42" s="2049" t="s">
        <v>365</v>
      </c>
      <c r="P42" s="2028"/>
      <c r="V42" s="2028"/>
    </row>
    <row r="43" spans="1:26" ht="30">
      <c r="A43" s="3304" t="s">
        <v>2733</v>
      </c>
      <c r="B43" s="3305"/>
      <c r="C43" s="264">
        <f>IF(H33="正常操作",G33+G34+G35,G34+G35)</f>
        <v>0</v>
      </c>
      <c r="D43" s="317" t="s">
        <v>43</v>
      </c>
      <c r="E43" s="317" t="s">
        <v>44</v>
      </c>
      <c r="F43" s="318" t="s">
        <v>44</v>
      </c>
      <c r="G43" s="2866" t="s">
        <v>952</v>
      </c>
      <c r="H43" s="311"/>
      <c r="I43" s="319"/>
      <c r="J43" s="2030"/>
      <c r="K43" s="1273" t="str">
        <f>C4</f>
        <v>比较法-住宅、综合</v>
      </c>
      <c r="L43" s="1274">
        <f ca="1">IF(L42="估价结果/万元",C19,C20)</f>
        <v>7708</v>
      </c>
      <c r="M43" s="1275">
        <f>C18</f>
        <v>0.5</v>
      </c>
      <c r="N43" s="1276">
        <f ca="1">IF(N42="测算结果/万元",G19,G20)</f>
        <v>14085</v>
      </c>
      <c r="O43" s="1277">
        <f ca="1">IF(O42="最终结果/万元",C32,C33)</f>
        <v>14085</v>
      </c>
      <c r="P43" s="2028"/>
      <c r="V43" s="2028"/>
    </row>
    <row r="44" spans="1:26" ht="30.75" thickBot="1">
      <c r="A44" s="3293" t="str">
        <f>IF(OR(项目基本情况!E8="抵押价格",项目基本情况!E8="已注销及未注销"),"3.抵押价格","——")</f>
        <v>——</v>
      </c>
      <c r="B44" s="3294"/>
      <c r="C44" s="264" t="str">
        <f>IF(A44="——","——",C42-C43)</f>
        <v>——</v>
      </c>
      <c r="D44" s="317" t="e">
        <f>ROUND(C44*10000/'数据-汇总表'!E3,0)</f>
        <v>#VALUE!</v>
      </c>
      <c r="E44" s="317" t="e">
        <f>ROUND(C44*10000/'数据-汇总表'!D3,0)</f>
        <v>#VALUE!</v>
      </c>
      <c r="F44" s="318" t="e">
        <f>ROUND(C44/('数据-汇总表'!D3/666.67),0)</f>
        <v>#VALUE!</v>
      </c>
      <c r="G44" s="311"/>
      <c r="H44" s="311"/>
      <c r="I44" s="319"/>
      <c r="J44" s="2030"/>
      <c r="K44" s="1278" t="str">
        <f>D4</f>
        <v>剩余法-待开发</v>
      </c>
      <c r="L44" s="1279">
        <f ca="1">IF(L42="估价结果/万元",D19,D20)</f>
        <v>20461</v>
      </c>
      <c r="M44" s="1280">
        <f>D18</f>
        <v>0.5</v>
      </c>
      <c r="N44" s="1281"/>
      <c r="O44" s="1282"/>
      <c r="P44" s="2028"/>
      <c r="V44" s="2028"/>
    </row>
    <row r="45" spans="1:26" ht="15">
      <c r="A45" s="3299" t="str">
        <f>IF(项目基本情况!E8="已注销及未注销","4.抵押担保权已注销时的抵押价格",IF(项目基本情况!E8="已注销","3.抵押担保权已注销时的抵押价格","——"))</f>
        <v>——</v>
      </c>
      <c r="B45" s="3300"/>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295" t="str">
        <f>IF(项目基本情况!E9="抵押净值",IF(A45="——","4.抵押净值","5.抵押净值"),"——")</f>
        <v>——</v>
      </c>
      <c r="B46" s="3296"/>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40" t="s">
        <v>374</v>
      </c>
      <c r="B63" s="3341"/>
      <c r="C63" s="3342"/>
      <c r="D63" s="341">
        <f ca="1">ROUND(C42*F63,0)</f>
        <v>8451</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301" t="s">
        <v>378</v>
      </c>
      <c r="B64" s="3302"/>
      <c r="C64" s="3302"/>
      <c r="D64" s="3302"/>
      <c r="E64" s="3302"/>
      <c r="F64" s="3302"/>
      <c r="G64" s="3303"/>
      <c r="H64" s="1288"/>
      <c r="I64" s="948"/>
      <c r="J64" s="1990"/>
      <c r="K64" s="1562"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297" t="s">
        <v>386</v>
      </c>
      <c r="B66" s="3298"/>
      <c r="C66" s="3298"/>
      <c r="D66" s="261">
        <f ca="1">IF(H66="情况1",0,IF(H66="情况2",D70,IF(H66="情况3",D71,IF(H66="情况4",D72))))</f>
        <v>451</v>
      </c>
      <c r="E66" s="993" t="str">
        <f>IF(H66="情况4","(销售额-原购置价)×税（费）率","销售额×税（费）率")</f>
        <v>销售额×税（费）率</v>
      </c>
      <c r="F66" s="350">
        <f>IF(H66="情况1","免征",'数据-取费表'!B41)</f>
        <v>5.6000000000000001E-2</v>
      </c>
      <c r="G66" s="351" t="s">
        <v>387</v>
      </c>
      <c r="H66" s="191" t="s">
        <v>388</v>
      </c>
      <c r="I66" s="1288"/>
      <c r="J66" s="2034"/>
      <c r="K66" s="1291">
        <v>1</v>
      </c>
      <c r="L66" s="3355" t="s">
        <v>385</v>
      </c>
      <c r="M66" s="3356"/>
      <c r="N66" s="2458"/>
      <c r="O66" s="2459"/>
      <c r="P66" s="2460"/>
      <c r="Q66" s="2028"/>
      <c r="R66" s="2028"/>
      <c r="S66" s="2028"/>
      <c r="T66" s="2028"/>
      <c r="U66" s="2028"/>
      <c r="V66" s="2028"/>
    </row>
    <row r="67" spans="1:22" ht="25.5" customHeight="1">
      <c r="A67" s="352" t="s">
        <v>390</v>
      </c>
      <c r="B67" s="3288" t="s">
        <v>391</v>
      </c>
      <c r="C67" s="3288"/>
      <c r="D67" s="353">
        <v>0</v>
      </c>
      <c r="E67" s="41" t="s">
        <v>392</v>
      </c>
      <c r="F67" s="62" t="s">
        <v>21</v>
      </c>
      <c r="G67" s="3343"/>
      <c r="H67" s="311"/>
      <c r="I67" s="1292"/>
      <c r="J67" s="2035"/>
      <c r="K67" s="1976">
        <v>2</v>
      </c>
      <c r="L67" s="3354" t="s">
        <v>389</v>
      </c>
      <c r="M67" s="3354"/>
      <c r="N67" s="1325">
        <f>'数据-取费表'!B2</f>
        <v>43361</v>
      </c>
      <c r="O67" s="1325"/>
      <c r="P67" s="1325"/>
      <c r="Q67" s="2028"/>
      <c r="R67" s="2028"/>
      <c r="S67" s="2028"/>
      <c r="T67" s="2028"/>
      <c r="U67" s="2028"/>
      <c r="V67" s="2028"/>
    </row>
    <row r="68" spans="1:22" ht="25.5" customHeight="1">
      <c r="A68" s="354"/>
      <c r="B68" s="3288" t="s">
        <v>394</v>
      </c>
      <c r="C68" s="3288"/>
      <c r="D68" s="355"/>
      <c r="E68" s="77"/>
      <c r="F68" s="356"/>
      <c r="G68" s="3344"/>
      <c r="H68" s="311"/>
      <c r="I68" s="1292"/>
      <c r="J68" s="2035"/>
      <c r="K68" s="1976">
        <v>3</v>
      </c>
      <c r="L68" s="3354" t="s">
        <v>393</v>
      </c>
      <c r="M68" s="3354"/>
      <c r="N68" s="1293">
        <f ca="1">C42</f>
        <v>14085</v>
      </c>
      <c r="O68" s="1293"/>
      <c r="P68" s="1293"/>
      <c r="Q68" s="2028"/>
      <c r="R68" s="2028"/>
      <c r="S68" s="2028"/>
      <c r="T68" s="2028"/>
      <c r="U68" s="2028"/>
      <c r="V68" s="2028"/>
    </row>
    <row r="69" spans="1:22" ht="12" customHeight="1">
      <c r="A69" s="357"/>
      <c r="B69" s="3288" t="s">
        <v>395</v>
      </c>
      <c r="C69" s="3288"/>
      <c r="D69" s="358"/>
      <c r="E69" s="73"/>
      <c r="F69" s="356"/>
      <c r="G69" s="3345"/>
      <c r="H69" s="311"/>
      <c r="I69" s="1292"/>
      <c r="J69" s="2035"/>
      <c r="K69" s="1294">
        <v>4</v>
      </c>
      <c r="L69" s="3359" t="s">
        <v>2886</v>
      </c>
      <c r="M69" s="3360"/>
      <c r="N69" s="1295" t="str">
        <f>C44</f>
        <v>——</v>
      </c>
      <c r="O69" s="1295"/>
      <c r="P69" s="1295"/>
      <c r="Q69" s="2028"/>
      <c r="R69" s="2028"/>
      <c r="S69" s="2028"/>
      <c r="T69" s="2028"/>
      <c r="U69" s="2028"/>
      <c r="V69" s="2028"/>
    </row>
    <row r="70" spans="1:22" ht="24" customHeight="1">
      <c r="A70" s="359" t="s">
        <v>396</v>
      </c>
      <c r="B70" s="3288" t="s">
        <v>397</v>
      </c>
      <c r="C70" s="3288"/>
      <c r="D70" s="358">
        <f ca="1">ROUND(D63*'数据-取费表'!B41/(1+'数据-取费表'!C42),0)</f>
        <v>451</v>
      </c>
      <c r="E70" s="17" t="s">
        <v>398</v>
      </c>
      <c r="F70" s="360">
        <f>'数据-取费表'!B41</f>
        <v>5.6000000000000001E-2</v>
      </c>
      <c r="G70" s="361"/>
      <c r="H70" s="311"/>
      <c r="I70" s="1292"/>
      <c r="J70" s="2035"/>
      <c r="K70" s="3061"/>
      <c r="L70" s="3062"/>
      <c r="M70" s="3062"/>
      <c r="N70" s="3063" t="s">
        <v>2891</v>
      </c>
      <c r="O70" s="3062"/>
      <c r="P70" s="3064"/>
      <c r="Q70" s="2028"/>
      <c r="R70" s="2028"/>
      <c r="S70" s="2028"/>
      <c r="T70" s="2028"/>
      <c r="U70" s="2028"/>
      <c r="V70" s="2028"/>
    </row>
    <row r="71" spans="1:22" ht="12" customHeight="1">
      <c r="A71" s="359" t="s">
        <v>404</v>
      </c>
      <c r="B71" s="3289" t="s">
        <v>405</v>
      </c>
      <c r="C71" s="3290"/>
      <c r="D71" s="358">
        <f ca="1">ROUND(D63*'数据-取费表'!B41/(1+'数据-取费表'!C42),0)</f>
        <v>451</v>
      </c>
      <c r="E71" s="17" t="s">
        <v>398</v>
      </c>
      <c r="F71" s="360">
        <f>'数据-取费表'!B41</f>
        <v>5.6000000000000001E-2</v>
      </c>
      <c r="G71" s="361"/>
      <c r="H71" s="311"/>
      <c r="I71" s="1292"/>
      <c r="J71" s="2035"/>
      <c r="K71" s="3060" t="s">
        <v>399</v>
      </c>
      <c r="L71" s="3361" t="s">
        <v>400</v>
      </c>
      <c r="M71" s="3361"/>
      <c r="N71" s="3060" t="s">
        <v>401</v>
      </c>
      <c r="O71" s="3060" t="s">
        <v>402</v>
      </c>
      <c r="P71" s="3060" t="s">
        <v>403</v>
      </c>
      <c r="Q71" s="2028"/>
      <c r="R71" s="2028"/>
      <c r="S71" s="2028"/>
      <c r="T71" s="2028"/>
      <c r="U71" s="2028"/>
      <c r="V71" s="2028"/>
    </row>
    <row r="72" spans="1:22" ht="12" customHeight="1">
      <c r="A72" s="359" t="s">
        <v>407</v>
      </c>
      <c r="B72" s="3289" t="s">
        <v>408</v>
      </c>
      <c r="C72" s="3290"/>
      <c r="D72" s="358">
        <f ca="1">C86</f>
        <v>339</v>
      </c>
      <c r="E72" s="73" t="s">
        <v>409</v>
      </c>
      <c r="F72" s="360">
        <f>'数据-取费表'!B41</f>
        <v>5.6000000000000001E-2</v>
      </c>
      <c r="G72" s="361"/>
      <c r="H72" s="1298"/>
      <c r="I72" s="1292"/>
      <c r="J72" s="2035"/>
      <c r="K72" s="1976">
        <v>1</v>
      </c>
      <c r="L72" s="3336" t="s">
        <v>406</v>
      </c>
      <c r="M72" s="3336"/>
      <c r="N72" s="1296">
        <f ca="1">D66</f>
        <v>451</v>
      </c>
      <c r="O72" s="1861" t="str">
        <f>E66</f>
        <v>销售额×税（费）率</v>
      </c>
      <c r="P72" s="1297">
        <f>F66</f>
        <v>5.6000000000000001E-2</v>
      </c>
      <c r="Q72" s="2028"/>
      <c r="R72" s="2028"/>
      <c r="S72" s="2028"/>
      <c r="T72" s="2028"/>
      <c r="U72" s="2028"/>
      <c r="V72" s="2028"/>
    </row>
    <row r="73" spans="1:22" ht="24" customHeight="1">
      <c r="A73" s="3330" t="s">
        <v>411</v>
      </c>
      <c r="B73" s="3298"/>
      <c r="C73" s="3298"/>
      <c r="D73" s="362">
        <f>IF(H73="个人住宅",0,ROUND(D63*I73,0))</f>
        <v>0</v>
      </c>
      <c r="E73" s="17" t="s">
        <v>412</v>
      </c>
      <c r="F73" s="360" t="str">
        <f>IF(H73="正常",I73,"免征")</f>
        <v>免征</v>
      </c>
      <c r="G73" s="361"/>
      <c r="H73" s="191" t="s">
        <v>2458</v>
      </c>
      <c r="I73" s="360">
        <f>'数据-取费表'!B49</f>
        <v>5.0000000000000001E-4</v>
      </c>
      <c r="J73" s="2035"/>
      <c r="K73" s="1976">
        <v>2</v>
      </c>
      <c r="L73" s="3336" t="s">
        <v>410</v>
      </c>
      <c r="M73" s="3336"/>
      <c r="N73" s="1296">
        <f t="shared" ref="N73:P74" si="1">D73</f>
        <v>0</v>
      </c>
      <c r="O73" s="1861" t="str">
        <f t="shared" si="1"/>
        <v>销售额×税（费）率</v>
      </c>
      <c r="P73" s="1297" t="str">
        <f t="shared" si="1"/>
        <v>免征</v>
      </c>
      <c r="Q73" s="2028"/>
      <c r="R73" s="2028"/>
      <c r="S73" s="2028"/>
      <c r="T73" s="2028"/>
      <c r="U73" s="2028"/>
      <c r="V73" s="2028"/>
    </row>
    <row r="74" spans="1:22" ht="24.75">
      <c r="A74" s="3330" t="s">
        <v>415</v>
      </c>
      <c r="B74" s="3298"/>
      <c r="C74" s="3298"/>
      <c r="D74" s="362">
        <f ca="1">IF(H74="个人住宅",D75,D76)</f>
        <v>4128</v>
      </c>
      <c r="E74" s="17" t="s">
        <v>416</v>
      </c>
      <c r="F74" s="360" t="str">
        <f>IF(H74="正常",F76,"免征")</f>
        <v>——</v>
      </c>
      <c r="G74" s="983" t="s">
        <v>417</v>
      </c>
      <c r="H74" s="363" t="s">
        <v>413</v>
      </c>
      <c r="I74" s="42"/>
      <c r="J74" s="2035"/>
      <c r="K74" s="1976">
        <v>3</v>
      </c>
      <c r="L74" s="3336" t="s">
        <v>414</v>
      </c>
      <c r="M74" s="3336"/>
      <c r="N74" s="1296">
        <f t="shared" ca="1" si="1"/>
        <v>4128</v>
      </c>
      <c r="O74" s="1861" t="str">
        <f t="shared" si="1"/>
        <v>增值额×税（费）率</v>
      </c>
      <c r="P74" s="1299" t="str">
        <f t="shared" si="1"/>
        <v>——</v>
      </c>
      <c r="Q74" s="2028"/>
      <c r="R74" s="2028"/>
      <c r="S74" s="2028"/>
      <c r="T74" s="2028"/>
      <c r="U74" s="2028"/>
      <c r="V74" s="2028"/>
    </row>
    <row r="75" spans="1:22" ht="24">
      <c r="A75" s="359" t="s">
        <v>418</v>
      </c>
      <c r="B75" s="3286" t="s">
        <v>419</v>
      </c>
      <c r="C75" s="3316"/>
      <c r="D75" s="364">
        <v>0</v>
      </c>
      <c r="E75" s="41" t="s">
        <v>420</v>
      </c>
      <c r="F75" s="365"/>
      <c r="G75" s="361"/>
      <c r="H75" s="42"/>
      <c r="I75" s="42"/>
      <c r="J75" s="2035"/>
      <c r="K75" s="3053">
        <f>IF(H77="非个人房产","",4)</f>
        <v>4</v>
      </c>
      <c r="L75" s="3336" t="str">
        <f>IF(H77="非个人房产","——","个人所得税")</f>
        <v>个人所得税</v>
      </c>
      <c r="M75" s="3336"/>
      <c r="N75" s="1300">
        <f ca="1">D77</f>
        <v>85</v>
      </c>
      <c r="O75" s="1874" t="str">
        <f>E77</f>
        <v>销售额×税（费）率</v>
      </c>
      <c r="P75" s="1301">
        <f>F77</f>
        <v>0.01</v>
      </c>
      <c r="Q75" s="2028"/>
      <c r="R75" s="2028"/>
      <c r="S75" s="2028"/>
      <c r="T75" s="2028"/>
      <c r="U75" s="2028"/>
      <c r="V75" s="2028"/>
    </row>
    <row r="76" spans="1:22" ht="24.75">
      <c r="A76" s="359" t="s">
        <v>396</v>
      </c>
      <c r="B76" s="3286" t="s">
        <v>422</v>
      </c>
      <c r="C76" s="3287"/>
      <c r="D76" s="362">
        <f ca="1">IF(H76="转让取得",C99,C115)</f>
        <v>4128</v>
      </c>
      <c r="E76" s="17" t="s">
        <v>423</v>
      </c>
      <c r="F76" s="53" t="s">
        <v>21</v>
      </c>
      <c r="G76" s="361"/>
      <c r="H76" s="363" t="s">
        <v>424</v>
      </c>
      <c r="I76" s="42"/>
      <c r="J76" s="2035"/>
      <c r="K76" s="3053" t="str">
        <f>IF(项目基本情况!K6="上海银行",IF(K75="",4,K75+1),"")</f>
        <v/>
      </c>
      <c r="L76" s="3347" t="str">
        <f>IF(项目基本情况!K6="上海银行","其他处置费用","")</f>
        <v/>
      </c>
      <c r="M76" s="3348"/>
      <c r="N76" s="1296" t="str">
        <f>IF(项目基本情况!K6="上海银行",N89,"")</f>
        <v/>
      </c>
      <c r="O76" s="3349" t="str">
        <f>IF(项目基本情况!K6="上海银行","包含处置中涉及的律师、诉讼、拍卖、评估等费用","")</f>
        <v/>
      </c>
      <c r="P76" s="3350"/>
      <c r="Q76" s="2028"/>
      <c r="R76" s="2028"/>
      <c r="S76" s="2028"/>
      <c r="T76" s="2028"/>
      <c r="U76" s="2028"/>
      <c r="V76" s="2028"/>
    </row>
    <row r="77" spans="1:22" ht="26.25" thickBot="1">
      <c r="A77" s="3338" t="s">
        <v>426</v>
      </c>
      <c r="B77" s="3339"/>
      <c r="C77" s="3339"/>
      <c r="D77" s="366">
        <f ca="1">IF(H77="非个人房产","——",IF(H77="个人住宅",0,ROUND(D63*I77,0)))</f>
        <v>85</v>
      </c>
      <c r="E77" s="367" t="str">
        <f>IF(H77="非个人房产","——","销售额×税（费）率")</f>
        <v>销售额×税（费）率</v>
      </c>
      <c r="F77" s="368">
        <f>IF(H77="非个人房产","——",IF(H77="个人住宅","免征",I77))</f>
        <v>0.01</v>
      </c>
      <c r="G77" s="984" t="s">
        <v>417</v>
      </c>
      <c r="H77" s="363" t="s">
        <v>2887</v>
      </c>
      <c r="I77" s="369">
        <v>0.01</v>
      </c>
      <c r="J77" s="2035"/>
      <c r="K77" s="3337">
        <f>IF(AND(K75="",K76=""),4,IF(项目基本情况!K6="上海银行",K76+1,K75+1))</f>
        <v>5</v>
      </c>
      <c r="L77" s="3336" t="s">
        <v>2888</v>
      </c>
      <c r="M77" s="3059" t="s">
        <v>421</v>
      </c>
      <c r="N77" s="1302"/>
      <c r="O77" s="1303">
        <f ca="1">SUMIF(N72:N76,"&lt;9e307")</f>
        <v>4664</v>
      </c>
      <c r="P77" s="1304"/>
      <c r="Q77" s="3057" t="e">
        <f ca="1">O77/N69</f>
        <v>#VALUE!</v>
      </c>
      <c r="R77" s="2028"/>
      <c r="S77" s="2028"/>
      <c r="T77" s="2028"/>
      <c r="U77" s="2028"/>
      <c r="V77" s="2028"/>
    </row>
    <row r="78" spans="1:22" ht="12" customHeight="1">
      <c r="A78" s="1305"/>
      <c r="B78" s="311"/>
      <c r="C78" s="311"/>
      <c r="D78" s="311"/>
      <c r="E78" s="42"/>
      <c r="F78" s="42"/>
      <c r="G78" s="42"/>
      <c r="H78" s="1003"/>
      <c r="I78" s="311"/>
      <c r="J78" s="2035"/>
      <c r="K78" s="3337"/>
      <c r="L78" s="3336"/>
      <c r="M78" s="3059" t="s">
        <v>425</v>
      </c>
      <c r="N78" s="1302"/>
      <c r="O78" s="1303" t="str">
        <f ca="1">NUMBERSTRING(INT(O77*10000),2)&amp;"元整"</f>
        <v>肆仟陆佰陆拾肆万元整</v>
      </c>
      <c r="P78" s="1304"/>
      <c r="Q78" s="2028"/>
      <c r="R78" s="2028"/>
      <c r="S78" s="2028"/>
      <c r="T78" s="2028"/>
      <c r="U78" s="2028"/>
      <c r="V78" s="2028"/>
    </row>
    <row r="79" spans="1:22" ht="13.5" thickBot="1">
      <c r="A79" s="3331" t="s">
        <v>427</v>
      </c>
      <c r="B79" s="3331"/>
      <c r="C79" s="3331"/>
      <c r="D79" s="3331"/>
      <c r="E79" s="3331"/>
      <c r="F79" s="42"/>
      <c r="G79" s="42"/>
      <c r="H79" s="1003"/>
      <c r="I79" s="311"/>
      <c r="J79" s="2035"/>
      <c r="K79" s="3357">
        <f>K77+1</f>
        <v>6</v>
      </c>
      <c r="L79" s="3336" t="s">
        <v>2889</v>
      </c>
      <c r="M79" s="3059" t="s">
        <v>421</v>
      </c>
      <c r="N79" s="1302"/>
      <c r="O79" s="1303" t="e">
        <f ca="1">N69-O77</f>
        <v>#VALUE!</v>
      </c>
      <c r="P79" s="1304"/>
      <c r="Q79" s="2028"/>
      <c r="R79" s="2028"/>
      <c r="S79" s="2028"/>
      <c r="T79" s="2028"/>
      <c r="U79" s="2028"/>
      <c r="V79" s="2028"/>
    </row>
    <row r="80" spans="1:22" ht="12.75">
      <c r="A80" s="3326" t="s">
        <v>428</v>
      </c>
      <c r="B80" s="3327"/>
      <c r="C80" s="994"/>
      <c r="D80" s="994" t="s">
        <v>429</v>
      </c>
      <c r="E80" s="370" t="s">
        <v>430</v>
      </c>
      <c r="F80" s="42"/>
      <c r="G80" s="42"/>
      <c r="H80" s="1003"/>
      <c r="I80" s="311"/>
      <c r="J80" s="2028"/>
      <c r="K80" s="3358"/>
      <c r="L80" s="3336"/>
      <c r="M80" s="3059" t="s">
        <v>425</v>
      </c>
      <c r="N80" s="1302"/>
      <c r="O80" s="1303" t="e">
        <f ca="1">NUMBERSTRING(INT(O79*10000),2)&amp;"元整"</f>
        <v>#VALUE!</v>
      </c>
      <c r="P80" s="1304"/>
      <c r="Q80" s="2028"/>
      <c r="R80" s="2028"/>
      <c r="S80" s="2028"/>
      <c r="T80" s="2028"/>
      <c r="U80" s="2028"/>
      <c r="V80" s="2028"/>
    </row>
    <row r="81" spans="1:26" ht="13.5" thickBot="1">
      <c r="A81" s="381" t="s">
        <v>1824</v>
      </c>
      <c r="B81" s="371" t="s">
        <v>431</v>
      </c>
      <c r="C81" s="372">
        <f ca="1">ROUND((C82+C83)/(1+'数据-取费表'!C42),0)</f>
        <v>8049</v>
      </c>
      <c r="D81" s="373"/>
      <c r="E81" s="374"/>
      <c r="F81" s="42"/>
      <c r="G81" s="42"/>
      <c r="H81" s="1003"/>
      <c r="I81" s="311"/>
      <c r="J81" s="2028"/>
      <c r="K81" s="3053">
        <f>K79+1</f>
        <v>7</v>
      </c>
      <c r="L81" s="3334" t="s">
        <v>2890</v>
      </c>
      <c r="M81" s="3335"/>
      <c r="N81" s="1306"/>
      <c r="O81" s="1307" t="e">
        <f ca="1">ROUND(O79*10000/'数据-汇总表'!E3,0)</f>
        <v>#VALUE!</v>
      </c>
      <c r="P81" s="1308"/>
      <c r="Q81" s="2028"/>
      <c r="R81" s="2028"/>
      <c r="S81" s="2028"/>
      <c r="T81" s="2028"/>
      <c r="U81" s="2028"/>
      <c r="V81" s="2028"/>
    </row>
    <row r="82" spans="1:26" ht="13.5" thickTop="1">
      <c r="A82" s="375" t="s">
        <v>1825</v>
      </c>
      <c r="B82" s="376" t="s">
        <v>432</v>
      </c>
      <c r="C82" s="377">
        <f ca="1">D63</f>
        <v>8451</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3"/>
      <c r="I83" s="311"/>
      <c r="J83" s="2028"/>
      <c r="K83" s="3346" t="s">
        <v>2877</v>
      </c>
      <c r="L83" s="3065" t="s">
        <v>2878</v>
      </c>
      <c r="M83" s="3055" t="e">
        <f>IF(N69&gt;10000,N69*0.5%,IF(AND(N69&gt;1000,N69&lt;=10000),N69*1%,IF(AND(N69&gt;100,N69&lt;=1000),N69*3%,IF(AND(N69&gt;10,N69&lt;=100),N69*5%,N69*8%))))</f>
        <v>#VALUE!</v>
      </c>
      <c r="N83" s="53" t="e">
        <f>ROUND(M83,1)</f>
        <v>#VALUE!</v>
      </c>
      <c r="O83" s="3058"/>
      <c r="P83" s="2028"/>
      <c r="Q83" s="2028"/>
      <c r="R83" s="2028"/>
      <c r="S83" s="2028"/>
      <c r="T83" s="2028"/>
      <c r="U83" s="2028"/>
      <c r="V83" s="2028"/>
    </row>
    <row r="84" spans="1:26" ht="12.75">
      <c r="A84" s="381" t="s">
        <v>1827</v>
      </c>
      <c r="B84" s="382" t="s">
        <v>434</v>
      </c>
      <c r="C84" s="383">
        <v>2000</v>
      </c>
      <c r="D84" s="384" t="s">
        <v>19</v>
      </c>
      <c r="E84" s="3099" t="s">
        <v>2942</v>
      </c>
      <c r="F84" s="42"/>
      <c r="G84" s="42"/>
      <c r="H84" s="1003"/>
      <c r="I84" s="311"/>
      <c r="J84" s="2028"/>
      <c r="K84" s="3346"/>
      <c r="L84" s="3065" t="s">
        <v>2879</v>
      </c>
      <c r="M84" s="305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8" t="s">
        <v>2880</v>
      </c>
      <c r="P84" s="2028"/>
      <c r="Q84" s="2028"/>
      <c r="R84" s="2028"/>
      <c r="S84" s="2028"/>
      <c r="T84" s="2028"/>
      <c r="U84" s="2028"/>
      <c r="V84" s="2028"/>
    </row>
    <row r="85" spans="1:26" ht="12.75">
      <c r="A85" s="381" t="s">
        <v>1828</v>
      </c>
      <c r="B85" s="382" t="s">
        <v>435</v>
      </c>
      <c r="C85" s="385">
        <f ca="1">C81-C84</f>
        <v>6049</v>
      </c>
      <c r="D85" s="378" t="s">
        <v>19</v>
      </c>
      <c r="E85" s="379"/>
      <c r="F85" s="42"/>
      <c r="G85" s="42"/>
      <c r="H85" s="1003"/>
      <c r="I85" s="311"/>
      <c r="J85" s="2028"/>
      <c r="K85" s="3346"/>
      <c r="L85" s="3065" t="s">
        <v>2881</v>
      </c>
      <c r="M85" s="3055" t="e">
        <f>IF(N69&gt;1000,N69*0.1%,IF(AND(N69&gt;500,N69&lt;=1000),N69*0.5%,IF(AND(N69&gt;50,N69&lt;=500),N69*1%,IF(AND(N69&gt;1,N69&lt;=50),N69*1.5%))))</f>
        <v>#VALUE!</v>
      </c>
      <c r="N85" s="53" t="e">
        <f t="shared" si="2"/>
        <v>#VALUE!</v>
      </c>
      <c r="O85" s="2028" t="s">
        <v>2880</v>
      </c>
      <c r="P85" s="2028"/>
      <c r="Q85" s="2028"/>
      <c r="R85" s="2028"/>
      <c r="S85" s="2028"/>
      <c r="T85" s="2028"/>
      <c r="U85" s="2028"/>
      <c r="V85" s="2028"/>
    </row>
    <row r="86" spans="1:26" ht="13.5" thickBot="1">
      <c r="A86" s="386" t="s">
        <v>1829</v>
      </c>
      <c r="B86" s="387" t="s">
        <v>436</v>
      </c>
      <c r="C86" s="388">
        <f ca="1">IF(C85&lt;=0,0,ROUND(C85*D86,0))</f>
        <v>339</v>
      </c>
      <c r="D86" s="389">
        <f>'数据-取费表'!B41</f>
        <v>5.6000000000000001E-2</v>
      </c>
      <c r="E86" s="390"/>
      <c r="F86" s="42"/>
      <c r="G86" s="42"/>
      <c r="H86" s="1003"/>
      <c r="I86" s="311"/>
      <c r="J86" s="2028"/>
      <c r="K86" s="3346"/>
      <c r="L86" s="3065" t="s">
        <v>2882</v>
      </c>
      <c r="M86" s="3055" t="e">
        <f>N69*0.5%</f>
        <v>#VALUE!</v>
      </c>
      <c r="N86" s="53" t="e">
        <f>IF(M86&gt;0.5,0.5,ROUND(M86,0))</f>
        <v>#VALUE!</v>
      </c>
      <c r="O86" s="2028" t="s">
        <v>2883</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346"/>
      <c r="L87" s="3065" t="s">
        <v>2884</v>
      </c>
      <c r="M87" s="305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8"/>
      <c r="P87" s="311"/>
      <c r="Q87" s="2028"/>
      <c r="R87" s="2028"/>
      <c r="S87" s="2028"/>
      <c r="T87" s="2028"/>
      <c r="U87" s="2028"/>
      <c r="V87" s="2028"/>
      <c r="W87" s="292"/>
      <c r="X87" s="292"/>
      <c r="Y87" s="292"/>
      <c r="Z87" s="292"/>
    </row>
    <row r="88" spans="1:26" s="1314" customFormat="1" ht="15" thickBot="1">
      <c r="A88" s="3328" t="s">
        <v>437</v>
      </c>
      <c r="B88" s="3329"/>
      <c r="C88" s="3329"/>
      <c r="D88" s="3329"/>
      <c r="E88" s="3329"/>
      <c r="F88" s="3329"/>
      <c r="G88" s="3329"/>
      <c r="H88" s="3329"/>
      <c r="I88" s="1315"/>
      <c r="J88" s="2036"/>
      <c r="K88" s="3346"/>
      <c r="L88" s="3065" t="s">
        <v>2885</v>
      </c>
      <c r="M88" s="3055" t="e">
        <f>IF(N69&gt;10000,N69*0.5%,IF(AND(N69&gt;5000,N69&lt;=10000),N69*1%,IF(AND(N69&gt;1000,N69&lt;=5000),N69*2%,IF(AND(N69&gt;200,N69&lt;=1000),N69*3%,N69*5%))))</f>
        <v>#VALUE!</v>
      </c>
      <c r="N88" s="53" t="e">
        <f>ROUND(M88,1)</f>
        <v>#VALUE!</v>
      </c>
      <c r="O88" s="3058"/>
      <c r="P88" s="11"/>
      <c r="Q88" s="2033"/>
      <c r="R88" s="2033"/>
      <c r="S88" s="2033"/>
      <c r="T88" s="2033"/>
      <c r="U88" s="2033"/>
      <c r="V88" s="2033"/>
      <c r="W88" s="2037"/>
      <c r="X88" s="2037"/>
      <c r="Y88" s="2037"/>
      <c r="Z88" s="2037"/>
    </row>
    <row r="89" spans="1:26" s="1314" customFormat="1" ht="14.25">
      <c r="A89" s="3326" t="s">
        <v>428</v>
      </c>
      <c r="B89" s="3327"/>
      <c r="C89" s="994"/>
      <c r="D89" s="994" t="s">
        <v>429</v>
      </c>
      <c r="E89" s="391" t="s">
        <v>438</v>
      </c>
      <c r="F89" s="392"/>
      <c r="G89" s="392"/>
      <c r="H89" s="393"/>
      <c r="I89" s="1316"/>
      <c r="J89" s="2038"/>
      <c r="K89" s="3346"/>
      <c r="L89" s="3065" t="s">
        <v>27</v>
      </c>
      <c r="M89" s="3056"/>
      <c r="N89" s="53" t="e">
        <f>ROUND(SUM(N83:N88),0)</f>
        <v>#VALUE!</v>
      </c>
      <c r="O89" s="3066" t="e">
        <f>N89/N69</f>
        <v>#VALUE!</v>
      </c>
      <c r="P89" s="2033"/>
      <c r="Q89" s="2033"/>
      <c r="R89" s="2033"/>
      <c r="S89" s="2033"/>
      <c r="T89" s="2033"/>
      <c r="U89" s="2033"/>
      <c r="V89" s="2033"/>
      <c r="W89" s="2037"/>
      <c r="X89" s="2037"/>
      <c r="Y89" s="2037"/>
      <c r="Z89" s="2037"/>
    </row>
    <row r="90" spans="1:26" s="1314" customFormat="1" ht="14.25">
      <c r="A90" s="381" t="s">
        <v>1824</v>
      </c>
      <c r="B90" s="382" t="s">
        <v>439</v>
      </c>
      <c r="C90" s="385">
        <f ca="1">ROUND(D63/(1+'数据-取费表'!C42),0)</f>
        <v>8049</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1830</v>
      </c>
      <c r="B91" s="348" t="s">
        <v>440</v>
      </c>
      <c r="C91" s="385">
        <f ca="1">C92+C96</f>
        <v>2609</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289" t="s">
        <v>447</v>
      </c>
      <c r="F94" s="3288"/>
      <c r="G94" s="3288"/>
      <c r="H94" s="3325"/>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48</v>
      </c>
      <c r="D96" s="406">
        <f>'数据-取费表'!B43</f>
        <v>6.000000000000001E-3</v>
      </c>
      <c r="E96" s="3317" t="s">
        <v>2431</v>
      </c>
      <c r="F96" s="3318"/>
      <c r="G96" s="3318"/>
      <c r="H96" s="3319"/>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8" t="s">
        <v>1836</v>
      </c>
      <c r="B97" s="382" t="s">
        <v>451</v>
      </c>
      <c r="C97" s="385">
        <f ca="1">C90-C91</f>
        <v>5440</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8" t="s">
        <v>1837</v>
      </c>
      <c r="B98" s="382" t="s">
        <v>452</v>
      </c>
      <c r="C98" s="407">
        <f ca="1">IF(C97&lt;=0,0,C97/C91)</f>
        <v>2.0850900728248369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9" t="s">
        <v>1838</v>
      </c>
      <c r="B99" s="387" t="s">
        <v>453</v>
      </c>
      <c r="C99" s="408">
        <f ca="1">ROUND(IF(C97&lt;=0,0,IF(C98&gt;=200%,C97*60%-C91*35%,IF(C98&gt;=100%,C97*50%-C91*15%,IF(C98&gt;=50%,C97*40%-C91*5%,IF(C98&lt;50%,C97*30%,0))))),0)</f>
        <v>2351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28" t="s">
        <v>454</v>
      </c>
      <c r="B101" s="3329"/>
      <c r="C101" s="3329"/>
      <c r="D101" s="3329"/>
      <c r="E101" s="3329"/>
      <c r="F101" s="3329"/>
      <c r="G101" s="3329"/>
      <c r="H101" s="3329"/>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26" t="s">
        <v>428</v>
      </c>
      <c r="B102" s="3327"/>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1824</v>
      </c>
      <c r="B103" s="382" t="s">
        <v>439</v>
      </c>
      <c r="C103" s="385">
        <f ca="1">ROUND(D63/(1+'数据-取费表'!C42),0)</f>
        <v>8049</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1830</v>
      </c>
      <c r="B104" s="348" t="s">
        <v>440</v>
      </c>
      <c r="C104" s="385">
        <f ca="1">IF(H106="仅含出让金",C105+C108+C109+C110+C111+C112,C105+C109+C110+C111+C112)</f>
        <v>738</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1831</v>
      </c>
      <c r="B105" s="376" t="s">
        <v>455</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1832</v>
      </c>
      <c r="B106" s="376" t="s">
        <v>456</v>
      </c>
      <c r="C106" s="416">
        <v>555</v>
      </c>
      <c r="D106" s="406"/>
      <c r="E106" s="417" t="s">
        <v>457</v>
      </c>
      <c r="F106" s="986"/>
      <c r="G106" s="418" t="s">
        <v>458</v>
      </c>
      <c r="H106" s="419" t="s">
        <v>2442</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20" t="s">
        <v>1839</v>
      </c>
      <c r="B109" s="376" t="s">
        <v>461</v>
      </c>
      <c r="C109" s="405">
        <f>IF(H109="——",IF(F1="现房",'剩余法-现房'!C18,'剩余法-待开发'!C18),I109)</f>
        <v>55</v>
      </c>
      <c r="D109" s="406"/>
      <c r="E109" s="3320" t="s">
        <v>462</v>
      </c>
      <c r="F109" s="3318"/>
      <c r="G109" s="3318"/>
      <c r="H109" s="1943" t="s">
        <v>2282</v>
      </c>
      <c r="I109" s="1944">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20" t="s">
        <v>1840</v>
      </c>
      <c r="B110" s="376" t="s">
        <v>463</v>
      </c>
      <c r="C110" s="405">
        <f>ROUND((C105+C108+C109)*D110,0)</f>
        <v>63</v>
      </c>
      <c r="D110" s="406">
        <v>0.1</v>
      </c>
      <c r="E110" s="3320" t="s">
        <v>464</v>
      </c>
      <c r="F110" s="3318"/>
      <c r="G110" s="3318"/>
      <c r="H110" s="3319"/>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20" t="s">
        <v>1841</v>
      </c>
      <c r="B111" s="376" t="s">
        <v>450</v>
      </c>
      <c r="C111" s="405">
        <f ca="1">ROUND(D63*D111/(1+'数据-取费表'!C42),0)</f>
        <v>48</v>
      </c>
      <c r="D111" s="406">
        <f>'数据-取费表'!B43</f>
        <v>6.000000000000001E-3</v>
      </c>
      <c r="E111" s="3317" t="s">
        <v>2431</v>
      </c>
      <c r="F111" s="3318"/>
      <c r="G111" s="3318"/>
      <c r="H111" s="3319"/>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20" t="s">
        <v>1842</v>
      </c>
      <c r="B112" s="376" t="s">
        <v>465</v>
      </c>
      <c r="C112" s="405">
        <f>ROUND(C108*D112,0)</f>
        <v>0</v>
      </c>
      <c r="D112" s="406">
        <v>0.2</v>
      </c>
      <c r="E112" s="3320" t="s">
        <v>2456</v>
      </c>
      <c r="F112" s="3318"/>
      <c r="G112" s="3318"/>
      <c r="H112" s="3319"/>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8" t="s">
        <v>1836</v>
      </c>
      <c r="B113" s="382" t="s">
        <v>451</v>
      </c>
      <c r="C113" s="385">
        <f ca="1">ROUND(C103-C104,0)</f>
        <v>7311</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8" t="s">
        <v>1837</v>
      </c>
      <c r="B114" s="382" t="s">
        <v>452</v>
      </c>
      <c r="C114" s="407">
        <f ca="1">IF(C113&lt;=0,0,C113/C104)</f>
        <v>9.9065040650406502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9" t="s">
        <v>1838</v>
      </c>
      <c r="B115" s="387" t="s">
        <v>453</v>
      </c>
      <c r="C115" s="408">
        <f ca="1">ROUND(IF(C113&lt;=0,0,IF(C114&gt;=200%,C113*60%-C104*35%,IF(C114&gt;=100%,C113*50%-C104*15%,IF(C114&gt;=50%,C113*40%-C104*5%,IF(C114&lt;50%,C113*30%,0))))),0)</f>
        <v>4128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E7" sqref="E7:F7"/>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7708</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518</v>
      </c>
      <c r="C3" s="2061"/>
      <c r="D3" s="2570"/>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1553</v>
      </c>
      <c r="C4" s="2061"/>
      <c r="D4" s="2570"/>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104</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5"/>
      <c r="AC5" s="428"/>
    </row>
    <row r="6" spans="1:30" ht="20.25">
      <c r="A6" s="512" t="s">
        <v>521</v>
      </c>
      <c r="B6" s="513"/>
      <c r="C6" s="3371" t="s">
        <v>522</v>
      </c>
      <c r="D6" s="3372"/>
      <c r="E6" s="3371" t="s">
        <v>523</v>
      </c>
      <c r="F6" s="3372"/>
      <c r="G6" s="3371" t="s">
        <v>524</v>
      </c>
      <c r="H6" s="3372"/>
      <c r="I6" s="3371" t="s">
        <v>525</v>
      </c>
      <c r="J6" s="3372"/>
      <c r="K6" s="514" t="s">
        <v>526</v>
      </c>
      <c r="L6" s="2133"/>
      <c r="M6" s="2132"/>
      <c r="N6" s="2132"/>
      <c r="O6" s="2134"/>
      <c r="P6" s="3373" t="s">
        <v>527</v>
      </c>
      <c r="Q6" s="3374"/>
      <c r="R6" s="3379" t="s">
        <v>523</v>
      </c>
      <c r="S6" s="3380"/>
      <c r="T6" s="3379" t="s">
        <v>524</v>
      </c>
      <c r="U6" s="3380"/>
      <c r="V6" s="3366" t="s">
        <v>525</v>
      </c>
      <c r="W6" s="3366"/>
      <c r="X6" s="1568"/>
      <c r="Y6" s="3379" t="s">
        <v>527</v>
      </c>
      <c r="Z6" s="3380"/>
      <c r="AA6" s="3368" t="s">
        <v>523</v>
      </c>
      <c r="AB6" s="3369" t="s">
        <v>524</v>
      </c>
      <c r="AC6" s="3368" t="s">
        <v>525</v>
      </c>
    </row>
    <row r="7" spans="1:30" ht="20.25">
      <c r="A7" s="515"/>
      <c r="B7" s="516"/>
      <c r="C7" s="3387" t="s">
        <v>3141</v>
      </c>
      <c r="D7" s="3388"/>
      <c r="E7" s="3387" t="s">
        <v>3186</v>
      </c>
      <c r="F7" s="3388"/>
      <c r="G7" s="3387" t="s">
        <v>3140</v>
      </c>
      <c r="H7" s="3388"/>
      <c r="I7" s="3387" t="s">
        <v>3140</v>
      </c>
      <c r="J7" s="3388"/>
      <c r="K7" s="514"/>
      <c r="L7" s="2133"/>
      <c r="M7" s="2132"/>
      <c r="N7" s="2132"/>
      <c r="O7" s="2134"/>
      <c r="P7" s="3375"/>
      <c r="Q7" s="3376"/>
      <c r="R7" s="3381"/>
      <c r="S7" s="3382"/>
      <c r="T7" s="3381"/>
      <c r="U7" s="3382"/>
      <c r="V7" s="3366"/>
      <c r="W7" s="3366"/>
      <c r="X7" s="1568"/>
      <c r="Y7" s="3381"/>
      <c r="Z7" s="3382"/>
      <c r="AA7" s="3369"/>
      <c r="AB7" s="3369"/>
      <c r="AC7" s="3369"/>
    </row>
    <row r="8" spans="1:30" ht="21" thickBot="1">
      <c r="A8" s="515"/>
      <c r="B8" s="516"/>
      <c r="C8" s="3389" t="s">
        <v>2934</v>
      </c>
      <c r="D8" s="3390"/>
      <c r="E8" s="3389" t="s">
        <v>2934</v>
      </c>
      <c r="F8" s="3390"/>
      <c r="G8" s="3385" t="s">
        <v>2934</v>
      </c>
      <c r="H8" s="3386"/>
      <c r="I8" s="3385" t="s">
        <v>2934</v>
      </c>
      <c r="J8" s="3386"/>
      <c r="K8" s="514" t="s">
        <v>528</v>
      </c>
      <c r="L8" s="2133"/>
      <c r="M8" s="2132"/>
      <c r="N8" s="2132"/>
      <c r="O8" s="2134"/>
      <c r="P8" s="3377"/>
      <c r="Q8" s="3378"/>
      <c r="R8" s="3381"/>
      <c r="S8" s="3382"/>
      <c r="T8" s="3383"/>
      <c r="U8" s="3384"/>
      <c r="V8" s="3366"/>
      <c r="W8" s="3366"/>
      <c r="X8" s="1568"/>
      <c r="Y8" s="3383"/>
      <c r="Z8" s="3384"/>
      <c r="AA8" s="3370"/>
      <c r="AB8" s="3370"/>
      <c r="AC8" s="3370"/>
    </row>
    <row r="9" spans="1:30" s="1220" customFormat="1" ht="21" thickBot="1">
      <c r="A9" s="2912"/>
      <c r="B9" s="2919" t="s">
        <v>529</v>
      </c>
      <c r="C9" s="2911">
        <f>'数据-取费表'!B2</f>
        <v>43361</v>
      </c>
      <c r="D9" s="520">
        <v>100</v>
      </c>
      <c r="E9" s="521" t="str">
        <f>Sheet1!H5</f>
        <v>2018-08-31</v>
      </c>
      <c r="F9" s="522">
        <f>SUMIF(72:72,YEAR(E9)&amp;"-"&amp;INT((MONTH(E9)+2)/3),73:73)</f>
        <v>100</v>
      </c>
      <c r="G9" s="523" t="str">
        <f>Sheet1!H7</f>
        <v>2018-07-20</v>
      </c>
      <c r="H9" s="520">
        <f>SUMIF(72:72,YEAR(G9)&amp;"-"&amp;INT((MONTH(G9)+2)/3),73:73)</f>
        <v>100</v>
      </c>
      <c r="I9" s="523" t="str">
        <f>Sheet1!H22</f>
        <v>2018-03-14</v>
      </c>
      <c r="J9" s="520">
        <f>SUMIF(72:72,YEAR(I9)&amp;"-"&amp;INT((MONTH(I9)+2)/3),73:73)</f>
        <v>98</v>
      </c>
      <c r="K9" s="524"/>
      <c r="L9" s="2135"/>
      <c r="M9" s="2132"/>
      <c r="N9" s="2132"/>
      <c r="O9" s="2136"/>
      <c r="P9" s="3396" t="s">
        <v>530</v>
      </c>
      <c r="Q9" s="3398"/>
      <c r="R9" s="1569" t="s">
        <v>8</v>
      </c>
      <c r="S9" s="1570">
        <f t="shared" ref="S9:S17" si="0">F9</f>
        <v>100</v>
      </c>
      <c r="T9" s="1569" t="s">
        <v>8</v>
      </c>
      <c r="U9" s="1570">
        <f t="shared" ref="U9:U17" si="1">H9</f>
        <v>100</v>
      </c>
      <c r="V9" s="1569" t="s">
        <v>8</v>
      </c>
      <c r="W9" s="1570">
        <f t="shared" ref="W9:W17" si="2">J9</f>
        <v>98</v>
      </c>
      <c r="X9" s="1571"/>
      <c r="Y9" s="3396" t="s">
        <v>530</v>
      </c>
      <c r="Z9" s="3397"/>
      <c r="AA9" s="1572">
        <f>D9/F9</f>
        <v>1</v>
      </c>
      <c r="AB9" s="1572">
        <f>D9/H9</f>
        <v>1</v>
      </c>
      <c r="AC9" s="1572">
        <f>D9/J9</f>
        <v>1.0204081632653061</v>
      </c>
    </row>
    <row r="10" spans="1:30" s="1220" customFormat="1" ht="21" thickBot="1">
      <c r="A10" s="2913"/>
      <c r="B10" s="2920"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5"/>
      <c r="M10" s="2132"/>
      <c r="N10" s="2132"/>
      <c r="O10" s="2136"/>
      <c r="P10" s="3396" t="s">
        <v>533</v>
      </c>
      <c r="Q10" s="3397"/>
      <c r="R10" s="1569" t="s">
        <v>8</v>
      </c>
      <c r="S10" s="1570">
        <f t="shared" si="0"/>
        <v>100</v>
      </c>
      <c r="T10" s="1569" t="s">
        <v>8</v>
      </c>
      <c r="U10" s="1570">
        <f t="shared" si="1"/>
        <v>100</v>
      </c>
      <c r="V10" s="1569" t="s">
        <v>8</v>
      </c>
      <c r="W10" s="1570">
        <f t="shared" si="2"/>
        <v>100</v>
      </c>
      <c r="X10" s="1571"/>
      <c r="Y10" s="3396" t="s">
        <v>533</v>
      </c>
      <c r="Z10" s="3397"/>
      <c r="AA10" s="1572">
        <f t="shared" ref="AA10:AA47" si="3">D10/F10</f>
        <v>1</v>
      </c>
      <c r="AB10" s="1572">
        <f t="shared" ref="AB10:AB47" si="4">D10/H10</f>
        <v>1</v>
      </c>
      <c r="AC10" s="1572">
        <f t="shared" ref="AC10:AC47" si="5">D10/J10</f>
        <v>1</v>
      </c>
    </row>
    <row r="11" spans="1:30" s="1220" customFormat="1" ht="20.25">
      <c r="A11" s="2914"/>
      <c r="B11" s="2921" t="s">
        <v>2759</v>
      </c>
      <c r="C11" s="2908"/>
      <c r="D11" s="254">
        <v>100</v>
      </c>
      <c r="E11" s="526"/>
      <c r="F11" s="254">
        <f>SUMIF(77:77,E11,78:78)-SUMIF(77:77,C11,78:78)+100</f>
        <v>100</v>
      </c>
      <c r="G11" s="526"/>
      <c r="H11" s="254">
        <f>SUMIF(77:77,G11,78:78)-SUMIF(77:77,C11,78:78)+100</f>
        <v>100</v>
      </c>
      <c r="I11" s="526"/>
      <c r="J11" s="254">
        <f>SUMIF(77:77,I11,78:78)-SUMIF(77:77,C11,78:78)+100</f>
        <v>100</v>
      </c>
      <c r="K11" s="524"/>
      <c r="L11" s="2135"/>
      <c r="M11" s="2132"/>
      <c r="N11" s="2132"/>
      <c r="O11" s="2137"/>
      <c r="P11" s="3365" t="s">
        <v>535</v>
      </c>
      <c r="Q11" s="1151" t="str">
        <f t="shared" ref="Q11:Q17" si="6">B11</f>
        <v>用途</v>
      </c>
      <c r="R11" s="1569" t="s">
        <v>8</v>
      </c>
      <c r="S11" s="1570">
        <f t="shared" si="0"/>
        <v>100</v>
      </c>
      <c r="T11" s="1569" t="s">
        <v>8</v>
      </c>
      <c r="U11" s="1570">
        <f t="shared" si="1"/>
        <v>100</v>
      </c>
      <c r="V11" s="1569" t="s">
        <v>8</v>
      </c>
      <c r="W11" s="1570">
        <f t="shared" si="2"/>
        <v>100</v>
      </c>
      <c r="X11" s="1571"/>
      <c r="Y11" s="3311" t="s">
        <v>536</v>
      </c>
      <c r="Z11" s="1150" t="str">
        <f t="shared" ref="Z11:Z17" si="7">Q11</f>
        <v>用途</v>
      </c>
      <c r="AA11" s="1572">
        <f t="shared" si="3"/>
        <v>1</v>
      </c>
      <c r="AB11" s="1572">
        <f t="shared" si="4"/>
        <v>1</v>
      </c>
      <c r="AC11" s="1572">
        <f t="shared" si="5"/>
        <v>1</v>
      </c>
    </row>
    <row r="12" spans="1:30" s="1338" customFormat="1" ht="27">
      <c r="A12" s="2915"/>
      <c r="B12" s="2920" t="s">
        <v>2760</v>
      </c>
      <c r="C12" s="910"/>
      <c r="D12" s="255">
        <v>100</v>
      </c>
      <c r="E12" s="529"/>
      <c r="F12" s="255">
        <f>ROUND(100/'数据-取费表'!G16,0)</f>
        <v>101</v>
      </c>
      <c r="G12" s="530"/>
      <c r="H12" s="255">
        <f>ROUND(100/'数据-取费表'!G16,0)</f>
        <v>101</v>
      </c>
      <c r="I12" s="530"/>
      <c r="J12" s="255">
        <f>ROUND(100/'数据-取费表'!G16,0)</f>
        <v>101</v>
      </c>
      <c r="K12" s="531"/>
      <c r="L12" s="2138"/>
      <c r="M12" s="2132"/>
      <c r="N12" s="2132"/>
      <c r="O12" s="2139"/>
      <c r="P12" s="3365"/>
      <c r="Q12" s="1151" t="str">
        <f t="shared" si="6"/>
        <v>土地使用年限（年）</v>
      </c>
      <c r="R12" s="1569" t="s">
        <v>8</v>
      </c>
      <c r="S12" s="1570">
        <f t="shared" si="0"/>
        <v>101</v>
      </c>
      <c r="T12" s="1569" t="s">
        <v>8</v>
      </c>
      <c r="U12" s="1570">
        <f t="shared" si="1"/>
        <v>101</v>
      </c>
      <c r="V12" s="1569" t="s">
        <v>8</v>
      </c>
      <c r="W12" s="1570">
        <f t="shared" si="2"/>
        <v>101</v>
      </c>
      <c r="X12" s="1571"/>
      <c r="Y12" s="3311"/>
      <c r="Z12" s="1150" t="str">
        <f t="shared" si="7"/>
        <v>土地使用年限（年）</v>
      </c>
      <c r="AA12" s="1572">
        <f t="shared" si="3"/>
        <v>0.99009900990099009</v>
      </c>
      <c r="AB12" s="1572">
        <f t="shared" si="4"/>
        <v>0.99009900990099009</v>
      </c>
      <c r="AC12" s="1572">
        <f t="shared" si="5"/>
        <v>0.99009900990099009</v>
      </c>
    </row>
    <row r="13" spans="1:30" ht="20.25">
      <c r="A13" s="2916"/>
      <c r="B13" s="2920" t="s">
        <v>2761</v>
      </c>
      <c r="C13" s="534">
        <v>3</v>
      </c>
      <c r="D13" s="255">
        <v>100</v>
      </c>
      <c r="E13" s="533">
        <v>2.9</v>
      </c>
      <c r="F13" s="255">
        <f>LOOKUP(E13,82:82,83:83)-LOOKUP(C13,82:82,83:83)+100</f>
        <v>105</v>
      </c>
      <c r="G13" s="534">
        <v>2.4</v>
      </c>
      <c r="H13" s="255">
        <f>LOOKUP(G13,82:82,83:83)-LOOKUP(C13,82:82,83:83)+100</f>
        <v>105</v>
      </c>
      <c r="I13" s="533">
        <v>1.9</v>
      </c>
      <c r="J13" s="255">
        <f>LOOKUP(I13,82:82,83:83)-LOOKUP(C13,82:82,83:83)+100</f>
        <v>110</v>
      </c>
      <c r="K13" s="535">
        <v>5</v>
      </c>
      <c r="L13" s="2140"/>
      <c r="M13" s="2132"/>
      <c r="N13" s="2132"/>
      <c r="O13" s="2141"/>
      <c r="P13" s="3365"/>
      <c r="Q13" s="1151" t="str">
        <f t="shared" si="6"/>
        <v>容积率</v>
      </c>
      <c r="R13" s="1569" t="s">
        <v>8</v>
      </c>
      <c r="S13" s="1570">
        <f t="shared" si="0"/>
        <v>105</v>
      </c>
      <c r="T13" s="1569" t="s">
        <v>8</v>
      </c>
      <c r="U13" s="1570">
        <f t="shared" si="1"/>
        <v>105</v>
      </c>
      <c r="V13" s="1569" t="s">
        <v>8</v>
      </c>
      <c r="W13" s="1570">
        <f t="shared" si="2"/>
        <v>110</v>
      </c>
      <c r="X13" s="1571"/>
      <c r="Y13" s="3311"/>
      <c r="Z13" s="1150" t="str">
        <f t="shared" si="7"/>
        <v>容积率</v>
      </c>
      <c r="AA13" s="1572">
        <f t="shared" si="3"/>
        <v>0.95238095238095233</v>
      </c>
      <c r="AB13" s="1572">
        <f t="shared" si="4"/>
        <v>0.95238095238095233</v>
      </c>
      <c r="AC13" s="1572">
        <f t="shared" si="5"/>
        <v>0.90909090909090906</v>
      </c>
    </row>
    <row r="14" spans="1:30" s="1220" customFormat="1" ht="20.25">
      <c r="A14" s="2913"/>
      <c r="B14" s="2922" t="s">
        <v>2762</v>
      </c>
      <c r="C14" s="2909"/>
      <c r="D14" s="538">
        <v>100</v>
      </c>
      <c r="E14" s="1375"/>
      <c r="F14" s="255">
        <f>SUMIF(84:84,E14,85:85)-SUMIF(84:84,C14,85:85)+100</f>
        <v>100</v>
      </c>
      <c r="G14" s="530"/>
      <c r="H14" s="255">
        <f>SUMIF(84:84,G14,85:85)-SUMIF(84:84,C14,85:85)+100</f>
        <v>100</v>
      </c>
      <c r="I14" s="529"/>
      <c r="J14" s="255">
        <f>SUMIF(84:84,I14,85:85)-SUMIF(84:84,C14,85:85)+100</f>
        <v>100</v>
      </c>
      <c r="K14" s="531"/>
      <c r="L14" s="2135"/>
      <c r="M14" s="2132"/>
      <c r="N14" s="2132"/>
      <c r="O14" s="2137"/>
      <c r="P14" s="3365"/>
      <c r="Q14" s="1151" t="str">
        <f t="shared" si="6"/>
        <v>配建</v>
      </c>
      <c r="R14" s="1569" t="s">
        <v>8</v>
      </c>
      <c r="S14" s="1570">
        <f t="shared" si="0"/>
        <v>100</v>
      </c>
      <c r="T14" s="1569" t="s">
        <v>8</v>
      </c>
      <c r="U14" s="1570">
        <f t="shared" si="1"/>
        <v>100</v>
      </c>
      <c r="V14" s="1569" t="s">
        <v>8</v>
      </c>
      <c r="W14" s="1570">
        <f t="shared" si="2"/>
        <v>100</v>
      </c>
      <c r="X14" s="1571"/>
      <c r="Y14" s="3311"/>
      <c r="Z14" s="1150" t="str">
        <f t="shared" si="7"/>
        <v>配建</v>
      </c>
      <c r="AA14" s="1572">
        <f>D14/F14</f>
        <v>1</v>
      </c>
      <c r="AB14" s="1572">
        <f>D14/H14</f>
        <v>1</v>
      </c>
      <c r="AC14" s="1572">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65"/>
      <c r="Q15" s="1151">
        <f t="shared" si="6"/>
        <v>111</v>
      </c>
      <c r="R15" s="1569" t="s">
        <v>8</v>
      </c>
      <c r="S15" s="1570">
        <f t="shared" si="0"/>
        <v>100</v>
      </c>
      <c r="T15" s="1569" t="s">
        <v>8</v>
      </c>
      <c r="U15" s="1570">
        <f t="shared" si="1"/>
        <v>100</v>
      </c>
      <c r="V15" s="1569" t="s">
        <v>8</v>
      </c>
      <c r="W15" s="1570">
        <f t="shared" si="2"/>
        <v>100</v>
      </c>
      <c r="X15" s="1571"/>
      <c r="Y15" s="3311"/>
      <c r="Z15" s="1150">
        <f t="shared" si="7"/>
        <v>111</v>
      </c>
      <c r="AA15" s="1572">
        <f>D15/F15</f>
        <v>1</v>
      </c>
      <c r="AB15" s="1572">
        <f>D15/H15</f>
        <v>1</v>
      </c>
      <c r="AC15" s="1572">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65"/>
      <c r="Q16" s="1151">
        <f t="shared" si="6"/>
        <v>111</v>
      </c>
      <c r="R16" s="1569" t="s">
        <v>8</v>
      </c>
      <c r="S16" s="1570">
        <f t="shared" si="0"/>
        <v>100</v>
      </c>
      <c r="T16" s="1569" t="s">
        <v>8</v>
      </c>
      <c r="U16" s="1570">
        <f t="shared" si="1"/>
        <v>100</v>
      </c>
      <c r="V16" s="1569" t="s">
        <v>8</v>
      </c>
      <c r="W16" s="1570">
        <f t="shared" si="2"/>
        <v>100</v>
      </c>
      <c r="X16" s="1571"/>
      <c r="Y16" s="3311"/>
      <c r="Z16" s="1150">
        <f t="shared" si="7"/>
        <v>111</v>
      </c>
      <c r="AA16" s="1572">
        <f>D16/F16</f>
        <v>1</v>
      </c>
      <c r="AB16" s="1572">
        <f>D16/H16</f>
        <v>1</v>
      </c>
      <c r="AC16" s="1572">
        <f>D16/J16</f>
        <v>1</v>
      </c>
    </row>
    <row r="17" spans="1:29" ht="99.75">
      <c r="A17" s="2910" t="s">
        <v>2757</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2"/>
      <c r="M17" s="2132"/>
      <c r="N17" s="2132"/>
      <c r="O17" s="2141"/>
      <c r="P17" s="3399" t="s">
        <v>540</v>
      </c>
      <c r="Q17" s="1573" t="str">
        <f t="shared" si="6"/>
        <v>居住社区成熟度</v>
      </c>
      <c r="R17" s="1574" t="s">
        <v>8</v>
      </c>
      <c r="S17" s="1575">
        <f t="shared" si="0"/>
        <v>100</v>
      </c>
      <c r="T17" s="1574" t="s">
        <v>8</v>
      </c>
      <c r="U17" s="1575">
        <f t="shared" si="1"/>
        <v>100</v>
      </c>
      <c r="V17" s="1574" t="s">
        <v>8</v>
      </c>
      <c r="W17" s="1575">
        <f t="shared" si="2"/>
        <v>100</v>
      </c>
      <c r="X17" s="1568"/>
      <c r="Y17" s="3399" t="s">
        <v>540</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2"/>
      <c r="M18" s="2132"/>
      <c r="N18" s="2132"/>
      <c r="O18" s="2141"/>
      <c r="P18" s="3400"/>
      <c r="Q18" s="1573"/>
      <c r="R18" s="1574"/>
      <c r="S18" s="1575"/>
      <c r="T18" s="1574"/>
      <c r="U18" s="1575"/>
      <c r="V18" s="1574"/>
      <c r="W18" s="1575"/>
      <c r="X18" s="1568"/>
      <c r="Y18" s="3400"/>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2"/>
      <c r="M19" s="2132"/>
      <c r="N19" s="2132"/>
      <c r="O19" s="2141"/>
      <c r="P19" s="3400"/>
      <c r="Q19" s="1573" t="str">
        <f>B19</f>
        <v>商业繁华度</v>
      </c>
      <c r="R19" s="1574" t="s">
        <v>8</v>
      </c>
      <c r="S19" s="1575">
        <f>F19</f>
        <v>100</v>
      </c>
      <c r="T19" s="1574" t="s">
        <v>8</v>
      </c>
      <c r="U19" s="1575">
        <f>H19</f>
        <v>100</v>
      </c>
      <c r="V19" s="1574" t="s">
        <v>8</v>
      </c>
      <c r="W19" s="1575">
        <f>J19</f>
        <v>100</v>
      </c>
      <c r="X19" s="1568"/>
      <c r="Y19" s="3400"/>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2"/>
      <c r="M20" s="2132"/>
      <c r="N20" s="2132"/>
      <c r="O20" s="2141"/>
      <c r="P20" s="3400"/>
      <c r="Q20" s="1573"/>
      <c r="R20" s="1574"/>
      <c r="S20" s="1575"/>
      <c r="T20" s="1574"/>
      <c r="U20" s="1575"/>
      <c r="V20" s="1574"/>
      <c r="W20" s="1575"/>
      <c r="X20" s="1568"/>
      <c r="Y20" s="3400"/>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400"/>
      <c r="Q21" s="1573" t="str">
        <f>B21</f>
        <v>办公集聚程度</v>
      </c>
      <c r="R21" s="1574" t="s">
        <v>8</v>
      </c>
      <c r="S21" s="1575">
        <f>F21</f>
        <v>100</v>
      </c>
      <c r="T21" s="1574" t="s">
        <v>8</v>
      </c>
      <c r="U21" s="1575">
        <f>H21</f>
        <v>100</v>
      </c>
      <c r="V21" s="1574" t="s">
        <v>8</v>
      </c>
      <c r="W21" s="1575">
        <f>J21</f>
        <v>100</v>
      </c>
      <c r="X21" s="1568"/>
      <c r="Y21" s="3400"/>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2"/>
      <c r="M22" s="2132"/>
      <c r="N22" s="2132"/>
      <c r="O22" s="2141"/>
      <c r="P22" s="3400"/>
      <c r="Q22" s="1573"/>
      <c r="R22" s="1574"/>
      <c r="S22" s="1575"/>
      <c r="T22" s="1574"/>
      <c r="U22" s="1575"/>
      <c r="V22" s="1574"/>
      <c r="W22" s="1575"/>
      <c r="X22" s="1568"/>
      <c r="Y22" s="3400"/>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2"/>
      <c r="M23" s="2132"/>
      <c r="N23" s="2132"/>
      <c r="O23" s="2141"/>
      <c r="P23" s="3400"/>
      <c r="Q23" s="1573" t="str">
        <f>B23</f>
        <v>交通便捷度</v>
      </c>
      <c r="R23" s="1574" t="s">
        <v>8</v>
      </c>
      <c r="S23" s="1575">
        <f>F23</f>
        <v>100</v>
      </c>
      <c r="T23" s="1574" t="s">
        <v>8</v>
      </c>
      <c r="U23" s="1575">
        <f>H23</f>
        <v>100</v>
      </c>
      <c r="V23" s="1574" t="s">
        <v>8</v>
      </c>
      <c r="W23" s="1575">
        <f>J23</f>
        <v>100</v>
      </c>
      <c r="X23" s="1568"/>
      <c r="Y23" s="3400"/>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2"/>
      <c r="M24" s="2132"/>
      <c r="N24" s="2132"/>
      <c r="O24" s="2141"/>
      <c r="P24" s="3400"/>
      <c r="Q24" s="1573"/>
      <c r="R24" s="1574"/>
      <c r="S24" s="1575"/>
      <c r="T24" s="1574"/>
      <c r="U24" s="1575"/>
      <c r="V24" s="1574"/>
      <c r="W24" s="1575"/>
      <c r="X24" s="1568"/>
      <c r="Y24" s="3400"/>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2"/>
      <c r="M25" s="2132"/>
      <c r="N25" s="2132"/>
      <c r="O25" s="2141"/>
      <c r="P25" s="3400"/>
      <c r="Q25" s="1573" t="str">
        <f t="shared" ref="Q25:Q39" si="8">B25</f>
        <v>区域土地利用方向</v>
      </c>
      <c r="R25" s="1574" t="s">
        <v>8</v>
      </c>
      <c r="S25" s="1575">
        <f>F25</f>
        <v>100</v>
      </c>
      <c r="T25" s="1574" t="s">
        <v>8</v>
      </c>
      <c r="U25" s="1575">
        <f>H25</f>
        <v>100</v>
      </c>
      <c r="V25" s="1574" t="s">
        <v>8</v>
      </c>
      <c r="W25" s="1575">
        <f>J25</f>
        <v>100</v>
      </c>
      <c r="X25" s="1568"/>
      <c r="Y25" s="3400"/>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2"/>
      <c r="M26" s="2132"/>
      <c r="N26" s="2132"/>
      <c r="O26" s="2141"/>
      <c r="P26" s="3400"/>
      <c r="Q26" s="1573"/>
      <c r="R26" s="1574"/>
      <c r="S26" s="1575"/>
      <c r="T26" s="1574"/>
      <c r="U26" s="1575"/>
      <c r="V26" s="1574"/>
      <c r="W26" s="1575"/>
      <c r="X26" s="1568"/>
      <c r="Y26" s="3400"/>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2"/>
      <c r="M27" s="2132"/>
      <c r="N27" s="2132"/>
      <c r="O27" s="2141"/>
      <c r="P27" s="3400"/>
      <c r="Q27" s="1573" t="str">
        <f t="shared" si="8"/>
        <v>自然及人文环境状况</v>
      </c>
      <c r="R27" s="1574" t="s">
        <v>8</v>
      </c>
      <c r="S27" s="1575">
        <f>F27</f>
        <v>100</v>
      </c>
      <c r="T27" s="1574" t="s">
        <v>8</v>
      </c>
      <c r="U27" s="1575">
        <f>H27</f>
        <v>100</v>
      </c>
      <c r="V27" s="1574" t="s">
        <v>8</v>
      </c>
      <c r="W27" s="1575">
        <f>J27</f>
        <v>100</v>
      </c>
      <c r="X27" s="1568"/>
      <c r="Y27" s="3400"/>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2"/>
      <c r="M28" s="2132"/>
      <c r="N28" s="2132"/>
      <c r="O28" s="2141"/>
      <c r="P28" s="3400"/>
      <c r="Q28" s="1573"/>
      <c r="R28" s="1574"/>
      <c r="S28" s="1575"/>
      <c r="T28" s="1574"/>
      <c r="U28" s="1575"/>
      <c r="V28" s="1574"/>
      <c r="W28" s="1575"/>
      <c r="X28" s="1568"/>
      <c r="Y28" s="3400"/>
      <c r="Z28" s="1576"/>
      <c r="AA28" s="1577">
        <v>1</v>
      </c>
      <c r="AB28" s="1577">
        <v>1</v>
      </c>
      <c r="AC28" s="1577">
        <v>1</v>
      </c>
    </row>
    <row r="29" spans="1:29" s="1220" customFormat="1" ht="42.75">
      <c r="A29" s="577"/>
      <c r="B29" s="2591" t="s">
        <v>2551</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5"/>
      <c r="M29" s="2132"/>
      <c r="N29" s="2132"/>
      <c r="O29" s="2137"/>
      <c r="P29" s="3400"/>
      <c r="Q29" s="1151" t="str">
        <f t="shared" si="8"/>
        <v>公共配套设施</v>
      </c>
      <c r="R29" s="1569" t="s">
        <v>8</v>
      </c>
      <c r="S29" s="1570">
        <f>F29</f>
        <v>100</v>
      </c>
      <c r="T29" s="1569" t="s">
        <v>8</v>
      </c>
      <c r="U29" s="1570">
        <f>H29</f>
        <v>100</v>
      </c>
      <c r="V29" s="1569" t="s">
        <v>8</v>
      </c>
      <c r="W29" s="1570">
        <f>J29</f>
        <v>100</v>
      </c>
      <c r="X29" s="1571"/>
      <c r="Y29" s="3400"/>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5"/>
      <c r="M30" s="2132"/>
      <c r="N30" s="2132"/>
      <c r="O30" s="2137"/>
      <c r="P30" s="3400"/>
      <c r="Q30" s="1151"/>
      <c r="R30" s="1569"/>
      <c r="S30" s="1570"/>
      <c r="T30" s="1569"/>
      <c r="U30" s="1570"/>
      <c r="V30" s="1569"/>
      <c r="W30" s="1570"/>
      <c r="X30" s="1571"/>
      <c r="Y30" s="3400"/>
      <c r="Z30" s="1150"/>
      <c r="AA30" s="1577">
        <v>1</v>
      </c>
      <c r="AB30" s="1577">
        <v>1</v>
      </c>
      <c r="AC30" s="1577">
        <v>1</v>
      </c>
    </row>
    <row r="31" spans="1:29" s="1220" customFormat="1" ht="28.5">
      <c r="A31" s="577"/>
      <c r="B31" s="2591" t="s">
        <v>2552</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5"/>
      <c r="M31" s="2132"/>
      <c r="N31" s="2132"/>
      <c r="O31" s="2137"/>
      <c r="P31" s="3400"/>
      <c r="Q31" s="2578" t="str">
        <f t="shared" ref="Q31" si="9">B31</f>
        <v>基础设施水平</v>
      </c>
      <c r="R31" s="1569" t="s">
        <v>8</v>
      </c>
      <c r="S31" s="1570">
        <f>F31</f>
        <v>100</v>
      </c>
      <c r="T31" s="1569" t="s">
        <v>8</v>
      </c>
      <c r="U31" s="1570">
        <f>H31</f>
        <v>100</v>
      </c>
      <c r="V31" s="1569" t="s">
        <v>8</v>
      </c>
      <c r="W31" s="1570">
        <f>J31</f>
        <v>100</v>
      </c>
      <c r="X31" s="1571"/>
      <c r="Y31" s="3400"/>
      <c r="Z31" s="2575" t="str">
        <f>Q31</f>
        <v>基础设施水平</v>
      </c>
      <c r="AA31" s="1577">
        <f>D31/F31</f>
        <v>1</v>
      </c>
      <c r="AB31" s="1577">
        <f>D31/H31</f>
        <v>1</v>
      </c>
      <c r="AC31" s="1577">
        <f>D31/J31</f>
        <v>1</v>
      </c>
    </row>
    <row r="32" spans="1:29" s="1220" customFormat="1" ht="20.25">
      <c r="A32" s="577"/>
      <c r="B32" s="566"/>
      <c r="C32" s="579"/>
      <c r="D32" s="557"/>
      <c r="E32" s="2592"/>
      <c r="F32" s="555"/>
      <c r="G32" s="579"/>
      <c r="H32" s="555"/>
      <c r="I32" s="579"/>
      <c r="J32" s="555"/>
      <c r="K32" s="531"/>
      <c r="L32" s="2135"/>
      <c r="M32" s="2132"/>
      <c r="N32" s="2132"/>
      <c r="O32" s="2137"/>
      <c r="P32" s="3400"/>
      <c r="Q32" s="2578"/>
      <c r="R32" s="1569"/>
      <c r="S32" s="1570"/>
      <c r="T32" s="1569"/>
      <c r="U32" s="1570"/>
      <c r="V32" s="1569"/>
      <c r="W32" s="1570"/>
      <c r="X32" s="1571"/>
      <c r="Y32" s="3400"/>
      <c r="Z32" s="2575"/>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2"/>
      <c r="M33" s="2132"/>
      <c r="N33" s="2132"/>
      <c r="O33" s="2141"/>
      <c r="P33" s="3400"/>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00"/>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98</v>
      </c>
      <c r="G34" s="562"/>
      <c r="H34" s="559">
        <f>SUMIF(108:108,G35,109:109)-SUMIF(108:108,C35,109:109)+100</f>
        <v>100</v>
      </c>
      <c r="I34" s="564"/>
      <c r="J34" s="559">
        <f>SUMIF(108:108,I35,109:109)-SUMIF(108:108,C35,109:109)+100</f>
        <v>100</v>
      </c>
      <c r="K34" s="535">
        <v>1</v>
      </c>
      <c r="L34" s="2142"/>
      <c r="M34" s="2132"/>
      <c r="N34" s="2132"/>
      <c r="O34" s="2141"/>
      <c r="P34" s="3400"/>
      <c r="Q34" s="1573" t="str">
        <f t="shared" si="8"/>
        <v>毗邻道路的类型与等级</v>
      </c>
      <c r="R34" s="1574" t="s">
        <v>8</v>
      </c>
      <c r="S34" s="1575">
        <f t="shared" si="10"/>
        <v>98</v>
      </c>
      <c r="T34" s="1574" t="s">
        <v>8</v>
      </c>
      <c r="U34" s="1575">
        <f t="shared" si="11"/>
        <v>100</v>
      </c>
      <c r="V34" s="1574" t="s">
        <v>8</v>
      </c>
      <c r="W34" s="1575">
        <f t="shared" si="12"/>
        <v>100</v>
      </c>
      <c r="X34" s="1568"/>
      <c r="Y34" s="3400"/>
      <c r="Z34" s="1576" t="str">
        <f t="shared" si="13"/>
        <v>毗邻道路的类型与等级</v>
      </c>
      <c r="AA34" s="1577">
        <f t="shared" si="3"/>
        <v>1.0204081632653061</v>
      </c>
      <c r="AB34" s="1577">
        <f t="shared" si="4"/>
        <v>1</v>
      </c>
      <c r="AC34" s="1577">
        <f t="shared" si="5"/>
        <v>1</v>
      </c>
    </row>
    <row r="35" spans="1:29" ht="20.25">
      <c r="A35" s="532"/>
      <c r="B35" s="566"/>
      <c r="C35" s="554" t="s">
        <v>3122</v>
      </c>
      <c r="D35" s="557"/>
      <c r="E35" s="576" t="s">
        <v>3125</v>
      </c>
      <c r="F35" s="555"/>
      <c r="G35" s="554" t="s">
        <v>3122</v>
      </c>
      <c r="H35" s="555"/>
      <c r="I35" s="576" t="s">
        <v>3122</v>
      </c>
      <c r="J35" s="555"/>
      <c r="K35" s="581"/>
      <c r="L35" s="2142"/>
      <c r="M35" s="2132"/>
      <c r="N35" s="2132"/>
      <c r="O35" s="2141"/>
      <c r="P35" s="3400"/>
      <c r="Q35" s="1573"/>
      <c r="R35" s="1574"/>
      <c r="S35" s="1575"/>
      <c r="T35" s="1574"/>
      <c r="U35" s="1575"/>
      <c r="V35" s="1574"/>
      <c r="W35" s="1575"/>
      <c r="X35" s="1568"/>
      <c r="Y35" s="3400"/>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400"/>
      <c r="Q36" s="1573" t="str">
        <f t="shared" si="8"/>
        <v>土地级别</v>
      </c>
      <c r="R36" s="1574" t="s">
        <v>8</v>
      </c>
      <c r="S36" s="1575">
        <f t="shared" si="10"/>
        <v>100</v>
      </c>
      <c r="T36" s="1574" t="s">
        <v>8</v>
      </c>
      <c r="U36" s="1575">
        <f t="shared" si="11"/>
        <v>100</v>
      </c>
      <c r="V36" s="1574" t="s">
        <v>8</v>
      </c>
      <c r="W36" s="1575">
        <f t="shared" si="12"/>
        <v>100</v>
      </c>
      <c r="X36" s="1568"/>
      <c r="Y36" s="3400"/>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400"/>
      <c r="Q37" s="1573">
        <f t="shared" si="8"/>
        <v>111</v>
      </c>
      <c r="R37" s="1574" t="s">
        <v>8</v>
      </c>
      <c r="S37" s="1575">
        <f t="shared" si="10"/>
        <v>100</v>
      </c>
      <c r="T37" s="1574" t="s">
        <v>8</v>
      </c>
      <c r="U37" s="1575">
        <f t="shared" si="11"/>
        <v>100</v>
      </c>
      <c r="V37" s="1574" t="s">
        <v>8</v>
      </c>
      <c r="W37" s="1575">
        <f t="shared" si="12"/>
        <v>100</v>
      </c>
      <c r="X37" s="1568"/>
      <c r="Y37" s="3400"/>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401" t="s">
        <v>550</v>
      </c>
      <c r="Q38" s="1573">
        <f t="shared" si="8"/>
        <v>111</v>
      </c>
      <c r="R38" s="1574" t="s">
        <v>8</v>
      </c>
      <c r="S38" s="1575">
        <f t="shared" si="10"/>
        <v>100</v>
      </c>
      <c r="T38" s="1574" t="s">
        <v>8</v>
      </c>
      <c r="U38" s="1575">
        <f t="shared" si="11"/>
        <v>100</v>
      </c>
      <c r="V38" s="1574" t="s">
        <v>8</v>
      </c>
      <c r="W38" s="1575">
        <f t="shared" si="12"/>
        <v>100</v>
      </c>
      <c r="X38" s="1568"/>
      <c r="Y38" s="3402"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402"/>
      <c r="Q39" s="1573">
        <f t="shared" si="8"/>
        <v>111</v>
      </c>
      <c r="R39" s="1578" t="s">
        <v>8</v>
      </c>
      <c r="S39" s="1579">
        <f t="shared" si="10"/>
        <v>100</v>
      </c>
      <c r="T39" s="1578" t="s">
        <v>8</v>
      </c>
      <c r="U39" s="1579">
        <f t="shared" si="11"/>
        <v>100</v>
      </c>
      <c r="V39" s="1578" t="s">
        <v>8</v>
      </c>
      <c r="W39" s="1579">
        <f t="shared" si="12"/>
        <v>100</v>
      </c>
      <c r="X39" s="1580"/>
      <c r="Y39" s="3402"/>
      <c r="Z39" s="1581">
        <f t="shared" si="13"/>
        <v>111</v>
      </c>
      <c r="AA39" s="1577">
        <f t="shared" si="3"/>
        <v>1</v>
      </c>
      <c r="AB39" s="1577">
        <f t="shared" si="4"/>
        <v>1</v>
      </c>
      <c r="AC39" s="1577">
        <f t="shared" si="5"/>
        <v>1</v>
      </c>
    </row>
    <row r="40" spans="1:29" ht="20.25">
      <c r="A40" s="2907" t="s">
        <v>2758</v>
      </c>
      <c r="B40" s="595" t="s">
        <v>552</v>
      </c>
      <c r="C40" s="596">
        <v>49638.62</v>
      </c>
      <c r="D40" s="597">
        <v>100</v>
      </c>
      <c r="E40" s="596">
        <f>Sheet1!D5</f>
        <v>16421</v>
      </c>
      <c r="F40" s="597">
        <f>LOOKUP(E40,119:119,120:120)-LOOKUP(C40,119:119,120:120)+100</f>
        <v>98</v>
      </c>
      <c r="G40" s="596">
        <f>Sheet1!D7</f>
        <v>29756.7</v>
      </c>
      <c r="H40" s="597">
        <f>LOOKUP(G40,119:119,120:120)-LOOKUP(C40,119:119,120:120)+100</f>
        <v>99</v>
      </c>
      <c r="I40" s="598">
        <f>Sheet1!D22</f>
        <v>8131.78</v>
      </c>
      <c r="J40" s="597">
        <f>LOOKUP(I40,119:119,120:120)-LOOKUP(C40,119:119,120:120)+100</f>
        <v>97</v>
      </c>
      <c r="K40" s="581"/>
      <c r="L40" s="2142"/>
      <c r="M40" s="2132"/>
      <c r="N40" s="2132"/>
      <c r="O40" s="2141"/>
      <c r="P40" s="3402"/>
      <c r="Q40" s="1573" t="str">
        <f>B40</f>
        <v>宗地面积</v>
      </c>
      <c r="R40" s="1574" t="s">
        <v>8</v>
      </c>
      <c r="S40" s="1575">
        <f t="shared" si="10"/>
        <v>98</v>
      </c>
      <c r="T40" s="1574" t="s">
        <v>8</v>
      </c>
      <c r="U40" s="1575">
        <f t="shared" si="11"/>
        <v>99</v>
      </c>
      <c r="V40" s="1574" t="s">
        <v>8</v>
      </c>
      <c r="W40" s="1575">
        <f t="shared" si="12"/>
        <v>97</v>
      </c>
      <c r="X40" s="1568"/>
      <c r="Y40" s="3402"/>
      <c r="Z40" s="1576" t="str">
        <f t="shared" si="13"/>
        <v>宗地面积</v>
      </c>
      <c r="AA40" s="1577">
        <f t="shared" si="3"/>
        <v>1.0204081632653061</v>
      </c>
      <c r="AB40" s="1577">
        <f t="shared" si="4"/>
        <v>1.0101010101010102</v>
      </c>
      <c r="AC40" s="1577">
        <f t="shared" si="5"/>
        <v>1.0309278350515463</v>
      </c>
    </row>
    <row r="41" spans="1:29" ht="20.25">
      <c r="A41" s="594"/>
      <c r="B41" s="527" t="s">
        <v>553</v>
      </c>
      <c r="C41" s="599" t="s">
        <v>3128</v>
      </c>
      <c r="D41" s="540">
        <v>100</v>
      </c>
      <c r="E41" s="599" t="s">
        <v>3128</v>
      </c>
      <c r="F41" s="540">
        <f>SUMIF(121:121,E41,122:122)-SUMIF(121:121,C41,122:122)+100</f>
        <v>100</v>
      </c>
      <c r="G41" s="599" t="s">
        <v>3128</v>
      </c>
      <c r="H41" s="540">
        <f>SUMIF(121:121,G41,122:122)-SUMIF(121:121,C41,122:122)+100</f>
        <v>100</v>
      </c>
      <c r="I41" s="599" t="s">
        <v>3128</v>
      </c>
      <c r="J41" s="540">
        <f>SUMIF(121:121,I41,122:122)-SUMIF(121:121,C41,122:122)+100</f>
        <v>100</v>
      </c>
      <c r="K41" s="584">
        <v>3</v>
      </c>
      <c r="L41" s="2142"/>
      <c r="M41" s="2132"/>
      <c r="N41" s="2132"/>
      <c r="O41" s="2141"/>
      <c r="P41" s="3402"/>
      <c r="Q41" s="1573" t="str">
        <f t="shared" ref="Q41:Q47" si="14">B41</f>
        <v>宗地形状</v>
      </c>
      <c r="R41" s="1574" t="s">
        <v>8</v>
      </c>
      <c r="S41" s="1575">
        <f t="shared" si="10"/>
        <v>100</v>
      </c>
      <c r="T41" s="1574" t="s">
        <v>8</v>
      </c>
      <c r="U41" s="1575">
        <f t="shared" si="11"/>
        <v>100</v>
      </c>
      <c r="V41" s="1574" t="s">
        <v>8</v>
      </c>
      <c r="W41" s="1575">
        <f t="shared" si="12"/>
        <v>100</v>
      </c>
      <c r="X41" s="1568"/>
      <c r="Y41" s="3402"/>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2"/>
      <c r="M42" s="2132"/>
      <c r="N42" s="2132"/>
      <c r="O42" s="2141"/>
      <c r="P42" s="3402"/>
      <c r="Q42" s="1573" t="str">
        <f t="shared" si="14"/>
        <v>临街宽度及深度</v>
      </c>
      <c r="R42" s="1574" t="s">
        <v>8</v>
      </c>
      <c r="S42" s="1575">
        <f t="shared" si="10"/>
        <v>100</v>
      </c>
      <c r="T42" s="1574" t="s">
        <v>8</v>
      </c>
      <c r="U42" s="1575">
        <f t="shared" si="11"/>
        <v>100</v>
      </c>
      <c r="V42" s="1574" t="s">
        <v>8</v>
      </c>
      <c r="W42" s="1575">
        <f t="shared" si="12"/>
        <v>100</v>
      </c>
      <c r="X42" s="1568"/>
      <c r="Y42" s="3402"/>
      <c r="Z42" s="1576" t="str">
        <f t="shared" si="13"/>
        <v>临街宽度及深度</v>
      </c>
      <c r="AA42" s="1577">
        <f t="shared" si="3"/>
        <v>1</v>
      </c>
      <c r="AB42" s="1577">
        <f t="shared" si="4"/>
        <v>1</v>
      </c>
      <c r="AC42" s="1577">
        <f t="shared" si="5"/>
        <v>1</v>
      </c>
    </row>
    <row r="43" spans="1:29" s="1220" customFormat="1" ht="20.25">
      <c r="A43" s="600"/>
      <c r="B43" s="1897" t="s">
        <v>2427</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5"/>
      <c r="M43" s="2132"/>
      <c r="N43" s="2132"/>
      <c r="O43" s="2137"/>
      <c r="P43" s="3402"/>
      <c r="Q43" s="1573" t="str">
        <f t="shared" si="14"/>
        <v>宗地开发程度</v>
      </c>
      <c r="R43" s="1569" t="s">
        <v>8</v>
      </c>
      <c r="S43" s="1570">
        <f t="shared" si="10"/>
        <v>100</v>
      </c>
      <c r="T43" s="1569" t="s">
        <v>8</v>
      </c>
      <c r="U43" s="1570">
        <f t="shared" si="11"/>
        <v>100</v>
      </c>
      <c r="V43" s="1569" t="s">
        <v>8</v>
      </c>
      <c r="W43" s="1570">
        <f t="shared" si="12"/>
        <v>100</v>
      </c>
      <c r="X43" s="1571"/>
      <c r="Y43" s="3402"/>
      <c r="Z43" s="1150" t="str">
        <f t="shared" si="13"/>
        <v>宗地开发程度</v>
      </c>
      <c r="AA43" s="1572">
        <f t="shared" si="3"/>
        <v>1</v>
      </c>
      <c r="AB43" s="1572">
        <f t="shared" si="4"/>
        <v>1</v>
      </c>
      <c r="AC43" s="1572">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2"/>
      <c r="M44" s="2132"/>
      <c r="N44" s="2132"/>
      <c r="O44" s="2141"/>
      <c r="P44" s="3402" t="s">
        <v>550</v>
      </c>
      <c r="Q44" s="1573" t="str">
        <f t="shared" si="14"/>
        <v>工程地质条件</v>
      </c>
      <c r="R44" s="1574" t="s">
        <v>8</v>
      </c>
      <c r="S44" s="1575">
        <f t="shared" si="10"/>
        <v>100</v>
      </c>
      <c r="T44" s="1574" t="s">
        <v>8</v>
      </c>
      <c r="U44" s="1575">
        <f t="shared" si="11"/>
        <v>100</v>
      </c>
      <c r="V44" s="1574" t="s">
        <v>8</v>
      </c>
      <c r="W44" s="1575">
        <f t="shared" si="12"/>
        <v>100</v>
      </c>
      <c r="X44" s="1568"/>
      <c r="Y44" s="3402"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402"/>
      <c r="Q45" s="1573">
        <f t="shared" si="14"/>
        <v>111</v>
      </c>
      <c r="R45" s="1574" t="s">
        <v>8</v>
      </c>
      <c r="S45" s="1575">
        <f t="shared" si="10"/>
        <v>100</v>
      </c>
      <c r="T45" s="1574" t="s">
        <v>8</v>
      </c>
      <c r="U45" s="1575">
        <f t="shared" si="11"/>
        <v>100</v>
      </c>
      <c r="V45" s="1574" t="s">
        <v>8</v>
      </c>
      <c r="W45" s="1575">
        <f t="shared" si="12"/>
        <v>100</v>
      </c>
      <c r="X45" s="1568"/>
      <c r="Y45" s="3402"/>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402"/>
      <c r="Q46" s="1573">
        <f t="shared" si="14"/>
        <v>111</v>
      </c>
      <c r="R46" s="1574" t="s">
        <v>8</v>
      </c>
      <c r="S46" s="1575">
        <f t="shared" si="10"/>
        <v>100</v>
      </c>
      <c r="T46" s="1574" t="s">
        <v>8</v>
      </c>
      <c r="U46" s="1575">
        <f t="shared" si="11"/>
        <v>100</v>
      </c>
      <c r="V46" s="1574" t="s">
        <v>8</v>
      </c>
      <c r="W46" s="1575">
        <f t="shared" si="12"/>
        <v>100</v>
      </c>
      <c r="X46" s="1568"/>
      <c r="Y46" s="3402"/>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402"/>
      <c r="Q47" s="1573">
        <f t="shared" si="14"/>
        <v>111</v>
      </c>
      <c r="R47" s="1578" t="s">
        <v>8</v>
      </c>
      <c r="S47" s="1579">
        <f t="shared" si="10"/>
        <v>100</v>
      </c>
      <c r="T47" s="1578" t="s">
        <v>8</v>
      </c>
      <c r="U47" s="1579">
        <f t="shared" si="11"/>
        <v>100</v>
      </c>
      <c r="V47" s="1578" t="s">
        <v>8</v>
      </c>
      <c r="W47" s="1579">
        <f t="shared" si="12"/>
        <v>100</v>
      </c>
      <c r="X47" s="1580"/>
      <c r="Y47" s="3402"/>
      <c r="Z47" s="1581">
        <f t="shared" si="13"/>
        <v>111</v>
      </c>
      <c r="AA47" s="1577">
        <f t="shared" si="3"/>
        <v>1</v>
      </c>
      <c r="AB47" s="1577">
        <f t="shared" si="4"/>
        <v>1</v>
      </c>
      <c r="AC47" s="1577">
        <f t="shared" si="5"/>
        <v>1</v>
      </c>
    </row>
    <row r="48" spans="1:29" ht="20.25">
      <c r="A48" s="607" t="s">
        <v>556</v>
      </c>
      <c r="B48" s="608" t="s">
        <v>2995</v>
      </c>
      <c r="C48" s="609" t="s">
        <v>1</v>
      </c>
      <c r="D48" s="610"/>
      <c r="E48" s="611">
        <v>531</v>
      </c>
      <c r="F48" s="612"/>
      <c r="G48" s="613">
        <v>551</v>
      </c>
      <c r="H48" s="614"/>
      <c r="I48" s="611">
        <v>540</v>
      </c>
      <c r="J48" s="614"/>
      <c r="K48" s="1340"/>
      <c r="L48" s="2144"/>
      <c r="M48" s="2132"/>
      <c r="N48" s="2132"/>
      <c r="O48" s="2145"/>
      <c r="P48" s="3365" t="str">
        <f>A48</f>
        <v>成交单价</v>
      </c>
      <c r="Q48" s="3365"/>
      <c r="R48" s="3366">
        <f>E48</f>
        <v>531</v>
      </c>
      <c r="S48" s="3366"/>
      <c r="T48" s="3366">
        <f>G48</f>
        <v>551</v>
      </c>
      <c r="U48" s="3366"/>
      <c r="V48" s="3366">
        <f>I48</f>
        <v>540</v>
      </c>
      <c r="W48" s="3366"/>
      <c r="X48" s="1560"/>
      <c r="Y48" s="1582"/>
      <c r="Z48" s="1560"/>
      <c r="AA48" s="1560"/>
      <c r="AB48" s="1560"/>
      <c r="AC48" s="1560"/>
    </row>
    <row r="49" spans="1:29" ht="21" thickBot="1">
      <c r="A49" s="615" t="s">
        <v>2696</v>
      </c>
      <c r="B49" s="616"/>
      <c r="C49" s="617">
        <f>R50</f>
        <v>519</v>
      </c>
      <c r="D49" s="618"/>
      <c r="E49" s="617">
        <f>R49</f>
        <v>521</v>
      </c>
      <c r="F49" s="619"/>
      <c r="G49" s="620">
        <f>T49</f>
        <v>525</v>
      </c>
      <c r="H49" s="618"/>
      <c r="I49" s="617">
        <f>V49</f>
        <v>511</v>
      </c>
      <c r="J49" s="618"/>
      <c r="K49" s="1341"/>
      <c r="L49" s="2144"/>
      <c r="M49" s="2132"/>
      <c r="N49" s="2132"/>
      <c r="O49" s="2145"/>
      <c r="P49" s="3365" t="str">
        <f>A49</f>
        <v>比较价格（元/平方米）</v>
      </c>
      <c r="Q49" s="3365"/>
      <c r="R49" s="3367">
        <f>ROUND(PRODUCT(R48,AA9:AA47),0)</f>
        <v>521</v>
      </c>
      <c r="S49" s="3367"/>
      <c r="T49" s="3367">
        <f>ROUND(PRODUCT(T48,AB9:AB47),0)</f>
        <v>525</v>
      </c>
      <c r="U49" s="3367"/>
      <c r="V49" s="3367">
        <f>ROUND(PRODUCT(V48,AC9:AC47),0)</f>
        <v>511</v>
      </c>
      <c r="W49" s="3367"/>
      <c r="X49" s="1560"/>
      <c r="Y49" s="1560"/>
      <c r="Z49" s="1560"/>
      <c r="AA49" s="1560"/>
      <c r="AB49" s="1560"/>
      <c r="AC49" s="1560"/>
    </row>
    <row r="50" spans="1:29" ht="21" thickBot="1">
      <c r="A50" s="621" t="s">
        <v>2936</v>
      </c>
      <c r="B50" s="622"/>
      <c r="C50" s="623">
        <f>R50</f>
        <v>519</v>
      </c>
      <c r="D50" s="623"/>
      <c r="E50" s="623"/>
      <c r="F50" s="623"/>
      <c r="G50" s="623"/>
      <c r="H50" s="623"/>
      <c r="I50" s="623"/>
      <c r="J50" s="623"/>
      <c r="K50" s="1342"/>
      <c r="L50" s="2144"/>
      <c r="M50" s="2132"/>
      <c r="N50" s="2132"/>
      <c r="O50" s="2145"/>
      <c r="P50" s="3362" t="str">
        <f>A50</f>
        <v>估价对象XX用房的比较价格（楼面单价，元/平方米）</v>
      </c>
      <c r="Q50" s="3363"/>
      <c r="R50" s="3364">
        <f>ROUND(AVERAGE(R49:V49),0)</f>
        <v>519</v>
      </c>
      <c r="S50" s="3364"/>
      <c r="T50" s="3364"/>
      <c r="U50" s="3364"/>
      <c r="V50" s="3364"/>
      <c r="W50" s="3364"/>
      <c r="X50" s="1560"/>
      <c r="Y50" s="1560"/>
      <c r="Z50" s="1560"/>
      <c r="AA50" s="1560"/>
      <c r="AB50" s="1560"/>
      <c r="AC50" s="1560"/>
    </row>
    <row r="51" spans="1:29" ht="20.25">
      <c r="A51" s="2145"/>
      <c r="B51" s="2145"/>
      <c r="C51" s="2145"/>
      <c r="D51" s="2145"/>
      <c r="E51" s="2145"/>
      <c r="F51" s="2145"/>
      <c r="G51" s="2148"/>
      <c r="H51" s="2145"/>
      <c r="I51" s="2145"/>
      <c r="J51" s="2145"/>
      <c r="K51" s="2149"/>
      <c r="L51" s="2150"/>
      <c r="M51" s="2132"/>
      <c r="N51" s="2132"/>
      <c r="O51" s="2145"/>
      <c r="P51" s="1560"/>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60"/>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1.9193857965451144E-2</v>
      </c>
      <c r="F53" s="627" t="str">
        <f>IF(OR(E53&gt;=0.3,E53&lt;=-0.3),"超过30%","")</f>
        <v/>
      </c>
      <c r="G53" s="626">
        <f>IF(G48&lt;G49,G49/G48-1,G48/G49-1)</f>
        <v>4.9523809523809526E-2</v>
      </c>
      <c r="H53" s="627" t="str">
        <f>IF(OR(G53&gt;=0.3,G53&lt;=-0.3),"超过30%","")</f>
        <v/>
      </c>
      <c r="I53" s="626">
        <f>IF(I48&lt;I49,I49/I48-1,I48/I49-1)</f>
        <v>5.6751467710371761E-2</v>
      </c>
      <c r="J53" s="627" t="str">
        <f>IF(OR(I53&gt;=0.3,I53&lt;=-0.3),"超过30%","")</f>
        <v/>
      </c>
      <c r="K53" s="2149"/>
      <c r="L53" s="2150"/>
      <c r="M53" s="2132"/>
      <c r="N53" s="2132"/>
      <c r="O53" s="2145"/>
      <c r="P53" s="1560"/>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7.6775431861804133E-3</v>
      </c>
      <c r="F54" s="627" t="str">
        <f>IF(OR(E54&gt;=0.2,E54&lt;=-0.2),"超过20%","")</f>
        <v/>
      </c>
      <c r="G54" s="626">
        <f>IF(G49&lt;I49,I49/G49-1,G49/I49-1)</f>
        <v>2.7397260273972712E-2</v>
      </c>
      <c r="H54" s="627" t="str">
        <f>IF(OR(G54&gt;=0.2,G54&lt;=-0.2),"超过20%","")</f>
        <v/>
      </c>
      <c r="I54" s="626">
        <f>IF(I49&lt;E49,E49/I49-1,I49/E49-1)</f>
        <v>1.9569471624266255E-2</v>
      </c>
      <c r="J54" s="627" t="str">
        <f>IF(OR(I54&gt;=0.2,I54&lt;=-0.2),"超过20%","")</f>
        <v/>
      </c>
      <c r="K54" s="2149"/>
      <c r="L54" s="2150"/>
      <c r="M54" s="2132"/>
      <c r="N54" s="2132"/>
      <c r="O54" s="2145"/>
      <c r="P54" s="1560"/>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3.7664783427495241E-2</v>
      </c>
      <c r="F55" s="627" t="str">
        <f>IF(OR(E55&gt;=0.3,E55&lt;=-0.3),"超过30%","")</f>
        <v/>
      </c>
      <c r="G55" s="626">
        <f>IF(G48&lt;I48,I48/G48-1,G48/I48-1)</f>
        <v>2.0370370370370372E-2</v>
      </c>
      <c r="H55" s="627" t="str">
        <f>IF(OR(G55&gt;=0.3,G55&lt;=-0.3),"超过30%","")</f>
        <v/>
      </c>
      <c r="I55" s="626">
        <f>IF(I48&lt;E48,E48/I48-1,I48/E48-1)</f>
        <v>1.6949152542372836E-2</v>
      </c>
      <c r="J55" s="627" t="str">
        <f>IF(OR(I55&gt;=0.3,I55&lt;=-0.3),"超过30%","")</f>
        <v/>
      </c>
      <c r="K55" s="2152"/>
      <c r="L55" s="2153"/>
      <c r="M55" s="2132"/>
      <c r="N55" s="2132"/>
      <c r="O55" s="2146"/>
      <c r="P55" s="1558"/>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8"/>
      <c r="Q56" s="2146"/>
      <c r="R56" s="2146"/>
      <c r="S56" s="2146"/>
      <c r="T56" s="2146"/>
      <c r="U56" s="2146"/>
      <c r="V56" s="2146"/>
      <c r="W56" s="2146"/>
      <c r="X56" s="2146"/>
      <c r="Y56" s="2146"/>
      <c r="Z56" s="2146"/>
      <c r="AA56" s="2146"/>
      <c r="AB56" s="2146"/>
      <c r="AC56" s="2146"/>
    </row>
    <row r="57" spans="1:29" ht="26.25" customHeight="1">
      <c r="A57" s="629" t="s">
        <v>560</v>
      </c>
      <c r="B57" s="630" t="s">
        <v>561</v>
      </c>
      <c r="C57" s="1561" t="s">
        <v>1725</v>
      </c>
      <c r="D57" s="2227" t="s">
        <v>2296</v>
      </c>
      <c r="E57" s="631" t="s">
        <v>562</v>
      </c>
      <c r="F57" s="632" t="s">
        <v>563</v>
      </c>
      <c r="G57" s="3391" t="s">
        <v>2284</v>
      </c>
      <c r="H57" s="3392"/>
      <c r="I57" s="1556" t="s">
        <v>1723</v>
      </c>
      <c r="J57" s="1556">
        <f>项目基本情况!F41</f>
        <v>0</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564</v>
      </c>
      <c r="B58" s="634">
        <f>C50</f>
        <v>519</v>
      </c>
      <c r="C58" s="635">
        <v>1</v>
      </c>
      <c r="D58" s="2228">
        <v>1</v>
      </c>
      <c r="E58" s="635">
        <f>'数据-汇总表'!E8+'数据-汇总表'!E9</f>
        <v>148524.48318846154</v>
      </c>
      <c r="F58" s="636">
        <f t="shared" ref="F58:F67" si="15">ROUND(B58*E58/10000,0)</f>
        <v>7708</v>
      </c>
      <c r="G58" s="3393"/>
      <c r="H58" s="3394"/>
      <c r="I58" s="1557">
        <v>1</v>
      </c>
      <c r="J58" s="1557">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f>ROUND($C$50*C59*D59,0)</f>
        <v>0</v>
      </c>
      <c r="C59" s="378">
        <f t="shared" ref="C59:C67" si="16">IF($C$57="北京市系数",I59,J59)</f>
        <v>0</v>
      </c>
      <c r="D59" s="2229">
        <v>0.25</v>
      </c>
      <c r="E59" s="639">
        <v>0</v>
      </c>
      <c r="F59" s="636">
        <f t="shared" si="15"/>
        <v>0</v>
      </c>
      <c r="G59" s="3395" t="s">
        <v>2285</v>
      </c>
      <c r="H59" s="1950">
        <f>项目基本情况!B43</f>
        <v>0</v>
      </c>
      <c r="I59" s="1557">
        <f>SUMIF(修正!$A$45:$A$56,H59,修正!B45:B56)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f t="shared" ref="B60:B67" si="17">ROUND($C$50*C60*D60,0)</f>
        <v>0</v>
      </c>
      <c r="C60" s="378">
        <f t="shared" si="16"/>
        <v>0</v>
      </c>
      <c r="D60" s="2229">
        <v>0.25</v>
      </c>
      <c r="E60" s="639">
        <v>0</v>
      </c>
      <c r="F60" s="636">
        <f t="shared" si="15"/>
        <v>0</v>
      </c>
      <c r="G60" s="3395"/>
      <c r="H60" s="1950">
        <f>项目基本情况!B43</f>
        <v>0</v>
      </c>
      <c r="I60" s="1557">
        <f>SUMIF(修正!$A$45:$A$56,H60,修正!C45:C56)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f t="shared" si="17"/>
        <v>0</v>
      </c>
      <c r="C61" s="378">
        <f t="shared" si="16"/>
        <v>0</v>
      </c>
      <c r="D61" s="2229">
        <v>0.25</v>
      </c>
      <c r="E61" s="639">
        <v>0</v>
      </c>
      <c r="F61" s="636">
        <f t="shared" si="15"/>
        <v>0</v>
      </c>
      <c r="G61" s="3395"/>
      <c r="H61" s="1950">
        <f>项目基本情况!B43</f>
        <v>0</v>
      </c>
      <c r="I61" s="1557">
        <f>SUMIF(修正!$A$45:$A$56,H61,修正!D45:D56)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568</v>
      </c>
      <c r="B62" s="638">
        <f t="shared" si="17"/>
        <v>0</v>
      </c>
      <c r="C62" s="378">
        <f t="shared" si="16"/>
        <v>0</v>
      </c>
      <c r="D62" s="2229">
        <v>0.25</v>
      </c>
      <c r="E62" s="639">
        <v>0</v>
      </c>
      <c r="F62" s="636">
        <f t="shared" si="15"/>
        <v>0</v>
      </c>
      <c r="G62" s="3395"/>
      <c r="H62" s="1950">
        <f>项目基本情况!B43</f>
        <v>0</v>
      </c>
      <c r="I62" s="1557">
        <f>SUMIF(修正!$A$45:$A$56,H62,修正!E45:E56)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2331</v>
      </c>
      <c r="B63" s="638">
        <f t="shared" si="17"/>
        <v>0</v>
      </c>
      <c r="C63" s="378">
        <f t="shared" si="16"/>
        <v>0</v>
      </c>
      <c r="D63" s="2229">
        <v>0.25</v>
      </c>
      <c r="E63" s="641">
        <f>'数据-汇总表'!E11</f>
        <v>0</v>
      </c>
      <c r="F63" s="636">
        <f t="shared" si="15"/>
        <v>0</v>
      </c>
      <c r="G63" s="1947" t="s">
        <v>2286</v>
      </c>
      <c r="H63" s="1950">
        <f>项目基本情况!C43</f>
        <v>0</v>
      </c>
      <c r="I63" s="1557">
        <f>SUMIF(修正!$A$45:$A$56,H63,修正!F45:F56)</f>
        <v>0</v>
      </c>
      <c r="J63" s="1559"/>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569</v>
      </c>
      <c r="B64" s="638">
        <f t="shared" si="17"/>
        <v>0</v>
      </c>
      <c r="C64" s="378">
        <f t="shared" si="16"/>
        <v>0</v>
      </c>
      <c r="D64" s="2229">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570</v>
      </c>
      <c r="B65" s="638">
        <f t="shared" si="17"/>
        <v>0</v>
      </c>
      <c r="C65" s="378">
        <f t="shared" si="16"/>
        <v>0</v>
      </c>
      <c r="D65" s="2229">
        <v>0.25</v>
      </c>
      <c r="E65" s="641">
        <f>'数据-汇总表'!E13</f>
        <v>0</v>
      </c>
      <c r="F65" s="636">
        <f t="shared" si="15"/>
        <v>0</v>
      </c>
      <c r="G65" s="1948" t="s">
        <v>923</v>
      </c>
      <c r="H65" s="1946">
        <f>IF(G65="商业",项目基本情况!B43,IF(G65="办公",项目基本情况!C43,IF(G65="住宅",项目基本情况!D43,项目基本情况!E43)))</f>
        <v>0</v>
      </c>
      <c r="I65" s="1557">
        <f>SUMIF(修正!$A$45:$A$56,H65,修正!H45:H56)</f>
        <v>0</v>
      </c>
      <c r="J65" s="1559"/>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571</v>
      </c>
      <c r="B66" s="638">
        <f t="shared" si="17"/>
        <v>0</v>
      </c>
      <c r="C66" s="378">
        <f t="shared" si="16"/>
        <v>0</v>
      </c>
      <c r="D66" s="2229">
        <v>0.25</v>
      </c>
      <c r="E66" s="641">
        <f>'数据-汇总表'!E14</f>
        <v>0</v>
      </c>
      <c r="F66" s="636">
        <f t="shared" si="15"/>
        <v>0</v>
      </c>
      <c r="G66" s="1947" t="s">
        <v>2285</v>
      </c>
      <c r="H66" s="1950">
        <f>项目基本情况!B43</f>
        <v>0</v>
      </c>
      <c r="I66" s="1557">
        <f>SUMIF(修正!$A$45:$A$56,H66,修正!H45:H56)</f>
        <v>0</v>
      </c>
      <c r="J66" s="1559"/>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572</v>
      </c>
      <c r="B67" s="638">
        <f t="shared" si="17"/>
        <v>0</v>
      </c>
      <c r="C67" s="378">
        <f t="shared" si="16"/>
        <v>0</v>
      </c>
      <c r="D67" s="2229">
        <v>0.25</v>
      </c>
      <c r="E67" s="641">
        <f>'数据-汇总表'!E15</f>
        <v>0</v>
      </c>
      <c r="F67" s="636">
        <f t="shared" si="15"/>
        <v>0</v>
      </c>
      <c r="G67" s="1949" t="s">
        <v>2286</v>
      </c>
      <c r="H67" s="1951">
        <f>项目基本情况!C43</f>
        <v>0</v>
      </c>
      <c r="I67" s="1557">
        <f>SUMIF(修正!$A$45:$A$56,H67,修正!H45:H56)</f>
        <v>0</v>
      </c>
      <c r="J67" s="1559"/>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573</v>
      </c>
      <c r="B68" s="643" t="s">
        <v>17</v>
      </c>
      <c r="C68" s="643" t="s">
        <v>18</v>
      </c>
      <c r="D68" s="643" t="s">
        <v>2297</v>
      </c>
      <c r="E68" s="643">
        <f>IF(B48="楼面地价",SUM(E58:E67),'数据-汇总表'!D3)</f>
        <v>148524.48318846154</v>
      </c>
      <c r="F68" s="644">
        <f>IF(B48="楼面地价",SUM(F58:F67),ROUND(C50*E68/10000,0))</f>
        <v>7708</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2018-9-1</v>
      </c>
      <c r="D70" s="2799">
        <f>EDATE(C70,-3)</f>
        <v>43252</v>
      </c>
      <c r="E70" s="2799">
        <f t="shared" ref="E70:N70" si="18">EDATE(D70,-3)</f>
        <v>43160</v>
      </c>
      <c r="F70" s="2799">
        <f t="shared" si="18"/>
        <v>43070</v>
      </c>
      <c r="G70" s="2799">
        <f t="shared" si="18"/>
        <v>42979</v>
      </c>
      <c r="H70" s="2799">
        <f t="shared" si="18"/>
        <v>42887</v>
      </c>
      <c r="I70" s="2799">
        <f t="shared" si="18"/>
        <v>42795</v>
      </c>
      <c r="J70" s="2799">
        <f t="shared" si="18"/>
        <v>42705</v>
      </c>
      <c r="K70" s="2799">
        <f t="shared" si="18"/>
        <v>42614</v>
      </c>
      <c r="L70" s="2799">
        <f t="shared" si="18"/>
        <v>42522</v>
      </c>
      <c r="M70" s="2799">
        <f t="shared" si="18"/>
        <v>42430</v>
      </c>
      <c r="N70" s="2799">
        <f t="shared" si="18"/>
        <v>42339</v>
      </c>
      <c r="O70" s="2145"/>
      <c r="P70" s="2145"/>
      <c r="Q70" s="2145"/>
      <c r="R70" s="2145"/>
      <c r="S70" s="2145"/>
      <c r="T70" s="2145"/>
      <c r="U70" s="2145"/>
      <c r="V70" s="2145"/>
      <c r="W70" s="2145"/>
      <c r="X70" s="2145"/>
      <c r="Y70" s="2145"/>
      <c r="Z70" s="2145"/>
      <c r="AA70" s="2145"/>
      <c r="AB70" s="2145"/>
      <c r="AC70" s="2145"/>
    </row>
    <row r="71" spans="1:29" ht="21.75" thickBot="1">
      <c r="A71" s="1585" t="s">
        <v>574</v>
      </c>
      <c r="B71" s="1560"/>
      <c r="C71" s="1584"/>
      <c r="D71" s="1584"/>
      <c r="E71" s="1584"/>
      <c r="F71" s="1586"/>
      <c r="G71" s="1586"/>
      <c r="H71" s="1584"/>
      <c r="I71" s="1584"/>
      <c r="J71" s="1584"/>
      <c r="K71" s="1587"/>
      <c r="L71" s="1583"/>
      <c r="M71" s="1584"/>
      <c r="N71" s="1584"/>
      <c r="O71" s="2157"/>
      <c r="P71" s="2157"/>
      <c r="Q71" s="2158"/>
      <c r="R71" s="2145"/>
      <c r="S71" s="2145"/>
      <c r="T71" s="2145"/>
      <c r="U71" s="2145"/>
      <c r="V71" s="2145"/>
      <c r="W71" s="2145"/>
      <c r="X71" s="2145"/>
      <c r="Y71" s="2145"/>
      <c r="Z71" s="2145"/>
      <c r="AA71" s="2145"/>
      <c r="AB71" s="2145"/>
      <c r="AC71" s="2145"/>
    </row>
    <row r="72" spans="1:29" s="1347" customFormat="1" ht="15">
      <c r="A72" s="2568" t="s">
        <v>2535</v>
      </c>
      <c r="B72" s="2569"/>
      <c r="C72" s="2794" t="str">
        <f>YEAR(C70)&amp;"-"&amp;ROUNDUP(MONTH(C70)/3,0)</f>
        <v>2018-3</v>
      </c>
      <c r="D72" s="2801" t="str">
        <f>YEAR(D70)&amp;"-"&amp;ROUNDUP(MONTH(D70)/3,0)</f>
        <v>2018-2</v>
      </c>
      <c r="E72" s="2801" t="str">
        <f t="shared" ref="E72:N72" si="19">YEAR(E70)&amp;"-"&amp;ROUNDUP(MONTH(E70)/3,0)</f>
        <v>2018-1</v>
      </c>
      <c r="F72" s="2801" t="str">
        <f t="shared" si="19"/>
        <v>2017-4</v>
      </c>
      <c r="G72" s="2801" t="str">
        <f t="shared" si="19"/>
        <v>2017-3</v>
      </c>
      <c r="H72" s="2801" t="str">
        <f t="shared" si="19"/>
        <v>2017-2</v>
      </c>
      <c r="I72" s="2801" t="str">
        <f t="shared" si="19"/>
        <v>2017-1</v>
      </c>
      <c r="J72" s="2801" t="str">
        <f t="shared" si="19"/>
        <v>2016-4</v>
      </c>
      <c r="K72" s="2801" t="str">
        <f t="shared" si="19"/>
        <v>2016-3</v>
      </c>
      <c r="L72" s="2801" t="str">
        <f t="shared" si="19"/>
        <v>2016-2</v>
      </c>
      <c r="M72" s="2801" t="str">
        <f t="shared" si="19"/>
        <v>2016-1</v>
      </c>
      <c r="N72" s="2801" t="str">
        <f t="shared" si="19"/>
        <v>2015-4</v>
      </c>
      <c r="O72" s="2159"/>
      <c r="P72" s="2160"/>
      <c r="Q72" s="2161"/>
      <c r="R72" s="2161"/>
      <c r="S72" s="2161"/>
      <c r="T72" s="2161"/>
      <c r="U72" s="2161"/>
      <c r="V72" s="2161"/>
      <c r="W72" s="2161"/>
      <c r="X72" s="2161"/>
      <c r="Y72" s="2161"/>
      <c r="Z72" s="2161"/>
      <c r="AA72" s="2161"/>
      <c r="AB72" s="2161"/>
      <c r="AC72" s="2161"/>
    </row>
    <row r="73" spans="1:29" s="1220" customFormat="1" ht="27" customHeight="1">
      <c r="A73" s="2806" t="s">
        <v>2650</v>
      </c>
      <c r="B73" s="479" t="str">
        <f>"北京市平均增长率"&amp;TEXT(SUMIF(基准地价!N21:N25,A73,基准地价!P21:P25),"0.00%")</f>
        <v>北京市平均增长率2.23%</v>
      </c>
      <c r="C73" s="894">
        <v>100</v>
      </c>
      <c r="D73" s="730">
        <v>99</v>
      </c>
      <c r="E73" s="730">
        <v>98</v>
      </c>
      <c r="F73" s="730">
        <v>97</v>
      </c>
      <c r="G73" s="730">
        <v>96</v>
      </c>
      <c r="H73" s="730">
        <v>95</v>
      </c>
      <c r="I73" s="730">
        <v>94</v>
      </c>
      <c r="J73" s="730">
        <v>93</v>
      </c>
      <c r="K73" s="730">
        <v>92</v>
      </c>
      <c r="L73" s="730">
        <v>91</v>
      </c>
      <c r="M73" s="730">
        <v>90</v>
      </c>
      <c r="N73" s="730">
        <v>89</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96" t="s">
        <v>2649</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20"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3179" t="s">
        <v>3137</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f>C82+1</f>
        <v>1</v>
      </c>
      <c r="E82" s="541">
        <f t="shared" ref="E82:J82" si="21">D82+1</f>
        <v>2</v>
      </c>
      <c r="F82" s="541">
        <f t="shared" si="21"/>
        <v>3</v>
      </c>
      <c r="G82" s="541">
        <f t="shared" si="21"/>
        <v>4</v>
      </c>
      <c r="H82" s="541">
        <f t="shared" si="21"/>
        <v>5</v>
      </c>
      <c r="I82" s="541">
        <f t="shared" si="21"/>
        <v>6</v>
      </c>
      <c r="J82" s="541">
        <f t="shared" si="21"/>
        <v>7</v>
      </c>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95</v>
      </c>
      <c r="E83" s="679">
        <f t="shared" ref="E83:M83" si="22">IF($B$48="单位面积地价",D83+$K13,D83-$K13)</f>
        <v>90</v>
      </c>
      <c r="F83" s="679">
        <f t="shared" si="22"/>
        <v>85</v>
      </c>
      <c r="G83" s="679">
        <f t="shared" si="22"/>
        <v>80</v>
      </c>
      <c r="H83" s="679">
        <f t="shared" si="22"/>
        <v>75</v>
      </c>
      <c r="I83" s="679">
        <f t="shared" si="22"/>
        <v>70</v>
      </c>
      <c r="J83" s="679">
        <f t="shared" si="22"/>
        <v>65</v>
      </c>
      <c r="K83" s="679">
        <f t="shared" si="22"/>
        <v>60</v>
      </c>
      <c r="L83" s="679">
        <f t="shared" si="22"/>
        <v>55</v>
      </c>
      <c r="M83" s="679">
        <f t="shared" si="22"/>
        <v>50</v>
      </c>
      <c r="N83" s="2166"/>
      <c r="O83" s="2166"/>
      <c r="P83" s="2165"/>
      <c r="Q83" s="2158"/>
      <c r="R83" s="2145"/>
      <c r="S83" s="2145"/>
      <c r="T83" s="2145"/>
      <c r="U83" s="2145"/>
      <c r="V83" s="2145"/>
      <c r="W83" s="2145"/>
      <c r="X83" s="2145"/>
      <c r="Y83" s="2145"/>
      <c r="Z83" s="2145"/>
      <c r="AA83" s="2145"/>
      <c r="AB83" s="2145"/>
      <c r="AC83" s="2145"/>
    </row>
    <row r="84" spans="1:29" s="1339" customFormat="1" ht="15.75" thickTop="1">
      <c r="A84" s="687"/>
      <c r="B84" s="673" t="str">
        <f>B14</f>
        <v>配建</v>
      </c>
      <c r="C84" s="688"/>
      <c r="D84" s="1376"/>
      <c r="E84" s="1377"/>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8" t="s">
        <v>2551</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97" t="s">
        <v>2553</v>
      </c>
      <c r="C104" s="2598" t="s">
        <v>2554</v>
      </c>
      <c r="D104" s="2598" t="s">
        <v>2555</v>
      </c>
      <c r="E104" s="2598" t="s">
        <v>2556</v>
      </c>
      <c r="F104" s="2598" t="s">
        <v>2557</v>
      </c>
      <c r="G104" s="2598" t="s">
        <v>2558</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548</v>
      </c>
      <c r="C108" s="3181" t="s">
        <v>3120</v>
      </c>
      <c r="D108" s="3181" t="s">
        <v>3121</v>
      </c>
      <c r="E108" s="3181" t="s">
        <v>3123</v>
      </c>
      <c r="F108" s="3181" t="s">
        <v>3124</v>
      </c>
      <c r="G108" s="3181" t="s">
        <v>3126</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551</v>
      </c>
      <c r="B118" s="665" t="s">
        <v>593</v>
      </c>
      <c r="C118" s="704" t="str">
        <f t="shared" ref="C118:L118" si="26">C119&amp;"(含)"&amp;"-"&amp;D119</f>
        <v>0(含)-10000</v>
      </c>
      <c r="D118" s="704" t="str">
        <f t="shared" si="26"/>
        <v>10000(含)-20000</v>
      </c>
      <c r="E118" s="704" t="str">
        <f t="shared" si="26"/>
        <v>20000(含)-30000</v>
      </c>
      <c r="F118" s="704" t="str">
        <f t="shared" si="26"/>
        <v>30000(含)-50000</v>
      </c>
      <c r="G118" s="704" t="str">
        <f t="shared" si="26"/>
        <v>50000(含)-</v>
      </c>
      <c r="H118" s="704" t="str">
        <f t="shared" si="26"/>
        <v>(含)-</v>
      </c>
      <c r="I118" s="704" t="str">
        <f t="shared" si="26"/>
        <v>(含)-</v>
      </c>
      <c r="J118" s="3091" t="str">
        <f t="shared" si="26"/>
        <v>(含)-</v>
      </c>
      <c r="K118" s="3091" t="str">
        <f t="shared" si="26"/>
        <v>(含)-</v>
      </c>
      <c r="L118" s="3092" t="str">
        <f t="shared" si="26"/>
        <v>(含)-</v>
      </c>
      <c r="M118" s="3093"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f>C119+10000</f>
        <v>10000</v>
      </c>
      <c r="E119" s="730">
        <v>20000</v>
      </c>
      <c r="F119" s="730">
        <v>30000</v>
      </c>
      <c r="G119" s="730">
        <v>50000</v>
      </c>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f>C120+1</f>
        <v>101</v>
      </c>
      <c r="E120" s="726">
        <f t="shared" ref="E120:J120" si="27">D120+1</f>
        <v>102</v>
      </c>
      <c r="F120" s="726">
        <f t="shared" si="27"/>
        <v>103</v>
      </c>
      <c r="G120" s="726">
        <f t="shared" si="27"/>
        <v>104</v>
      </c>
      <c r="H120" s="726">
        <f t="shared" si="27"/>
        <v>105</v>
      </c>
      <c r="I120" s="726">
        <f t="shared" si="27"/>
        <v>106</v>
      </c>
      <c r="J120" s="726">
        <f t="shared" si="27"/>
        <v>107</v>
      </c>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180" t="s">
        <v>3127</v>
      </c>
      <c r="D121" s="3180" t="s">
        <v>3129</v>
      </c>
      <c r="E121" s="3180" t="s">
        <v>3130</v>
      </c>
      <c r="F121" s="3180" t="s">
        <v>3132</v>
      </c>
      <c r="G121" s="3180" t="s">
        <v>3133</v>
      </c>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8">C122-$K41</f>
        <v>97</v>
      </c>
      <c r="E122" s="679">
        <f t="shared" si="28"/>
        <v>94</v>
      </c>
      <c r="F122" s="679">
        <f t="shared" si="28"/>
        <v>91</v>
      </c>
      <c r="G122" s="679">
        <f t="shared" si="28"/>
        <v>88</v>
      </c>
      <c r="H122" s="679">
        <f t="shared" si="28"/>
        <v>85</v>
      </c>
      <c r="I122" s="679">
        <f t="shared" si="28"/>
        <v>82</v>
      </c>
      <c r="J122" s="679">
        <f t="shared" si="28"/>
        <v>79</v>
      </c>
      <c r="K122" s="679">
        <f t="shared" si="28"/>
        <v>76</v>
      </c>
      <c r="L122" s="679">
        <f t="shared" si="28"/>
        <v>73</v>
      </c>
      <c r="M122" s="680">
        <f t="shared" si="28"/>
        <v>70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3181" t="s">
        <v>3134</v>
      </c>
      <c r="D123" s="3181" t="s">
        <v>3135</v>
      </c>
      <c r="E123" s="3181" t="s">
        <v>3130</v>
      </c>
      <c r="F123" s="3180" t="s">
        <v>3136</v>
      </c>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9">C124-$K42</f>
        <v>100</v>
      </c>
      <c r="E124" s="679">
        <f t="shared" si="29"/>
        <v>100</v>
      </c>
      <c r="F124" s="679">
        <f t="shared" si="29"/>
        <v>100</v>
      </c>
      <c r="G124" s="679">
        <f t="shared" si="29"/>
        <v>100</v>
      </c>
      <c r="H124" s="679">
        <f t="shared" si="29"/>
        <v>100</v>
      </c>
      <c r="I124" s="679">
        <f t="shared" si="29"/>
        <v>100</v>
      </c>
      <c r="J124" s="679">
        <f t="shared" si="29"/>
        <v>100</v>
      </c>
      <c r="K124" s="679">
        <f t="shared" si="29"/>
        <v>100</v>
      </c>
      <c r="L124" s="679">
        <f t="shared" si="29"/>
        <v>100</v>
      </c>
      <c r="M124" s="680">
        <f t="shared" si="29"/>
        <v>100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8" t="s">
        <v>2428</v>
      </c>
      <c r="C125" s="1376"/>
      <c r="D125" s="1376"/>
      <c r="E125" s="1376"/>
      <c r="F125" s="1376"/>
      <c r="G125" s="1376"/>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100</v>
      </c>
      <c r="E126" s="679">
        <f t="shared" ref="E126:M126" si="30">D126-$K43</f>
        <v>100</v>
      </c>
      <c r="F126" s="679">
        <f t="shared" si="30"/>
        <v>100</v>
      </c>
      <c r="G126" s="679">
        <f t="shared" si="30"/>
        <v>100</v>
      </c>
      <c r="H126" s="679">
        <f t="shared" si="30"/>
        <v>100</v>
      </c>
      <c r="I126" s="679">
        <f t="shared" si="30"/>
        <v>100</v>
      </c>
      <c r="J126" s="679">
        <f t="shared" si="30"/>
        <v>100</v>
      </c>
      <c r="K126" s="679">
        <f t="shared" si="30"/>
        <v>100</v>
      </c>
      <c r="L126" s="679">
        <f t="shared" si="30"/>
        <v>100</v>
      </c>
      <c r="M126" s="680">
        <f t="shared" si="30"/>
        <v>100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688"/>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31">C128-$K44</f>
        <v>100</v>
      </c>
      <c r="E128" s="679">
        <f t="shared" si="31"/>
        <v>100</v>
      </c>
      <c r="F128" s="679">
        <f t="shared" si="31"/>
        <v>100</v>
      </c>
      <c r="G128" s="679">
        <f t="shared" si="31"/>
        <v>100</v>
      </c>
      <c r="H128" s="679">
        <f t="shared" si="31"/>
        <v>100</v>
      </c>
      <c r="I128" s="679">
        <f t="shared" si="31"/>
        <v>100</v>
      </c>
      <c r="J128" s="679">
        <f t="shared" si="31"/>
        <v>100</v>
      </c>
      <c r="K128" s="679">
        <f t="shared" si="31"/>
        <v>100</v>
      </c>
      <c r="L128" s="679">
        <f t="shared" si="31"/>
        <v>100</v>
      </c>
      <c r="M128" s="680">
        <f t="shared" si="31"/>
        <v>100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8"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8"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8"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8"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8"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8"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8"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8"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8"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8"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8"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8"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8"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8"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8"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8"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8"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8"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8"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8"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8"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8"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8"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8"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8"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8"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8"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8"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8"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8"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8"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8"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8"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8"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8"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8"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8"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8"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8"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8"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8"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8"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8"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8"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8"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8"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8"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8"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8"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8"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8"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8"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8"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8"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8"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8"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8"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8"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8"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8"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8"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8"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8"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8"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8"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8"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8"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8"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8"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8"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8"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8"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8"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8"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8"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8"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8"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8"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8"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8"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8"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8"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8"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8"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8"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8"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8"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8"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8"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8"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8"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8"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8"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8"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8"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8"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8"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8"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8"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8"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8"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8"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8"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8"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8"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8"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8"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8"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8"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8"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8"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8"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8"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8"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8"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8"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8"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8"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8"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8"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8"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20" sqref="G20"/>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09"/>
      <c r="C1" s="2104"/>
      <c r="D1" s="2104"/>
      <c r="E1" s="2104"/>
      <c r="F1" s="2104"/>
      <c r="G1" s="2104"/>
      <c r="H1" s="2104"/>
      <c r="I1" s="2104"/>
      <c r="J1" s="2104"/>
      <c r="K1" s="422">
        <f>MATCH(B1,'数据-取费表'!A6:A16,0)+5</f>
        <v>8</v>
      </c>
    </row>
    <row r="2" spans="1:31" s="2041" customFormat="1" ht="18" customHeight="1">
      <c r="A2" s="2101" t="s">
        <v>467</v>
      </c>
      <c r="B2" s="2105">
        <f ca="1">C36</f>
        <v>20461</v>
      </c>
      <c r="C2" s="2104"/>
      <c r="D2" s="2104"/>
      <c r="E2" s="2104"/>
      <c r="F2" s="2104"/>
      <c r="G2" s="2104"/>
      <c r="H2" s="2104"/>
      <c r="I2" s="2104"/>
      <c r="J2" s="2104"/>
      <c r="K2" s="2104"/>
    </row>
    <row r="3" spans="1:31" s="2041" customFormat="1" ht="18" customHeight="1">
      <c r="A3" s="2106" t="s">
        <v>1685</v>
      </c>
      <c r="B3" s="2107">
        <f ca="1">ROUND(B2*10000/IF(B1="",'数据-汇总表'!E3,INDIRECT("'数据-取费表'!K"&amp;$K$1)),0)</f>
        <v>1374</v>
      </c>
      <c r="C3" s="2104"/>
      <c r="D3" s="2104"/>
      <c r="E3" s="2104"/>
      <c r="F3" s="2104"/>
      <c r="G3" s="2104"/>
      <c r="H3" s="2104"/>
      <c r="I3" s="2104"/>
      <c r="J3" s="2104"/>
      <c r="K3" s="2104"/>
    </row>
    <row r="4" spans="1:31" s="2041" customFormat="1" ht="18" customHeight="1">
      <c r="A4" s="426" t="s">
        <v>468</v>
      </c>
      <c r="B4" s="427">
        <f ca="1">ROUND(B2*10000/IF(B1="",'数据-汇总表'!D3,INDIRECT("'数据-取费表'!R"&amp;$K$1)),0)</f>
        <v>4122</v>
      </c>
      <c r="C4" s="428"/>
      <c r="D4" s="422"/>
      <c r="E4" s="422"/>
      <c r="F4" s="422"/>
      <c r="G4" s="422"/>
      <c r="H4" s="422"/>
      <c r="I4" s="422"/>
      <c r="J4" s="422"/>
      <c r="K4" s="422"/>
    </row>
    <row r="5" spans="1:31" s="2041" customFormat="1" ht="18" customHeight="1" thickBot="1">
      <c r="A5" s="429"/>
      <c r="B5" s="430">
        <f ca="1">ROUND(B2/(IF(B1="",'数据-汇总表'!D3,INDIRECT("'数据-取费表'!R"&amp;$K$1))/666.67),0)</f>
        <v>275</v>
      </c>
      <c r="C5" s="431" t="s">
        <v>469</v>
      </c>
      <c r="D5" s="422"/>
      <c r="E5" s="422"/>
      <c r="F5" s="422"/>
      <c r="G5" s="422"/>
      <c r="H5" s="422"/>
      <c r="I5" s="422"/>
      <c r="J5" s="422"/>
      <c r="K5" s="422"/>
    </row>
    <row r="6" spans="1:31" s="2111" customFormat="1" ht="16.5" customHeight="1">
      <c r="A6" s="2828" t="s">
        <v>1843</v>
      </c>
      <c r="B6" s="2829"/>
      <c r="C6" s="2830">
        <f ca="1">SUM(C10:K10)</f>
        <v>78425</v>
      </c>
      <c r="D6" s="2829"/>
      <c r="E6" s="2829"/>
      <c r="F6" s="2829"/>
      <c r="G6" s="2829"/>
      <c r="H6" s="2829"/>
      <c r="I6" s="2829"/>
      <c r="J6" s="2829"/>
      <c r="K6" s="2831"/>
    </row>
    <row r="7" spans="1:31" s="2113" customFormat="1" ht="15">
      <c r="A7" s="2832" t="s">
        <v>470</v>
      </c>
      <c r="B7" s="2833" t="s">
        <v>471</v>
      </c>
      <c r="C7" s="436" t="s">
        <v>923</v>
      </c>
      <c r="D7" s="436" t="s">
        <v>2985</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34">
        <f>'不动产比较法-住宅'!B3</f>
        <v>4577.1000000000004</v>
      </c>
      <c r="D8" s="2834">
        <f ca="1">不动产收益法!B3</f>
        <v>8224</v>
      </c>
      <c r="E8" s="2834"/>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119886.81318846154</v>
      </c>
      <c r="D9" s="441">
        <f>SUMIF('数据-汇总表'!$C19:$C33,'剩余法-待开发'!D7,'数据-汇总表'!$E19:$E33)</f>
        <v>28637.67</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1848</v>
      </c>
      <c r="B10" s="2822" t="s">
        <v>474</v>
      </c>
      <c r="C10" s="3028">
        <f>ROUND(C8*C9/10000,0)</f>
        <v>54873</v>
      </c>
      <c r="D10" s="3028">
        <f ca="1">ROUND(D8*D9/10000,0)</f>
        <v>23552</v>
      </c>
      <c r="E10" s="3028"/>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1844</v>
      </c>
      <c r="B11" s="2829"/>
      <c r="C11" s="2829"/>
      <c r="D11" s="2829"/>
      <c r="E11" s="2829"/>
      <c r="F11" s="2829"/>
      <c r="G11" s="2829"/>
      <c r="H11" s="2829"/>
      <c r="I11" s="2829"/>
      <c r="J11" s="2829"/>
      <c r="K11" s="2831"/>
    </row>
    <row r="12" spans="1:31" s="2085" customFormat="1" ht="13.5" customHeight="1">
      <c r="A12" s="2840" t="s">
        <v>470</v>
      </c>
      <c r="B12" s="2812" t="s">
        <v>471</v>
      </c>
      <c r="C12" s="2841" t="s">
        <v>475</v>
      </c>
      <c r="D12" s="2808" t="s">
        <v>476</v>
      </c>
      <c r="E12" s="2808" t="s">
        <v>477</v>
      </c>
      <c r="F12" s="2808" t="s">
        <v>478</v>
      </c>
      <c r="G12" s="2812"/>
      <c r="H12" s="2813"/>
      <c r="I12" s="2813"/>
      <c r="J12" s="2813"/>
      <c r="K12" s="2814"/>
    </row>
    <row r="13" spans="1:31" s="2116" customFormat="1" ht="13.5" customHeight="1">
      <c r="A13" s="2842" t="s">
        <v>1849</v>
      </c>
      <c r="B13" s="2843" t="s">
        <v>479</v>
      </c>
      <c r="C13" s="450">
        <f ca="1">IF(B1="",'数据-取费表'!P16,INDIRECT("'数据-取费表'!p"&amp;$K$1)+INDIRECT("'数据-取费表'!t"&amp;$K$1))</f>
        <v>27308</v>
      </c>
      <c r="D13" s="2844"/>
      <c r="E13" s="2845"/>
      <c r="F13" s="2846"/>
      <c r="G13" s="2812"/>
      <c r="H13" s="2813"/>
      <c r="I13" s="2813"/>
      <c r="J13" s="2813"/>
      <c r="K13" s="2814"/>
    </row>
    <row r="14" spans="1:31" s="2116" customFormat="1" ht="13.5" customHeight="1">
      <c r="A14" s="2842" t="s">
        <v>1850</v>
      </c>
      <c r="B14" s="2843" t="s">
        <v>480</v>
      </c>
      <c r="C14" s="53">
        <f ca="1">ROUND(C13*F14,0)</f>
        <v>819</v>
      </c>
      <c r="D14" s="2844"/>
      <c r="E14" s="2845"/>
      <c r="F14" s="2847">
        <f>'数据-取费表'!B33</f>
        <v>0.03</v>
      </c>
      <c r="G14" s="2812" t="s">
        <v>481</v>
      </c>
      <c r="H14" s="2813"/>
      <c r="I14" s="2813"/>
      <c r="J14" s="2813"/>
      <c r="K14" s="2814"/>
    </row>
    <row r="15" spans="1:31" s="2116" customFormat="1" ht="13.5" customHeight="1">
      <c r="A15" s="2842" t="s">
        <v>1851</v>
      </c>
      <c r="B15" s="2843" t="s">
        <v>482</v>
      </c>
      <c r="C15" s="53">
        <f ca="1">ROUND(IF(B1="",SUMIF('数据-取费表'!C:C,"住宅",'数据-取费表'!P:P)*F15,IF(INDIRECT("'数据-取费表'!c"&amp;$K$1)="住宅",INDIRECT("'数据-取费表'!P"&amp;$K$1)*F15,0)),0)</f>
        <v>1079</v>
      </c>
      <c r="D15" s="2844"/>
      <c r="E15" s="2845"/>
      <c r="F15" s="2847">
        <f>'数据-取费表'!B34</f>
        <v>0.05</v>
      </c>
      <c r="G15" s="2812" t="s">
        <v>483</v>
      </c>
      <c r="H15" s="2813"/>
      <c r="I15" s="2813"/>
      <c r="J15" s="2813"/>
      <c r="K15" s="2814"/>
    </row>
    <row r="16" spans="1:31" s="2117" customFormat="1" ht="13.5" customHeight="1">
      <c r="A16" s="2842" t="s">
        <v>1852</v>
      </c>
      <c r="B16" s="2843" t="s">
        <v>484</v>
      </c>
      <c r="C16" s="53">
        <f ca="1">ROUND(D16*E16/10000,0)</f>
        <v>2978</v>
      </c>
      <c r="D16" s="2844">
        <f ca="1">IF(B1="",'数据-汇总表'!E3,INDIRECT("'数据-取费表'!K"&amp;$K$1)+INDIRECT("'数据-取费表'!S"&amp;$K$1))</f>
        <v>148915.86318846155</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1853</v>
      </c>
      <c r="B17" s="2843" t="s">
        <v>485</v>
      </c>
      <c r="C17" s="2848">
        <f ca="1">ROUND(C13*F17,0)</f>
        <v>410</v>
      </c>
      <c r="D17" s="475"/>
      <c r="E17" s="2848"/>
      <c r="F17" s="2849">
        <f>'数据-取费表'!B36</f>
        <v>1.4999999999999999E-2</v>
      </c>
      <c r="G17" s="261" t="s">
        <v>486</v>
      </c>
      <c r="H17" s="2815"/>
      <c r="I17" s="2815"/>
      <c r="J17" s="2815"/>
      <c r="K17" s="279"/>
    </row>
    <row r="18" spans="1:14" s="2116" customFormat="1" ht="13.5" customHeight="1">
      <c r="A18" s="2850" t="s">
        <v>1854</v>
      </c>
      <c r="B18" s="2851" t="s">
        <v>487</v>
      </c>
      <c r="C18" s="2852">
        <f ca="1">SUM(C13:C17)</f>
        <v>32594</v>
      </c>
      <c r="D18" s="2853"/>
      <c r="E18" s="468"/>
      <c r="F18" s="468"/>
      <c r="G18" s="2816" t="s">
        <v>2433</v>
      </c>
      <c r="H18" s="2817"/>
      <c r="I18" s="2817"/>
      <c r="J18" s="2817"/>
      <c r="K18" s="2818"/>
    </row>
    <row r="19" spans="1:14" s="2116" customFormat="1" ht="13.5" customHeight="1">
      <c r="A19" s="2850" t="s">
        <v>1855</v>
      </c>
      <c r="B19" s="2851" t="s">
        <v>488</v>
      </c>
      <c r="C19" s="2808">
        <f ca="1">ROUND(D19*E19/10000,0)</f>
        <v>1340</v>
      </c>
      <c r="D19" s="2854">
        <f ca="1">D16</f>
        <v>148915.86318846155</v>
      </c>
      <c r="E19" s="2808">
        <f>'数据-取费表'!B32</f>
        <v>90</v>
      </c>
      <c r="F19" s="468"/>
      <c r="G19" s="2812" t="s">
        <v>489</v>
      </c>
      <c r="H19" s="2813"/>
      <c r="I19" s="2817"/>
      <c r="J19" s="2817"/>
      <c r="K19" s="2818"/>
    </row>
    <row r="20" spans="1:14" s="2116" customFormat="1" ht="13.5" customHeight="1">
      <c r="A20" s="2850" t="s">
        <v>1856</v>
      </c>
      <c r="B20" s="2851" t="s">
        <v>490</v>
      </c>
      <c r="C20" s="2808">
        <f ca="1">C21+C22-IF(B1="",'数据-取费表'!B29,IF(G20="已全部缴纳",C21+C22,H20))</f>
        <v>744</v>
      </c>
      <c r="D20" s="2854"/>
      <c r="E20" s="2808"/>
      <c r="F20" s="2855"/>
      <c r="G20" s="3088"/>
      <c r="H20" s="2810"/>
      <c r="I20" s="2811" t="s">
        <v>2654</v>
      </c>
      <c r="J20" s="2817"/>
      <c r="K20" s="2818"/>
    </row>
    <row r="21" spans="1:14" s="2116" customFormat="1" ht="13.5" customHeight="1">
      <c r="A21" s="2842" t="s">
        <v>1857</v>
      </c>
      <c r="B21" s="2843" t="s">
        <v>491</v>
      </c>
      <c r="C21" s="53">
        <f ca="1">ROUND(D21*E21/10000,0)</f>
        <v>599</v>
      </c>
      <c r="D21" s="2844">
        <f ca="1">IF(B1="",'数据-汇总表'!E5,IF(INDIRECT("'数据-取费表'!c"&amp;$K$1)="住宅",INDIRECT("'数据-取费表'!k"&amp;$K$1),0))</f>
        <v>119886.81318846154</v>
      </c>
      <c r="E21" s="53">
        <f>'数据-取费表'!B27</f>
        <v>50</v>
      </c>
      <c r="F21" s="2847"/>
      <c r="G21" s="26"/>
      <c r="H21" s="51"/>
      <c r="I21" s="51"/>
      <c r="J21" s="51"/>
      <c r="K21" s="2819"/>
    </row>
    <row r="22" spans="1:14" s="2116" customFormat="1" ht="13.5" customHeight="1">
      <c r="A22" s="2842" t="s">
        <v>1858</v>
      </c>
      <c r="B22" s="2843" t="s">
        <v>492</v>
      </c>
      <c r="C22" s="53">
        <f ca="1">ROUND(D22*E22/10000,0)</f>
        <v>145</v>
      </c>
      <c r="D22" s="2844">
        <f ca="1">IF(B1="",'数据-汇总表'!E6,IF(INDIRECT("'数据-取费表'!c"&amp;$K$1)="住宅",INDIRECT("'数据-取费表'!s"&amp;$K$1),INDIRECT("'数据-取费表'!k"&amp;$K$1)+INDIRECT("'数据-取费表'!s"&amp;$K$1)))</f>
        <v>29029.050000000003</v>
      </c>
      <c r="E22" s="53">
        <f>'数据-取费表'!B28</f>
        <v>50</v>
      </c>
      <c r="F22" s="2847"/>
      <c r="G22" s="26"/>
      <c r="H22" s="51"/>
      <c r="I22" s="51"/>
      <c r="J22" s="51"/>
      <c r="K22" s="2819"/>
    </row>
    <row r="23" spans="1:14" s="2116" customFormat="1" ht="13.5" customHeight="1">
      <c r="A23" s="2850" t="s">
        <v>1859</v>
      </c>
      <c r="B23" s="3034" t="s">
        <v>2837</v>
      </c>
      <c r="C23" s="2852">
        <f ca="1">ROUND((C18+C19+C20)*F23,0)</f>
        <v>694</v>
      </c>
      <c r="D23" s="468"/>
      <c r="E23" s="468"/>
      <c r="F23" s="2856">
        <f>'数据-取费表'!B37</f>
        <v>0.02</v>
      </c>
      <c r="G23" s="2812" t="s">
        <v>2434</v>
      </c>
      <c r="H23" s="2813"/>
      <c r="I23" s="2813"/>
      <c r="J23" s="2813"/>
      <c r="K23" s="2814"/>
      <c r="L23" s="2118"/>
      <c r="M23" s="2118"/>
      <c r="N23" s="2118"/>
    </row>
    <row r="24" spans="1:14" s="2116" customFormat="1" ht="13.5" customHeight="1">
      <c r="A24" s="2850" t="s">
        <v>1860</v>
      </c>
      <c r="B24" s="3034" t="s">
        <v>2840</v>
      </c>
      <c r="C24" s="2852">
        <f ca="1">ROUND(C6*F24,0)</f>
        <v>1569</v>
      </c>
      <c r="D24" s="475"/>
      <c r="E24" s="473"/>
      <c r="F24" s="2856">
        <f>'数据-取费表'!B38</f>
        <v>0.02</v>
      </c>
      <c r="G24" s="2821" t="s">
        <v>499</v>
      </c>
      <c r="H24" s="2815"/>
      <c r="I24" s="2815"/>
      <c r="J24" s="2815"/>
      <c r="K24" s="279"/>
      <c r="L24" s="2118"/>
      <c r="M24" s="2118"/>
      <c r="N24" s="2118"/>
    </row>
    <row r="25" spans="1:14" s="2119" customFormat="1" ht="13.5" customHeight="1">
      <c r="A25" s="2850" t="s">
        <v>1861</v>
      </c>
      <c r="B25" s="3034" t="s">
        <v>2838</v>
      </c>
      <c r="C25" s="467">
        <f>ROUND(F25/(1+'数据-取费表'!C42),4)</f>
        <v>2.9000000000000001E-2</v>
      </c>
      <c r="D25" s="462" t="s">
        <v>2832</v>
      </c>
      <c r="E25" s="469"/>
      <c r="F25" s="2856">
        <f>'数据-取费表'!B48+'数据-取费表'!B49</f>
        <v>3.0499999999999999E-2</v>
      </c>
      <c r="G25" s="2820" t="s">
        <v>2292</v>
      </c>
      <c r="H25" s="2813"/>
      <c r="I25" s="2813"/>
      <c r="J25" s="2813"/>
      <c r="K25" s="2814"/>
    </row>
    <row r="26" spans="1:14" s="2118" customFormat="1" ht="13.5" customHeight="1">
      <c r="A26" s="2850" t="s">
        <v>1862</v>
      </c>
      <c r="B26" s="3035" t="s">
        <v>2839</v>
      </c>
      <c r="C26" s="2857">
        <f ca="1">C28</f>
        <v>2663</v>
      </c>
      <c r="D26" s="467">
        <f ca="1">C27</f>
        <v>0.1537</v>
      </c>
      <c r="E26" s="469" t="s">
        <v>495</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1857</v>
      </c>
      <c r="B27" s="2858" t="s">
        <v>496</v>
      </c>
      <c r="C27" s="2859">
        <f ca="1">ROUND(IF('数据-取费表'!B22&lt;=1,(1+C25)*F26*'数据-取费表'!B24,(1+C25)*(POWER((1+F26),'数据-取费表'!B24)-1)),4)</f>
        <v>0.1537</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1858</v>
      </c>
      <c r="B28" s="2858" t="s">
        <v>2841</v>
      </c>
      <c r="C28" s="2860">
        <f ca="1">ROUND(IF('数据-取费表'!B22&lt;=1,(C18+C19+C20+C23+C24)*F26*'数据-取费表'!B24/2,(C18+C19+C20+C23+C24)*(POWER((1+F26),'数据-取费表'!B24/2)-1)),0)</f>
        <v>2663</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1863</v>
      </c>
      <c r="B29" s="2851" t="s">
        <v>497</v>
      </c>
      <c r="C29" s="2852">
        <f ca="1">ROUND(C6*F29/(1+'数据-取费表'!C42),0)</f>
        <v>4183</v>
      </c>
      <c r="D29" s="468"/>
      <c r="E29" s="468"/>
      <c r="F29" s="3036">
        <f>'数据-取费表'!B41</f>
        <v>5.6000000000000001E-2</v>
      </c>
      <c r="G29" s="2821" t="s">
        <v>498</v>
      </c>
      <c r="H29" s="2813"/>
      <c r="I29" s="2813"/>
      <c r="J29" s="2813"/>
      <c r="K29" s="2814"/>
    </row>
    <row r="30" spans="1:14" s="2121" customFormat="1" ht="13.5" customHeight="1">
      <c r="A30" s="1636" t="s">
        <v>1864</v>
      </c>
      <c r="B30" s="2862" t="s">
        <v>500</v>
      </c>
      <c r="C30" s="2857">
        <f ca="1">C31</f>
        <v>43787</v>
      </c>
      <c r="D30" s="477">
        <f ca="1">C32</f>
        <v>0.1827</v>
      </c>
      <c r="E30" s="469" t="s">
        <v>495</v>
      </c>
      <c r="F30" s="471"/>
      <c r="G30" s="2820" t="s">
        <v>2974</v>
      </c>
      <c r="H30" s="2813"/>
      <c r="I30" s="2813"/>
      <c r="J30" s="2813"/>
      <c r="K30" s="2814"/>
    </row>
    <row r="31" spans="1:14" s="2120" customFormat="1" ht="13.5" customHeight="1">
      <c r="A31" s="803" t="s">
        <v>1857</v>
      </c>
      <c r="B31" s="2858"/>
      <c r="C31" s="450">
        <f ca="1">C18+C19+C20+C23+C24+C26+C29</f>
        <v>43787</v>
      </c>
      <c r="D31" s="472"/>
      <c r="E31" s="473"/>
      <c r="F31" s="474"/>
      <c r="G31" s="261"/>
      <c r="H31" s="2815"/>
      <c r="I31" s="2815"/>
      <c r="J31" s="2815"/>
      <c r="K31" s="279"/>
    </row>
    <row r="32" spans="1:14" s="2120" customFormat="1" ht="13.5" customHeight="1">
      <c r="A32" s="803" t="s">
        <v>1858</v>
      </c>
      <c r="B32" s="2858"/>
      <c r="C32" s="53">
        <f ca="1">ROUND(C25+D26,4)</f>
        <v>0.1827</v>
      </c>
      <c r="D32" s="472"/>
      <c r="E32" s="473"/>
      <c r="F32" s="474"/>
      <c r="G32" s="261"/>
      <c r="H32" s="2815"/>
      <c r="I32" s="2815"/>
      <c r="J32" s="2815"/>
      <c r="K32" s="279"/>
    </row>
    <row r="33" spans="1:11" s="2122" customFormat="1" ht="13.5" customHeight="1">
      <c r="A33" s="3033" t="s">
        <v>2836</v>
      </c>
      <c r="B33" s="3031" t="s">
        <v>2834</v>
      </c>
      <c r="C33" s="478">
        <f ca="1">C35</f>
        <v>6649</v>
      </c>
      <c r="D33" s="467">
        <f ca="1">C34</f>
        <v>0.1852</v>
      </c>
      <c r="E33" s="469" t="s">
        <v>495</v>
      </c>
      <c r="F33" s="479">
        <f ca="1">IF(B1="",'数据-取费表'!Q16,INDIRECT("'数据-取费表'!q"&amp;$K$1))</f>
        <v>0.18</v>
      </c>
      <c r="G33" s="2816"/>
      <c r="H33" s="2817"/>
      <c r="I33" s="2817"/>
      <c r="J33" s="2817"/>
      <c r="K33" s="2818"/>
    </row>
    <row r="34" spans="1:11" s="2123" customFormat="1" ht="13.5" customHeight="1">
      <c r="A34" s="375" t="s">
        <v>1857</v>
      </c>
      <c r="B34" s="2863" t="s">
        <v>501</v>
      </c>
      <c r="C34" s="472">
        <f ca="1">ROUND((1+C25)*F33,4)</f>
        <v>0.1852</v>
      </c>
      <c r="D34" s="472"/>
      <c r="E34" s="473"/>
      <c r="F34" s="480"/>
      <c r="G34" s="261" t="s">
        <v>2293</v>
      </c>
      <c r="H34" s="2815"/>
      <c r="I34" s="2815"/>
      <c r="J34" s="2815"/>
      <c r="K34" s="279"/>
    </row>
    <row r="35" spans="1:11" s="2123" customFormat="1" ht="13.5" customHeight="1" thickBot="1">
      <c r="A35" s="1637" t="s">
        <v>1858</v>
      </c>
      <c r="B35" s="3032" t="s">
        <v>2842</v>
      </c>
      <c r="C35" s="1629">
        <f ca="1">ROUND((C18+C19+C20+C23+C24)*F33,0)</f>
        <v>6649</v>
      </c>
      <c r="D35" s="1630"/>
      <c r="E35" s="2864"/>
      <c r="F35" s="1631"/>
      <c r="G35" s="2822"/>
      <c r="H35" s="2823"/>
      <c r="I35" s="2823"/>
      <c r="J35" s="2823"/>
      <c r="K35" s="2824"/>
    </row>
    <row r="36" spans="1:11" s="2085" customFormat="1" ht="13.5" customHeight="1" thickBot="1">
      <c r="A36" s="284" t="s">
        <v>1845</v>
      </c>
      <c r="B36" s="2826"/>
      <c r="C36" s="2865">
        <f ca="1">ROUND((C6-C30-C33)/(1+D30+D33),0)</f>
        <v>20461</v>
      </c>
      <c r="D36" s="2826"/>
      <c r="E36" s="2826"/>
      <c r="F36" s="2826"/>
      <c r="G36" s="2825" t="s">
        <v>2843</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E32" sqref="E32: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09"/>
      <c r="C1" s="2104"/>
      <c r="D1" s="2104"/>
      <c r="E1" s="2104"/>
      <c r="F1" s="2104"/>
      <c r="G1" s="2104"/>
      <c r="H1" s="2104"/>
      <c r="I1" s="2104"/>
      <c r="J1" s="2104"/>
      <c r="K1" s="422">
        <f>MATCH(B1,'数据-取费表'!A6:A16,0)+5</f>
        <v>8</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80"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2655</v>
      </c>
      <c r="B6" s="433"/>
      <c r="C6" s="1624">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2"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3" t="s">
        <v>1848</v>
      </c>
      <c r="B10" s="1625" t="s">
        <v>474</v>
      </c>
      <c r="C10" s="1626"/>
      <c r="D10" s="1626"/>
      <c r="E10" s="1626"/>
      <c r="F10" s="1627"/>
      <c r="G10" s="1627"/>
      <c r="H10" s="1627"/>
      <c r="I10" s="1627"/>
      <c r="J10" s="1627"/>
      <c r="K10" s="1628"/>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1" t="s">
        <v>1865</v>
      </c>
      <c r="B11" s="1622"/>
      <c r="C11" s="1622"/>
      <c r="D11" s="1622"/>
      <c r="E11" s="1622"/>
      <c r="F11" s="1622"/>
      <c r="G11" s="1622"/>
      <c r="H11" s="1622"/>
      <c r="I11" s="1622"/>
      <c r="J11" s="1622"/>
      <c r="K11" s="1623"/>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4" t="s">
        <v>1849</v>
      </c>
      <c r="B13" s="449" t="s">
        <v>479</v>
      </c>
      <c r="C13" s="450">
        <f ca="1">IF(B1="",'数据-取费表'!M16,INDIRECT("'数据-取费表'!M"&amp;$K$1)+INDIRECT("'数据-取费表'!t"&amp;$K$1))</f>
        <v>27308</v>
      </c>
      <c r="D13" s="451"/>
      <c r="E13" s="365"/>
      <c r="F13" s="452"/>
      <c r="G13" s="444"/>
      <c r="H13" s="447"/>
      <c r="I13" s="447"/>
      <c r="J13" s="447"/>
      <c r="K13" s="448"/>
    </row>
    <row r="14" spans="1:41" s="2116" customFormat="1" ht="13.5" customHeight="1">
      <c r="A14" s="1634" t="s">
        <v>1850</v>
      </c>
      <c r="B14" s="449" t="s">
        <v>480</v>
      </c>
      <c r="C14" s="53">
        <f ca="1">ROUND(C13*F14,0)</f>
        <v>819</v>
      </c>
      <c r="D14" s="451"/>
      <c r="E14" s="365"/>
      <c r="F14" s="453">
        <f>'数据-取费表'!B33</f>
        <v>0.03</v>
      </c>
      <c r="G14" s="444" t="s">
        <v>502</v>
      </c>
      <c r="H14" s="447"/>
      <c r="I14" s="447"/>
      <c r="J14" s="447"/>
      <c r="K14" s="448"/>
    </row>
    <row r="15" spans="1:41" s="2116" customFormat="1" ht="13.5" customHeight="1">
      <c r="A15" s="1634" t="s">
        <v>1851</v>
      </c>
      <c r="B15" s="449" t="s">
        <v>482</v>
      </c>
      <c r="C15" s="53">
        <f ca="1">ROUND(IF(B1="",SUMIF('数据-取费表'!C:C,"住宅",'数据-取费表'!M:M)*F15,IF(INDIRECT("'数据-取费表'!c"&amp;$K$1)="住宅",INDIRECT("'数据-取费表'!M"&amp;$K$1)*F15,0)),0)</f>
        <v>1079</v>
      </c>
      <c r="D15" s="451"/>
      <c r="E15" s="365"/>
      <c r="F15" s="453">
        <f>'数据-取费表'!B34</f>
        <v>0.05</v>
      </c>
      <c r="G15" s="444" t="s">
        <v>502</v>
      </c>
      <c r="H15" s="447"/>
      <c r="I15" s="447"/>
      <c r="J15" s="447"/>
      <c r="K15" s="448"/>
    </row>
    <row r="16" spans="1:41" s="2117" customFormat="1" ht="13.5" customHeight="1">
      <c r="A16" s="1634" t="s">
        <v>1852</v>
      </c>
      <c r="B16" s="449" t="s">
        <v>484</v>
      </c>
      <c r="C16" s="53">
        <f ca="1">ROUND(D16*E16/10000,0)</f>
        <v>2978</v>
      </c>
      <c r="D16" s="451">
        <f ca="1">IF(B1="",'数据-汇总表'!E3,INDIRECT("'数据-取费表'!K"&amp;$K$1)+INDIRECT("'数据-取费表'!S"&amp;$K$1))</f>
        <v>148915.86318846155</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4" t="s">
        <v>1853</v>
      </c>
      <c r="B17" s="449" t="s">
        <v>485</v>
      </c>
      <c r="C17" s="454">
        <f ca="1">ROUND(C13*F17,0)</f>
        <v>410</v>
      </c>
      <c r="D17" s="455"/>
      <c r="E17" s="454"/>
      <c r="F17" s="456">
        <f>'数据-取费表'!B36</f>
        <v>1.4999999999999999E-2</v>
      </c>
      <c r="G17" s="444" t="s">
        <v>502</v>
      </c>
      <c r="H17" s="457"/>
      <c r="I17" s="457"/>
      <c r="J17" s="457"/>
      <c r="K17" s="458"/>
    </row>
    <row r="18" spans="1:14" s="2119" customFormat="1" ht="13.5" customHeight="1">
      <c r="A18" s="1635" t="s">
        <v>1854</v>
      </c>
      <c r="B18" s="459" t="s">
        <v>487</v>
      </c>
      <c r="C18" s="460">
        <f ca="1">SUM(C13:C17)</f>
        <v>32594</v>
      </c>
      <c r="D18" s="461"/>
      <c r="E18" s="462"/>
      <c r="F18" s="462"/>
      <c r="G18" s="1327" t="s">
        <v>2435</v>
      </c>
      <c r="H18" s="447"/>
      <c r="I18" s="447"/>
      <c r="J18" s="447"/>
      <c r="K18" s="448"/>
    </row>
    <row r="19" spans="1:14" s="2119" customFormat="1" ht="13.5" customHeight="1">
      <c r="A19" s="1635" t="s">
        <v>1855</v>
      </c>
      <c r="B19" s="459" t="s">
        <v>493</v>
      </c>
      <c r="C19" s="460">
        <f ca="1">ROUND(C18*F19,0)</f>
        <v>652</v>
      </c>
      <c r="D19" s="462"/>
      <c r="E19" s="462"/>
      <c r="F19" s="466">
        <f>'数据-取费表'!B37</f>
        <v>0.02</v>
      </c>
      <c r="G19" s="444" t="s">
        <v>503</v>
      </c>
      <c r="H19" s="447"/>
      <c r="I19" s="447"/>
      <c r="J19" s="447"/>
      <c r="K19" s="448"/>
      <c r="L19" s="2121"/>
      <c r="M19" s="2121"/>
      <c r="N19" s="2121"/>
    </row>
    <row r="20" spans="1:14" s="2119" customFormat="1" ht="13.5" customHeight="1">
      <c r="A20" s="1635" t="s">
        <v>1856</v>
      </c>
      <c r="B20" s="459" t="s">
        <v>504</v>
      </c>
      <c r="C20" s="3029">
        <f>F20</f>
        <v>0.02</v>
      </c>
      <c r="D20" s="469" t="s">
        <v>505</v>
      </c>
      <c r="E20" s="469"/>
      <c r="F20" s="486">
        <f>'数据-取费表'!B38</f>
        <v>0.02</v>
      </c>
      <c r="G20" s="1327" t="s">
        <v>506</v>
      </c>
      <c r="H20" s="447"/>
      <c r="I20" s="447"/>
      <c r="J20" s="447"/>
      <c r="K20" s="448"/>
      <c r="L20" s="2121"/>
      <c r="M20" s="2121"/>
      <c r="N20" s="2121"/>
    </row>
    <row r="21" spans="1:14" s="2121" customFormat="1" ht="13.5" customHeight="1">
      <c r="A21" s="1635" t="s">
        <v>1859</v>
      </c>
      <c r="B21" s="461" t="s">
        <v>494</v>
      </c>
      <c r="C21" s="470">
        <f ca="1">C22</f>
        <v>2397</v>
      </c>
      <c r="D21" s="467">
        <f ca="1">C23</f>
        <v>1.4E-3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2457</v>
      </c>
    </row>
    <row r="22" spans="1:14" s="2120" customFormat="1" ht="13.5" customHeight="1">
      <c r="A22" s="1634" t="s">
        <v>1849</v>
      </c>
      <c r="B22" s="1328" t="s">
        <v>2438</v>
      </c>
      <c r="C22" s="487">
        <f ca="1">ROUND(IF('数据-取费表'!B22&lt;=1,(C18+C19)*F21*'数据-取费表'!B20/2,(C18+C19)*(POWER((1+F21),'数据-取费表'!B20/2)-1)),0)</f>
        <v>2397</v>
      </c>
      <c r="D22" s="472"/>
      <c r="E22" s="473"/>
      <c r="F22" s="474"/>
      <c r="G22" s="2567" t="str">
        <f>IF('数据-取费表'!B22&lt;=1,"((1)+(2))×年利率×建设期÷2","((1)+(2))×((1+年利率)^(建设期÷2)-1)")</f>
        <v>((1)+(2))×((1+年利率)^(建设期÷2)-1)</v>
      </c>
      <c r="H22" s="457"/>
      <c r="I22" s="457"/>
      <c r="J22" s="457"/>
      <c r="K22" s="458"/>
    </row>
    <row r="23" spans="1:14" s="2120" customFormat="1" ht="13.5" customHeight="1">
      <c r="A23" s="1634" t="s">
        <v>1850</v>
      </c>
      <c r="B23" s="1328" t="s">
        <v>508</v>
      </c>
      <c r="C23" s="488">
        <f ca="1">ROUND(IF('数据-取费表'!B22&lt;=1,F20*F21*'数据-取费表'!B20/2,F20*(POWER((1+F21),'数据-取费表'!B20/2)-1)),4)</f>
        <v>1.4E-3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5" t="s">
        <v>1860</v>
      </c>
      <c r="B24" s="3031" t="s">
        <v>2835</v>
      </c>
      <c r="C24" s="478">
        <f ca="1">C25</f>
        <v>5984</v>
      </c>
      <c r="D24" s="489">
        <f ca="1">C26</f>
        <v>3.5999999999999999E-3</v>
      </c>
      <c r="E24" s="469" t="s">
        <v>507</v>
      </c>
      <c r="F24" s="479">
        <f ca="1">IF(B1="",'数据-取费表'!Q16,INDIRECT("'数据-取费表'!q"&amp;$K$1))</f>
        <v>0.18</v>
      </c>
      <c r="G24" s="444"/>
      <c r="H24" s="447"/>
      <c r="I24" s="447"/>
      <c r="J24" s="447"/>
      <c r="K24" s="448"/>
    </row>
    <row r="25" spans="1:14" s="2120" customFormat="1" ht="13.5" customHeight="1">
      <c r="A25" s="1634" t="s">
        <v>1849</v>
      </c>
      <c r="B25" s="1328" t="s">
        <v>2439</v>
      </c>
      <c r="C25" s="490">
        <f ca="1">ROUND((C18+C19)*F24,0)</f>
        <v>5984</v>
      </c>
      <c r="D25" s="472"/>
      <c r="E25" s="473"/>
      <c r="F25" s="480"/>
      <c r="G25" s="1326" t="s">
        <v>2436</v>
      </c>
      <c r="H25" s="457"/>
      <c r="I25" s="457"/>
      <c r="J25" s="457"/>
      <c r="K25" s="458"/>
    </row>
    <row r="26" spans="1:14" s="2120" customFormat="1" ht="13.5" customHeight="1">
      <c r="A26" s="1634" t="s">
        <v>1850</v>
      </c>
      <c r="B26" s="1328" t="s">
        <v>509</v>
      </c>
      <c r="C26" s="491">
        <f ca="1">ROUND(F20*F24,4)</f>
        <v>3.5999999999999999E-3</v>
      </c>
      <c r="D26" s="472"/>
      <c r="E26" s="481"/>
      <c r="F26" s="480"/>
      <c r="G26" s="1326" t="s">
        <v>510</v>
      </c>
      <c r="H26" s="457"/>
      <c r="I26" s="457"/>
      <c r="J26" s="457"/>
      <c r="K26" s="458"/>
    </row>
    <row r="27" spans="1:14" s="2120" customFormat="1" ht="13.5" customHeight="1">
      <c r="A27" s="1638" t="s">
        <v>1868</v>
      </c>
      <c r="B27" s="459" t="s">
        <v>511</v>
      </c>
      <c r="C27" s="3030">
        <f>ROUND(F27/(1+'数据-取费表'!C42),4)</f>
        <v>5.33E-2</v>
      </c>
      <c r="D27" s="462" t="s">
        <v>2833</v>
      </c>
      <c r="E27" s="462"/>
      <c r="F27" s="466">
        <f>'数据-取费表'!B41</f>
        <v>5.6000000000000001E-2</v>
      </c>
      <c r="G27" s="1962" t="s">
        <v>2294</v>
      </c>
      <c r="H27" s="447"/>
      <c r="I27" s="447"/>
      <c r="J27" s="447"/>
      <c r="K27" s="448"/>
    </row>
    <row r="28" spans="1:14" s="2121" customFormat="1" ht="13.5" customHeight="1">
      <c r="A28" s="1638" t="s">
        <v>1869</v>
      </c>
      <c r="B28" s="476" t="s">
        <v>512</v>
      </c>
      <c r="C28" s="470">
        <f ca="1">ROUND((C18+C19+C21+C24)/(1-C20-D21-D24-C27),0)</f>
        <v>45163</v>
      </c>
      <c r="D28" s="477"/>
      <c r="E28" s="469"/>
      <c r="F28" s="471"/>
      <c r="G28" s="1327" t="s">
        <v>2437</v>
      </c>
      <c r="H28" s="447"/>
      <c r="I28" s="447"/>
      <c r="J28" s="447"/>
      <c r="K28" s="448"/>
    </row>
    <row r="29" spans="1:14" s="2121"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482" t="s">
        <v>1866</v>
      </c>
      <c r="B31" s="1330"/>
      <c r="C31" s="500">
        <f>ROUND(C6*F31/(1+'数据-取费表'!C42),0)</f>
        <v>0</v>
      </c>
      <c r="D31" s="1331"/>
      <c r="E31" s="1331"/>
      <c r="F31" s="501">
        <f>'数据-取费表'!B41</f>
        <v>5.6000000000000001E-2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3" t="s">
        <v>2975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E32" sqref="E32: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8"/>
      <c r="D2" s="2128"/>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1"/>
      <c r="D3" s="2061"/>
      <c r="E3" s="2061"/>
      <c r="F3" s="2061"/>
      <c r="G3" s="2128"/>
      <c r="H3" s="2128"/>
      <c r="I3" s="2128"/>
      <c r="J3" s="2128"/>
      <c r="K3" s="2130"/>
      <c r="L3" s="2131"/>
      <c r="M3" s="2132"/>
      <c r="N3" s="2132"/>
      <c r="O3" s="2132"/>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5"/>
      <c r="Q5" s="1565"/>
      <c r="R5" s="1565"/>
      <c r="S5" s="1565"/>
      <c r="T5" s="1565"/>
      <c r="U5" s="1565"/>
      <c r="V5" s="1565"/>
      <c r="W5" s="1565"/>
      <c r="X5" s="1565"/>
      <c r="Y5" s="1565"/>
      <c r="Z5" s="1565"/>
      <c r="AA5" s="1565"/>
      <c r="AB5" s="1567"/>
      <c r="AC5" s="428"/>
    </row>
    <row r="6" spans="1:29" ht="15">
      <c r="A6" s="512" t="s">
        <v>521</v>
      </c>
      <c r="B6" s="513"/>
      <c r="C6" s="3371" t="s">
        <v>522</v>
      </c>
      <c r="D6" s="3372"/>
      <c r="E6" s="3406" t="s">
        <v>523</v>
      </c>
      <c r="F6" s="3407"/>
      <c r="G6" s="3371" t="s">
        <v>524</v>
      </c>
      <c r="H6" s="3372"/>
      <c r="I6" s="3371" t="s">
        <v>525</v>
      </c>
      <c r="J6" s="3372"/>
      <c r="K6" s="514" t="s">
        <v>526</v>
      </c>
      <c r="L6" s="2133"/>
      <c r="M6" s="2134"/>
      <c r="N6" s="2134"/>
      <c r="O6" s="2134"/>
      <c r="P6" s="3373" t="s">
        <v>527</v>
      </c>
      <c r="Q6" s="3374"/>
      <c r="R6" s="3379" t="s">
        <v>523</v>
      </c>
      <c r="S6" s="3380"/>
      <c r="T6" s="3379" t="s">
        <v>524</v>
      </c>
      <c r="U6" s="3380"/>
      <c r="V6" s="3366" t="s">
        <v>525</v>
      </c>
      <c r="W6" s="3366"/>
      <c r="X6" s="1568"/>
      <c r="Y6" s="3379" t="s">
        <v>527</v>
      </c>
      <c r="Z6" s="3380"/>
      <c r="AA6" s="3368" t="s">
        <v>523</v>
      </c>
      <c r="AB6" s="3369" t="s">
        <v>524</v>
      </c>
      <c r="AC6" s="3368" t="s">
        <v>525</v>
      </c>
    </row>
    <row r="7" spans="1:29" ht="15">
      <c r="A7" s="515"/>
      <c r="B7" s="516"/>
      <c r="C7" s="3403" t="s">
        <v>2930</v>
      </c>
      <c r="D7" s="3388"/>
      <c r="E7" s="3408" t="s">
        <v>2931</v>
      </c>
      <c r="F7" s="3409"/>
      <c r="G7" s="3403" t="s">
        <v>2932</v>
      </c>
      <c r="H7" s="3388"/>
      <c r="I7" s="3403" t="s">
        <v>2933</v>
      </c>
      <c r="J7" s="3388"/>
      <c r="K7" s="514"/>
      <c r="L7" s="2133"/>
      <c r="M7" s="2134"/>
      <c r="N7" s="2134"/>
      <c r="O7" s="2134"/>
      <c r="P7" s="3375"/>
      <c r="Q7" s="3376"/>
      <c r="R7" s="3381"/>
      <c r="S7" s="3382"/>
      <c r="T7" s="3381"/>
      <c r="U7" s="3382"/>
      <c r="V7" s="3366"/>
      <c r="W7" s="3366"/>
      <c r="X7" s="1568"/>
      <c r="Y7" s="3381"/>
      <c r="Z7" s="3382"/>
      <c r="AA7" s="3369"/>
      <c r="AB7" s="3369"/>
      <c r="AC7" s="3369"/>
    </row>
    <row r="8" spans="1:29" ht="15.75" thickBot="1">
      <c r="A8" s="517"/>
      <c r="B8" s="518"/>
      <c r="C8" s="3385" t="s">
        <v>2934</v>
      </c>
      <c r="D8" s="3386"/>
      <c r="E8" s="3404" t="s">
        <v>2934</v>
      </c>
      <c r="F8" s="3405"/>
      <c r="G8" s="3385" t="s">
        <v>2934</v>
      </c>
      <c r="H8" s="3386"/>
      <c r="I8" s="3385" t="s">
        <v>2934</v>
      </c>
      <c r="J8" s="3386"/>
      <c r="K8" s="514" t="s">
        <v>528</v>
      </c>
      <c r="L8" s="2133"/>
      <c r="M8" s="2134"/>
      <c r="N8" s="2134"/>
      <c r="O8" s="2134"/>
      <c r="P8" s="3377"/>
      <c r="Q8" s="3378"/>
      <c r="R8" s="3381"/>
      <c r="S8" s="3382"/>
      <c r="T8" s="3383"/>
      <c r="U8" s="3384"/>
      <c r="V8" s="3366"/>
      <c r="W8" s="3366"/>
      <c r="X8" s="1568"/>
      <c r="Y8" s="3383"/>
      <c r="Z8" s="3384"/>
      <c r="AA8" s="3370"/>
      <c r="AB8" s="3370"/>
      <c r="AC8" s="3370"/>
    </row>
    <row r="9" spans="1:29" s="1220" customFormat="1" ht="15.75" thickBot="1">
      <c r="A9" s="2912"/>
      <c r="B9" s="2919" t="s">
        <v>529</v>
      </c>
      <c r="C9" s="519">
        <f>'数据-取费表'!B2</f>
        <v>43361</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96" t="s">
        <v>530</v>
      </c>
      <c r="Q9" s="3398"/>
      <c r="R9" s="1569" t="s">
        <v>8</v>
      </c>
      <c r="S9" s="1570">
        <f t="shared" ref="S9:S17" si="0">F9</f>
        <v>0</v>
      </c>
      <c r="T9" s="1569" t="s">
        <v>8</v>
      </c>
      <c r="U9" s="1570">
        <f t="shared" ref="U9:U17" si="1">H9</f>
        <v>0</v>
      </c>
      <c r="V9" s="1569" t="s">
        <v>8</v>
      </c>
      <c r="W9" s="1570">
        <f t="shared" ref="W9:W17" si="2">J9</f>
        <v>0</v>
      </c>
      <c r="X9" s="1571"/>
      <c r="Y9" s="3396" t="s">
        <v>530</v>
      </c>
      <c r="Z9" s="3397"/>
      <c r="AA9" s="1572" t="e">
        <f>D9/F9</f>
        <v>#DIV/0!</v>
      </c>
      <c r="AB9" s="1572" t="e">
        <f>D9/H9</f>
        <v>#DIV/0!</v>
      </c>
      <c r="AC9" s="1572" t="e">
        <f>D9/J9</f>
        <v>#DIV/0!</v>
      </c>
    </row>
    <row r="10" spans="1:29" s="1220" customFormat="1" ht="15.75" thickBot="1">
      <c r="A10" s="2913"/>
      <c r="B10" s="2920"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96" t="s">
        <v>533</v>
      </c>
      <c r="Q10" s="3397"/>
      <c r="R10" s="1569" t="s">
        <v>8</v>
      </c>
      <c r="S10" s="1570">
        <f t="shared" si="0"/>
        <v>0</v>
      </c>
      <c r="T10" s="1569" t="s">
        <v>8</v>
      </c>
      <c r="U10" s="1570">
        <f t="shared" si="1"/>
        <v>0</v>
      </c>
      <c r="V10" s="1569" t="s">
        <v>8</v>
      </c>
      <c r="W10" s="1570">
        <f t="shared" si="2"/>
        <v>0</v>
      </c>
      <c r="X10" s="1571"/>
      <c r="Y10" s="3396" t="s">
        <v>533</v>
      </c>
      <c r="Z10" s="3397"/>
      <c r="AA10" s="1572" t="e">
        <f t="shared" ref="AA10:AA42" si="3">D10/F10</f>
        <v>#DIV/0!</v>
      </c>
      <c r="AB10" s="1572" t="e">
        <f t="shared" ref="AB10:AB42" si="4">D10/H10</f>
        <v>#DIV/0!</v>
      </c>
      <c r="AC10" s="1572" t="e">
        <f t="shared" ref="AC10:AC42" si="5">D10/J10</f>
        <v>#DIV/0!</v>
      </c>
    </row>
    <row r="11" spans="1:29" s="1220" customFormat="1" ht="15">
      <c r="A11" s="2914"/>
      <c r="B11" s="2921" t="s">
        <v>2759</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65" t="s">
        <v>535</v>
      </c>
      <c r="Q11" s="1151" t="str">
        <f t="shared" ref="Q11:Q17" si="6">B11</f>
        <v>用途</v>
      </c>
      <c r="R11" s="1569" t="s">
        <v>8</v>
      </c>
      <c r="S11" s="1570">
        <f t="shared" si="0"/>
        <v>100</v>
      </c>
      <c r="T11" s="1569" t="s">
        <v>8</v>
      </c>
      <c r="U11" s="1570">
        <f t="shared" si="1"/>
        <v>100</v>
      </c>
      <c r="V11" s="1569" t="s">
        <v>8</v>
      </c>
      <c r="W11" s="1570">
        <f t="shared" si="2"/>
        <v>100</v>
      </c>
      <c r="X11" s="1571"/>
      <c r="Y11" s="3311" t="s">
        <v>536</v>
      </c>
      <c r="Z11" s="1150" t="str">
        <f t="shared" ref="Z11:Z17" si="7">Q11</f>
        <v>用途</v>
      </c>
      <c r="AA11" s="1572">
        <f t="shared" si="3"/>
        <v>1</v>
      </c>
      <c r="AB11" s="1572">
        <f t="shared" si="4"/>
        <v>1</v>
      </c>
      <c r="AC11" s="1572">
        <f t="shared" si="5"/>
        <v>1</v>
      </c>
    </row>
    <row r="12" spans="1:29" s="1338" customFormat="1" ht="27">
      <c r="A12" s="2915"/>
      <c r="B12" s="2920" t="s">
        <v>2760</v>
      </c>
      <c r="C12" s="528"/>
      <c r="D12" s="255">
        <v>100</v>
      </c>
      <c r="E12" s="528"/>
      <c r="F12" s="255">
        <f>ROUND(100/'数据-取费表'!G16,0)</f>
        <v>101</v>
      </c>
      <c r="G12" s="528"/>
      <c r="H12" s="255">
        <f>ROUND(100/'数据-取费表'!G16,0)</f>
        <v>101</v>
      </c>
      <c r="I12" s="528"/>
      <c r="J12" s="255">
        <f>ROUND(100/'数据-取费表'!G16,0)</f>
        <v>101</v>
      </c>
      <c r="K12" s="531"/>
      <c r="L12" s="2138"/>
      <c r="M12" s="2178"/>
      <c r="N12" s="2178"/>
      <c r="O12" s="2139"/>
      <c r="P12" s="3365"/>
      <c r="Q12" s="1151" t="str">
        <f t="shared" si="6"/>
        <v>土地使用年限（年）</v>
      </c>
      <c r="R12" s="1569" t="s">
        <v>8</v>
      </c>
      <c r="S12" s="1570">
        <f t="shared" si="0"/>
        <v>101</v>
      </c>
      <c r="T12" s="1569" t="s">
        <v>8</v>
      </c>
      <c r="U12" s="1570">
        <f t="shared" si="1"/>
        <v>101</v>
      </c>
      <c r="V12" s="1569" t="s">
        <v>8</v>
      </c>
      <c r="W12" s="1570">
        <f t="shared" si="2"/>
        <v>101</v>
      </c>
      <c r="X12" s="1571"/>
      <c r="Y12" s="3311"/>
      <c r="Z12" s="1150" t="str">
        <f t="shared" si="7"/>
        <v>土地使用年限（年）</v>
      </c>
      <c r="AA12" s="1572">
        <f t="shared" si="3"/>
        <v>0.99009900990099009</v>
      </c>
      <c r="AB12" s="1572">
        <f t="shared" si="4"/>
        <v>0.99009900990099009</v>
      </c>
      <c r="AC12" s="1572">
        <f t="shared" si="5"/>
        <v>0.99009900990099009</v>
      </c>
    </row>
    <row r="13" spans="1:29" ht="15">
      <c r="A13" s="2916"/>
      <c r="B13" s="2920" t="s">
        <v>2761</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65"/>
      <c r="Q13" s="1151" t="str">
        <f t="shared" si="6"/>
        <v>容积率</v>
      </c>
      <c r="R13" s="1569" t="s">
        <v>8</v>
      </c>
      <c r="S13" s="1570" t="e">
        <f t="shared" si="0"/>
        <v>#N/A</v>
      </c>
      <c r="T13" s="1569" t="s">
        <v>8</v>
      </c>
      <c r="U13" s="1570" t="e">
        <f t="shared" si="1"/>
        <v>#N/A</v>
      </c>
      <c r="V13" s="1569" t="s">
        <v>8</v>
      </c>
      <c r="W13" s="1570" t="e">
        <f t="shared" si="2"/>
        <v>#N/A</v>
      </c>
      <c r="X13" s="1571"/>
      <c r="Y13" s="3311"/>
      <c r="Z13" s="1150" t="str">
        <f t="shared" si="7"/>
        <v>容积率</v>
      </c>
      <c r="AA13" s="1572" t="e">
        <f t="shared" si="3"/>
        <v>#N/A</v>
      </c>
      <c r="AB13" s="1572" t="e">
        <f t="shared" si="4"/>
        <v>#N/A</v>
      </c>
      <c r="AC13" s="1572"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D14/F14</f>
        <v>1</v>
      </c>
      <c r="AB14" s="1572">
        <f>D14/H14</f>
        <v>1</v>
      </c>
      <c r="AC14" s="1572">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65"/>
      <c r="Q15" s="1151">
        <f t="shared" si="6"/>
        <v>111</v>
      </c>
      <c r="R15" s="1569" t="s">
        <v>8</v>
      </c>
      <c r="S15" s="1570">
        <f t="shared" si="0"/>
        <v>100</v>
      </c>
      <c r="T15" s="1569" t="s">
        <v>8</v>
      </c>
      <c r="U15" s="1570">
        <f t="shared" si="1"/>
        <v>100</v>
      </c>
      <c r="V15" s="1569" t="s">
        <v>8</v>
      </c>
      <c r="W15" s="1570">
        <f t="shared" si="2"/>
        <v>100</v>
      </c>
      <c r="X15" s="1571"/>
      <c r="Y15" s="3311"/>
      <c r="Z15" s="1150">
        <f t="shared" si="7"/>
        <v>111</v>
      </c>
      <c r="AA15" s="1572">
        <f t="shared" si="3"/>
        <v>1</v>
      </c>
      <c r="AB15" s="1572">
        <f t="shared" si="4"/>
        <v>1</v>
      </c>
      <c r="AC15" s="1572">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65"/>
      <c r="Q16" s="1151">
        <f t="shared" si="6"/>
        <v>111</v>
      </c>
      <c r="R16" s="1569" t="s">
        <v>8</v>
      </c>
      <c r="S16" s="1570">
        <f t="shared" si="0"/>
        <v>100</v>
      </c>
      <c r="T16" s="1569" t="s">
        <v>8</v>
      </c>
      <c r="U16" s="1570">
        <f t="shared" si="1"/>
        <v>100</v>
      </c>
      <c r="V16" s="1569" t="s">
        <v>8</v>
      </c>
      <c r="W16" s="1570">
        <f t="shared" si="2"/>
        <v>100</v>
      </c>
      <c r="X16" s="1571"/>
      <c r="Y16" s="3311"/>
      <c r="Z16" s="1150">
        <f t="shared" si="7"/>
        <v>111</v>
      </c>
      <c r="AA16" s="1572">
        <f t="shared" si="3"/>
        <v>1</v>
      </c>
      <c r="AB16" s="1572">
        <f t="shared" si="4"/>
        <v>1</v>
      </c>
      <c r="AC16" s="1572">
        <f t="shared" si="5"/>
        <v>1</v>
      </c>
    </row>
    <row r="17" spans="1:29" ht="57">
      <c r="A17" s="2910" t="s">
        <v>2757</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99" t="s">
        <v>540</v>
      </c>
      <c r="Q17" s="1573" t="str">
        <f t="shared" si="6"/>
        <v>产业集聚程度</v>
      </c>
      <c r="R17" s="1574" t="s">
        <v>8</v>
      </c>
      <c r="S17" s="1575">
        <f t="shared" si="0"/>
        <v>100</v>
      </c>
      <c r="T17" s="1574" t="s">
        <v>8</v>
      </c>
      <c r="U17" s="1575">
        <f t="shared" si="1"/>
        <v>100</v>
      </c>
      <c r="V17" s="1574" t="s">
        <v>8</v>
      </c>
      <c r="W17" s="1575">
        <f t="shared" si="2"/>
        <v>100</v>
      </c>
      <c r="X17" s="1568"/>
      <c r="Y17" s="3399"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2"/>
      <c r="M18" s="2134"/>
      <c r="N18" s="2134"/>
      <c r="O18" s="2141"/>
      <c r="P18" s="3400"/>
      <c r="Q18" s="1573"/>
      <c r="R18" s="1574"/>
      <c r="S18" s="1575"/>
      <c r="T18" s="1574"/>
      <c r="U18" s="1575"/>
      <c r="V18" s="1574"/>
      <c r="W18" s="1575"/>
      <c r="X18" s="1568"/>
      <c r="Y18" s="3400"/>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400"/>
      <c r="Q19" s="1573" t="str">
        <f>B19</f>
        <v>交通便捷度</v>
      </c>
      <c r="R19" s="1574" t="s">
        <v>8</v>
      </c>
      <c r="S19" s="1575">
        <f>F19</f>
        <v>100</v>
      </c>
      <c r="T19" s="1574" t="s">
        <v>8</v>
      </c>
      <c r="U19" s="1575">
        <f>H19</f>
        <v>100</v>
      </c>
      <c r="V19" s="1574" t="s">
        <v>8</v>
      </c>
      <c r="W19" s="1575">
        <f>J19</f>
        <v>100</v>
      </c>
      <c r="X19" s="1568"/>
      <c r="Y19" s="3400"/>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2"/>
      <c r="M20" s="2134"/>
      <c r="N20" s="2134"/>
      <c r="O20" s="2141"/>
      <c r="P20" s="3400"/>
      <c r="Q20" s="1573"/>
      <c r="R20" s="1574"/>
      <c r="S20" s="1575"/>
      <c r="T20" s="1574"/>
      <c r="U20" s="1575"/>
      <c r="V20" s="1574"/>
      <c r="W20" s="1575"/>
      <c r="X20" s="1568"/>
      <c r="Y20" s="3400"/>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400"/>
      <c r="Q21" s="1573" t="str">
        <f t="shared" ref="Q21:Q35" si="8">B21</f>
        <v>区域土地利用方向</v>
      </c>
      <c r="R21" s="1574" t="s">
        <v>8</v>
      </c>
      <c r="S21" s="1575">
        <f>F21</f>
        <v>100</v>
      </c>
      <c r="T21" s="1574" t="s">
        <v>8</v>
      </c>
      <c r="U21" s="1575">
        <f>H21</f>
        <v>100</v>
      </c>
      <c r="V21" s="1574" t="s">
        <v>8</v>
      </c>
      <c r="W21" s="1575">
        <f>J21</f>
        <v>100</v>
      </c>
      <c r="X21" s="1568"/>
      <c r="Y21" s="3400"/>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2"/>
      <c r="M22" s="2134"/>
      <c r="N22" s="2134"/>
      <c r="O22" s="2141"/>
      <c r="P22" s="3400"/>
      <c r="Q22" s="1573"/>
      <c r="R22" s="1574"/>
      <c r="S22" s="1575"/>
      <c r="T22" s="1574"/>
      <c r="U22" s="1575"/>
      <c r="V22" s="1574"/>
      <c r="W22" s="1575"/>
      <c r="X22" s="1568"/>
      <c r="Y22" s="3400"/>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400"/>
      <c r="Q23" s="1573" t="str">
        <f t="shared" si="8"/>
        <v>环境状况</v>
      </c>
      <c r="R23" s="1574" t="s">
        <v>8</v>
      </c>
      <c r="S23" s="1575">
        <f>F23</f>
        <v>100</v>
      </c>
      <c r="T23" s="1574" t="s">
        <v>8</v>
      </c>
      <c r="U23" s="1575">
        <f>H23</f>
        <v>100</v>
      </c>
      <c r="V23" s="1574" t="s">
        <v>8</v>
      </c>
      <c r="W23" s="1575">
        <f>J23</f>
        <v>100</v>
      </c>
      <c r="X23" s="1568"/>
      <c r="Y23" s="3400"/>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2"/>
      <c r="M24" s="2134"/>
      <c r="N24" s="2134"/>
      <c r="O24" s="2141"/>
      <c r="P24" s="3400"/>
      <c r="Q24" s="1573"/>
      <c r="R24" s="1574"/>
      <c r="S24" s="1575"/>
      <c r="T24" s="1574"/>
      <c r="U24" s="1575"/>
      <c r="V24" s="1574"/>
      <c r="W24" s="1575"/>
      <c r="X24" s="1568"/>
      <c r="Y24" s="3400"/>
      <c r="Z24" s="1576"/>
      <c r="AA24" s="1577">
        <v>1</v>
      </c>
      <c r="AB24" s="1577">
        <v>1</v>
      </c>
      <c r="AC24" s="1577">
        <v>1</v>
      </c>
    </row>
    <row r="25" spans="1:29" s="1220" customFormat="1" ht="42.75">
      <c r="A25" s="577"/>
      <c r="B25" s="2593" t="s">
        <v>2551</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400"/>
      <c r="Q25" s="1151" t="str">
        <f t="shared" si="8"/>
        <v>公共配套设施</v>
      </c>
      <c r="R25" s="1569" t="s">
        <v>8</v>
      </c>
      <c r="S25" s="1570">
        <f>F25</f>
        <v>100</v>
      </c>
      <c r="T25" s="1569" t="s">
        <v>8</v>
      </c>
      <c r="U25" s="1570">
        <f>H25</f>
        <v>100</v>
      </c>
      <c r="V25" s="1569" t="s">
        <v>8</v>
      </c>
      <c r="W25" s="1570">
        <f>J25</f>
        <v>100</v>
      </c>
      <c r="X25" s="1571"/>
      <c r="Y25" s="3400"/>
      <c r="Z25" s="1150" t="str">
        <f>Q25</f>
        <v>公共配套设施</v>
      </c>
      <c r="AA25" s="1577">
        <f>D25/F25</f>
        <v>1</v>
      </c>
      <c r="AB25" s="1577">
        <f>D25/H25</f>
        <v>1</v>
      </c>
      <c r="AC25" s="1577">
        <f>D25/J25</f>
        <v>1</v>
      </c>
    </row>
    <row r="26" spans="1:29" s="1220" customFormat="1" ht="15">
      <c r="A26" s="577"/>
      <c r="B26" s="595"/>
      <c r="C26" s="2592"/>
      <c r="D26" s="555"/>
      <c r="E26" s="554"/>
      <c r="F26" s="555"/>
      <c r="G26" s="554"/>
      <c r="H26" s="555"/>
      <c r="I26" s="576"/>
      <c r="J26" s="555"/>
      <c r="K26" s="531"/>
      <c r="L26" s="2135"/>
      <c r="M26" s="2136"/>
      <c r="N26" s="2136"/>
      <c r="O26" s="2137"/>
      <c r="P26" s="3400"/>
      <c r="Q26" s="1151"/>
      <c r="R26" s="1569"/>
      <c r="S26" s="1570"/>
      <c r="T26" s="1569"/>
      <c r="U26" s="1570"/>
      <c r="V26" s="1569"/>
      <c r="W26" s="1570"/>
      <c r="X26" s="1571"/>
      <c r="Y26" s="3400"/>
      <c r="Z26" s="1150"/>
      <c r="AA26" s="1572">
        <v>1</v>
      </c>
      <c r="AB26" s="1572">
        <v>1</v>
      </c>
      <c r="AC26" s="1572">
        <v>1</v>
      </c>
    </row>
    <row r="27" spans="1:29" s="1220" customFormat="1" ht="28.5">
      <c r="A27" s="577"/>
      <c r="B27" s="2593" t="s">
        <v>2552</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400"/>
      <c r="Q27" s="2578" t="str">
        <f t="shared" ref="Q27" si="9">B27</f>
        <v>基础设施水平</v>
      </c>
      <c r="R27" s="1569" t="s">
        <v>8</v>
      </c>
      <c r="S27" s="1570">
        <f>F27</f>
        <v>100</v>
      </c>
      <c r="T27" s="1569" t="s">
        <v>8</v>
      </c>
      <c r="U27" s="1570">
        <f>H27</f>
        <v>100</v>
      </c>
      <c r="V27" s="1569" t="s">
        <v>8</v>
      </c>
      <c r="W27" s="1570">
        <f>J27</f>
        <v>100</v>
      </c>
      <c r="X27" s="1571"/>
      <c r="Y27" s="3400"/>
      <c r="Z27" s="2575" t="str">
        <f>Q27</f>
        <v>基础设施水平</v>
      </c>
      <c r="AA27" s="1577">
        <f>D27/F27</f>
        <v>1</v>
      </c>
      <c r="AB27" s="1577">
        <f>D27/H27</f>
        <v>1</v>
      </c>
      <c r="AC27" s="1577">
        <f>D27/J27</f>
        <v>1</v>
      </c>
    </row>
    <row r="28" spans="1:29" s="1220" customFormat="1" ht="15">
      <c r="A28" s="577"/>
      <c r="B28" s="595"/>
      <c r="C28" s="2592"/>
      <c r="D28" s="555"/>
      <c r="E28" s="579"/>
      <c r="F28" s="555"/>
      <c r="G28" s="579"/>
      <c r="H28" s="555"/>
      <c r="I28" s="579"/>
      <c r="J28" s="555"/>
      <c r="K28" s="531"/>
      <c r="L28" s="2135"/>
      <c r="M28" s="2136"/>
      <c r="N28" s="2136"/>
      <c r="O28" s="2137"/>
      <c r="P28" s="3400"/>
      <c r="Q28" s="2578"/>
      <c r="R28" s="1569"/>
      <c r="S28" s="1570"/>
      <c r="T28" s="1569"/>
      <c r="U28" s="1570"/>
      <c r="V28" s="1569"/>
      <c r="W28" s="1570"/>
      <c r="X28" s="1571"/>
      <c r="Y28" s="3400"/>
      <c r="Z28" s="257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400"/>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00"/>
      <c r="Z29" s="1576" t="str">
        <f t="shared" ref="Z29:Z42" si="13">Q29</f>
        <v>临街状况</v>
      </c>
      <c r="AA29" s="1577">
        <f t="shared" si="3"/>
        <v>1</v>
      </c>
      <c r="AB29" s="1577">
        <f t="shared" si="4"/>
        <v>1</v>
      </c>
      <c r="AC29" s="1577">
        <f t="shared" si="5"/>
        <v>1</v>
      </c>
    </row>
    <row r="30" spans="1:29" ht="27">
      <c r="A30" s="532"/>
      <c r="B30" s="922" t="s">
        <v>548</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400"/>
      <c r="Q30" s="1573" t="str">
        <f t="shared" si="8"/>
        <v>毗邻道路的类型与等级</v>
      </c>
      <c r="R30" s="1574" t="s">
        <v>8</v>
      </c>
      <c r="S30" s="1575">
        <f t="shared" si="10"/>
        <v>100</v>
      </c>
      <c r="T30" s="1574" t="s">
        <v>8</v>
      </c>
      <c r="U30" s="1575">
        <f t="shared" si="11"/>
        <v>100</v>
      </c>
      <c r="V30" s="1574" t="s">
        <v>8</v>
      </c>
      <c r="W30" s="1575">
        <f t="shared" si="12"/>
        <v>100</v>
      </c>
      <c r="X30" s="1568"/>
      <c r="Y30" s="3400"/>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2"/>
      <c r="M31" s="2134"/>
      <c r="N31" s="2134"/>
      <c r="O31" s="2141"/>
      <c r="P31" s="3400"/>
      <c r="Q31" s="1573"/>
      <c r="R31" s="1574"/>
      <c r="S31" s="1575"/>
      <c r="T31" s="1574"/>
      <c r="U31" s="1575"/>
      <c r="V31" s="1574"/>
      <c r="W31" s="1575"/>
      <c r="X31" s="1568"/>
      <c r="Y31" s="3400"/>
      <c r="Z31" s="1576"/>
      <c r="AA31" s="1577">
        <v>1</v>
      </c>
      <c r="AB31" s="1577">
        <v>1</v>
      </c>
      <c r="AC31" s="1577">
        <v>1</v>
      </c>
    </row>
    <row r="32" spans="1:29" ht="15">
      <c r="A32" s="532"/>
      <c r="B32" s="527" t="s">
        <v>549</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400"/>
      <c r="Q32" s="1573" t="str">
        <f t="shared" si="8"/>
        <v>土地级别</v>
      </c>
      <c r="R32" s="1574" t="s">
        <v>8</v>
      </c>
      <c r="S32" s="1575">
        <f t="shared" si="10"/>
        <v>100</v>
      </c>
      <c r="T32" s="1574" t="s">
        <v>8</v>
      </c>
      <c r="U32" s="1575">
        <f t="shared" si="11"/>
        <v>100</v>
      </c>
      <c r="V32" s="1574" t="s">
        <v>8</v>
      </c>
      <c r="W32" s="1575">
        <f t="shared" si="12"/>
        <v>100</v>
      </c>
      <c r="X32" s="1568"/>
      <c r="Y32" s="3400"/>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400"/>
      <c r="Q33" s="1573">
        <f t="shared" si="8"/>
        <v>111</v>
      </c>
      <c r="R33" s="1574" t="s">
        <v>8</v>
      </c>
      <c r="S33" s="1575">
        <f t="shared" si="10"/>
        <v>100</v>
      </c>
      <c r="T33" s="1574" t="s">
        <v>8</v>
      </c>
      <c r="U33" s="1575">
        <f t="shared" si="11"/>
        <v>100</v>
      </c>
      <c r="V33" s="1574" t="s">
        <v>8</v>
      </c>
      <c r="W33" s="1575">
        <f t="shared" si="12"/>
        <v>100</v>
      </c>
      <c r="X33" s="1568"/>
      <c r="Y33" s="3400"/>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401" t="s">
        <v>550</v>
      </c>
      <c r="Q34" s="1573">
        <f t="shared" si="8"/>
        <v>111</v>
      </c>
      <c r="R34" s="1574" t="s">
        <v>8</v>
      </c>
      <c r="S34" s="1575">
        <f t="shared" si="10"/>
        <v>100</v>
      </c>
      <c r="T34" s="1574" t="s">
        <v>8</v>
      </c>
      <c r="U34" s="1575">
        <f t="shared" si="11"/>
        <v>100</v>
      </c>
      <c r="V34" s="1574" t="s">
        <v>8</v>
      </c>
      <c r="W34" s="1575">
        <f t="shared" si="12"/>
        <v>100</v>
      </c>
      <c r="X34" s="1568"/>
      <c r="Y34" s="3402" t="s">
        <v>550</v>
      </c>
      <c r="Z34" s="1576">
        <f t="shared" si="13"/>
        <v>111</v>
      </c>
      <c r="AA34" s="1577">
        <f t="shared" si="3"/>
        <v>1</v>
      </c>
      <c r="AB34" s="1577">
        <f t="shared" si="4"/>
        <v>1</v>
      </c>
      <c r="AC34" s="1577">
        <f t="shared" si="5"/>
        <v>1</v>
      </c>
    </row>
    <row r="35" spans="1:29" s="1339"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402"/>
      <c r="Q35" s="1573">
        <f t="shared" si="8"/>
        <v>111</v>
      </c>
      <c r="R35" s="1578" t="s">
        <v>8</v>
      </c>
      <c r="S35" s="1579">
        <f t="shared" si="10"/>
        <v>100</v>
      </c>
      <c r="T35" s="1578" t="s">
        <v>8</v>
      </c>
      <c r="U35" s="1579">
        <f t="shared" si="11"/>
        <v>100</v>
      </c>
      <c r="V35" s="1578" t="s">
        <v>8</v>
      </c>
      <c r="W35" s="1579">
        <f t="shared" si="12"/>
        <v>100</v>
      </c>
      <c r="X35" s="1580"/>
      <c r="Y35" s="3402"/>
      <c r="Z35" s="1581">
        <f t="shared" si="13"/>
        <v>111</v>
      </c>
      <c r="AA35" s="1577">
        <f t="shared" si="3"/>
        <v>1</v>
      </c>
      <c r="AB35" s="1577">
        <f t="shared" si="4"/>
        <v>1</v>
      </c>
      <c r="AC35" s="1577">
        <f t="shared" si="5"/>
        <v>1</v>
      </c>
    </row>
    <row r="36" spans="1:29" ht="15">
      <c r="A36" s="2907" t="s">
        <v>2758</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402"/>
      <c r="Q36" s="1573" t="str">
        <f>B36</f>
        <v>宗地面积</v>
      </c>
      <c r="R36" s="1574" t="s">
        <v>8</v>
      </c>
      <c r="S36" s="1575" t="e">
        <f t="shared" si="10"/>
        <v>#N/A</v>
      </c>
      <c r="T36" s="1574" t="s">
        <v>8</v>
      </c>
      <c r="U36" s="1575" t="e">
        <f t="shared" si="11"/>
        <v>#N/A</v>
      </c>
      <c r="V36" s="1574" t="s">
        <v>8</v>
      </c>
      <c r="W36" s="1575" t="e">
        <f t="shared" si="12"/>
        <v>#N/A</v>
      </c>
      <c r="X36" s="1568"/>
      <c r="Y36" s="3402"/>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402"/>
      <c r="Q37" s="1573" t="str">
        <f t="shared" ref="Q37:Q42" si="14">B37</f>
        <v>宗地形状</v>
      </c>
      <c r="R37" s="1574" t="s">
        <v>8</v>
      </c>
      <c r="S37" s="1575">
        <f t="shared" si="10"/>
        <v>100</v>
      </c>
      <c r="T37" s="1574" t="s">
        <v>8</v>
      </c>
      <c r="U37" s="1575">
        <f t="shared" si="11"/>
        <v>100</v>
      </c>
      <c r="V37" s="1574" t="s">
        <v>8</v>
      </c>
      <c r="W37" s="1575">
        <f t="shared" si="12"/>
        <v>100</v>
      </c>
      <c r="X37" s="1568"/>
      <c r="Y37" s="3402"/>
      <c r="Z37" s="1576" t="str">
        <f t="shared" si="13"/>
        <v>宗地形状</v>
      </c>
      <c r="AA37" s="1577">
        <f t="shared" si="3"/>
        <v>1</v>
      </c>
      <c r="AB37" s="1577">
        <f t="shared" si="4"/>
        <v>1</v>
      </c>
      <c r="AC37" s="1577">
        <f t="shared" si="5"/>
        <v>1</v>
      </c>
    </row>
    <row r="38" spans="1:29" s="1220" customFormat="1" ht="15">
      <c r="A38" s="600"/>
      <c r="B38" s="1897"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402"/>
      <c r="Q38" s="1573" t="str">
        <f t="shared" si="14"/>
        <v>宗地开发程度</v>
      </c>
      <c r="R38" s="1569" t="s">
        <v>8</v>
      </c>
      <c r="S38" s="1570">
        <f t="shared" si="10"/>
        <v>100</v>
      </c>
      <c r="T38" s="1569" t="s">
        <v>8</v>
      </c>
      <c r="U38" s="1570">
        <f t="shared" si="11"/>
        <v>100</v>
      </c>
      <c r="V38" s="1569" t="s">
        <v>8</v>
      </c>
      <c r="W38" s="1570">
        <f t="shared" si="12"/>
        <v>100</v>
      </c>
      <c r="X38" s="1571"/>
      <c r="Y38" s="3402"/>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02" t="s">
        <v>601</v>
      </c>
      <c r="Q39" s="1573" t="str">
        <f t="shared" si="14"/>
        <v>工程地质条件</v>
      </c>
      <c r="R39" s="1574" t="s">
        <v>8</v>
      </c>
      <c r="S39" s="1575">
        <f t="shared" si="10"/>
        <v>100</v>
      </c>
      <c r="T39" s="1574" t="s">
        <v>8</v>
      </c>
      <c r="U39" s="1575">
        <f t="shared" si="11"/>
        <v>100</v>
      </c>
      <c r="V39" s="1574" t="s">
        <v>8</v>
      </c>
      <c r="W39" s="1575">
        <f t="shared" si="12"/>
        <v>100</v>
      </c>
      <c r="X39" s="1568"/>
      <c r="Y39" s="3402"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402"/>
      <c r="Q40" s="1573">
        <f t="shared" si="14"/>
        <v>111</v>
      </c>
      <c r="R40" s="1574" t="s">
        <v>8</v>
      </c>
      <c r="S40" s="1575">
        <f t="shared" si="10"/>
        <v>100</v>
      </c>
      <c r="T40" s="1574" t="s">
        <v>8</v>
      </c>
      <c r="U40" s="1575">
        <f t="shared" si="11"/>
        <v>100</v>
      </c>
      <c r="V40" s="1574" t="s">
        <v>8</v>
      </c>
      <c r="W40" s="1575">
        <f t="shared" si="12"/>
        <v>100</v>
      </c>
      <c r="X40" s="1568"/>
      <c r="Y40" s="3402"/>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402"/>
      <c r="Q41" s="1573">
        <f t="shared" si="14"/>
        <v>111</v>
      </c>
      <c r="R41" s="1574" t="s">
        <v>8</v>
      </c>
      <c r="S41" s="1575">
        <f t="shared" si="10"/>
        <v>100</v>
      </c>
      <c r="T41" s="1574" t="s">
        <v>8</v>
      </c>
      <c r="U41" s="1575">
        <f t="shared" si="11"/>
        <v>100</v>
      </c>
      <c r="V41" s="1574" t="s">
        <v>8</v>
      </c>
      <c r="W41" s="1575">
        <f t="shared" si="12"/>
        <v>100</v>
      </c>
      <c r="X41" s="1568"/>
      <c r="Y41" s="3402"/>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402"/>
      <c r="Q42" s="1573">
        <f t="shared" si="14"/>
        <v>111</v>
      </c>
      <c r="R42" s="1578" t="s">
        <v>8</v>
      </c>
      <c r="S42" s="1579">
        <f t="shared" si="10"/>
        <v>100</v>
      </c>
      <c r="T42" s="1578" t="s">
        <v>8</v>
      </c>
      <c r="U42" s="1579">
        <f t="shared" si="11"/>
        <v>100</v>
      </c>
      <c r="V42" s="1578" t="s">
        <v>8</v>
      </c>
      <c r="W42" s="1579">
        <f t="shared" si="12"/>
        <v>100</v>
      </c>
      <c r="X42" s="1580"/>
      <c r="Y42" s="3402"/>
      <c r="Z42" s="1581">
        <f t="shared" si="13"/>
        <v>111</v>
      </c>
      <c r="AA42" s="1577">
        <f t="shared" si="3"/>
        <v>1</v>
      </c>
      <c r="AB42" s="1577">
        <f t="shared" si="4"/>
        <v>1</v>
      </c>
      <c r="AC42" s="1577">
        <f t="shared" si="5"/>
        <v>1</v>
      </c>
    </row>
    <row r="43" spans="1:29" ht="15">
      <c r="A43" s="607" t="s">
        <v>556</v>
      </c>
      <c r="B43" s="608" t="s">
        <v>2935</v>
      </c>
      <c r="C43" s="609" t="s">
        <v>1</v>
      </c>
      <c r="D43" s="610"/>
      <c r="E43" s="611"/>
      <c r="F43" s="612"/>
      <c r="G43" s="613"/>
      <c r="H43" s="614"/>
      <c r="I43" s="611"/>
      <c r="J43" s="614"/>
      <c r="K43" s="1340"/>
      <c r="L43" s="2144"/>
      <c r="M43" s="2134"/>
      <c r="N43" s="2134"/>
      <c r="O43" s="2145"/>
      <c r="P43" s="3365" t="str">
        <f>A43</f>
        <v>成交单价</v>
      </c>
      <c r="Q43" s="3365"/>
      <c r="R43" s="3366">
        <f>E43</f>
        <v>0</v>
      </c>
      <c r="S43" s="3366"/>
      <c r="T43" s="3366">
        <f>G43</f>
        <v>0</v>
      </c>
      <c r="U43" s="3366"/>
      <c r="V43" s="3366">
        <f>I43</f>
        <v>0</v>
      </c>
      <c r="W43" s="3366"/>
      <c r="X43" s="1560"/>
      <c r="Y43" s="1582"/>
      <c r="Z43" s="1560"/>
      <c r="AA43" s="1560"/>
      <c r="AB43" s="1560"/>
      <c r="AC43" s="1560"/>
    </row>
    <row r="44" spans="1:29" ht="15.75" thickBot="1">
      <c r="A44" s="615" t="s">
        <v>2696</v>
      </c>
      <c r="B44" s="616"/>
      <c r="C44" s="617" t="e">
        <f>R45</f>
        <v>#DIV/0!</v>
      </c>
      <c r="D44" s="618"/>
      <c r="E44" s="617" t="e">
        <f>R44</f>
        <v>#DIV/0!</v>
      </c>
      <c r="F44" s="619"/>
      <c r="G44" s="620" t="e">
        <f>T44</f>
        <v>#DIV/0!</v>
      </c>
      <c r="H44" s="618"/>
      <c r="I44" s="617" t="e">
        <f>V44</f>
        <v>#DIV/0!</v>
      </c>
      <c r="J44" s="618"/>
      <c r="K44" s="1341"/>
      <c r="L44" s="2144"/>
      <c r="M44" s="2134"/>
      <c r="N44" s="2134"/>
      <c r="O44" s="2145"/>
      <c r="P44" s="3365" t="str">
        <f>A44</f>
        <v>比较价格（元/平方米）</v>
      </c>
      <c r="Q44" s="3365"/>
      <c r="R44" s="3367" t="e">
        <f>ROUND(PRODUCT(R43,AA9:AA42),0)</f>
        <v>#DIV/0!</v>
      </c>
      <c r="S44" s="3367"/>
      <c r="T44" s="3367" t="e">
        <f>ROUND(PRODUCT(T43,AB9:AB42),0)</f>
        <v>#DIV/0!</v>
      </c>
      <c r="U44" s="3367"/>
      <c r="V44" s="3367" t="e">
        <f>ROUND(PRODUCT(V43,AC9:AC42),0)</f>
        <v>#DIV/0!</v>
      </c>
      <c r="W44" s="3367"/>
      <c r="X44" s="1560"/>
      <c r="Y44" s="1560"/>
      <c r="Z44" s="1560"/>
      <c r="AA44" s="1560"/>
      <c r="AB44" s="1560"/>
      <c r="AC44" s="1560"/>
    </row>
    <row r="45" spans="1:29" ht="15.75" thickBot="1">
      <c r="A45" s="621" t="s">
        <v>2936</v>
      </c>
      <c r="B45" s="622"/>
      <c r="C45" s="623" t="e">
        <f>R45</f>
        <v>#DIV/0!</v>
      </c>
      <c r="D45" s="623"/>
      <c r="E45" s="623"/>
      <c r="F45" s="623"/>
      <c r="G45" s="623"/>
      <c r="H45" s="623"/>
      <c r="I45" s="623"/>
      <c r="J45" s="623"/>
      <c r="K45" s="1342"/>
      <c r="L45" s="2144"/>
      <c r="M45" s="2134"/>
      <c r="N45" s="2134"/>
      <c r="O45" s="2145"/>
      <c r="P45" s="3362" t="str">
        <f>A45</f>
        <v>估价对象XX用房的比较价格（楼面单价，元/平方米）</v>
      </c>
      <c r="Q45" s="3363"/>
      <c r="R45" s="3364" t="e">
        <f>ROUND(AVERAGE(R44:V44),0)</f>
        <v>#DIV/0!</v>
      </c>
      <c r="S45" s="3364"/>
      <c r="T45" s="3364"/>
      <c r="U45" s="3364"/>
      <c r="V45" s="3364"/>
      <c r="W45" s="3364"/>
      <c r="X45" s="1560"/>
      <c r="Y45" s="1560"/>
      <c r="Z45" s="1560"/>
      <c r="AA45" s="1560"/>
      <c r="AB45" s="1560"/>
      <c r="AC45" s="1560"/>
    </row>
    <row r="46" spans="1:29">
      <c r="A46" s="2145"/>
      <c r="B46" s="2145"/>
      <c r="C46" s="2145"/>
      <c r="D46" s="2145"/>
      <c r="E46" s="2145"/>
      <c r="F46" s="2145"/>
      <c r="G46" s="2148"/>
      <c r="H46" s="2145"/>
      <c r="I46" s="2145"/>
      <c r="J46" s="2145"/>
      <c r="K46" s="2149"/>
      <c r="L46" s="2150"/>
      <c r="M46" s="2134"/>
      <c r="N46" s="2134"/>
      <c r="O46" s="2145"/>
      <c r="P46" s="1560"/>
      <c r="Q46" s="1560"/>
      <c r="R46" s="1560"/>
      <c r="S46" s="1560"/>
      <c r="T46" s="1560"/>
      <c r="U46" s="1560"/>
      <c r="V46" s="1560"/>
      <c r="W46" s="1560"/>
      <c r="X46" s="1560"/>
      <c r="Y46" s="1560"/>
      <c r="Z46" s="1560"/>
      <c r="AA46" s="1560"/>
      <c r="AB46" s="1560"/>
      <c r="AC46" s="1560"/>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1" t="s">
        <v>1725</v>
      </c>
      <c r="D52" s="2227" t="s">
        <v>2296</v>
      </c>
      <c r="E52" s="631" t="s">
        <v>562</v>
      </c>
      <c r="F52" s="1953" t="s">
        <v>563</v>
      </c>
      <c r="G52" s="3410" t="s">
        <v>2287</v>
      </c>
      <c r="H52" s="3411"/>
      <c r="I52" s="1954" t="s">
        <v>1948</v>
      </c>
      <c r="J52" s="1556">
        <f>项目基本情况!F41</f>
        <v>0</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564</v>
      </c>
      <c r="B53" s="634" t="e">
        <f>C45</f>
        <v>#DIV/0!</v>
      </c>
      <c r="C53" s="635">
        <v>1</v>
      </c>
      <c r="D53" s="2228">
        <v>1</v>
      </c>
      <c r="E53" s="635">
        <f>'数据-汇总表'!E8+'数据-汇总表'!E9</f>
        <v>148524.48318846154</v>
      </c>
      <c r="F53" s="1952" t="e">
        <f t="shared" ref="F53:F62" si="15">ROUND(B53*E53/10000,0)</f>
        <v>#DIV/0!</v>
      </c>
      <c r="G53" s="3412"/>
      <c r="H53" s="3413"/>
      <c r="I53" s="1955">
        <v>1</v>
      </c>
      <c r="J53" s="1557">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565</v>
      </c>
      <c r="B54" s="638" t="e">
        <f>ROUND($C$45*C54*D54,0)</f>
        <v>#DIV/0!</v>
      </c>
      <c r="C54" s="378">
        <f t="shared" ref="C54:C62" si="16">IF($C$52="北京市系数",I54,J54)</f>
        <v>0</v>
      </c>
      <c r="D54" s="2229">
        <v>0.25</v>
      </c>
      <c r="E54" s="639"/>
      <c r="F54" s="1952" t="e">
        <f t="shared" si="15"/>
        <v>#DIV/0!</v>
      </c>
      <c r="G54" s="3414" t="s">
        <v>2288</v>
      </c>
      <c r="H54" s="1956">
        <f>项目基本情况!B43</f>
        <v>0</v>
      </c>
      <c r="I54" s="1955">
        <f>SUMIF(修正!$A$45:$A$56,H54,修正!B45:B56)</f>
        <v>0</v>
      </c>
      <c r="J54" s="1559"/>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566</v>
      </c>
      <c r="B55" s="638" t="e">
        <f t="shared" ref="B55:B62" si="17">ROUND($C$45*C55*D55,0)</f>
        <v>#DIV/0!</v>
      </c>
      <c r="C55" s="378">
        <f t="shared" si="16"/>
        <v>0</v>
      </c>
      <c r="D55" s="2229">
        <v>0.25</v>
      </c>
      <c r="E55" s="639"/>
      <c r="F55" s="1952" t="e">
        <f t="shared" si="15"/>
        <v>#DIV/0!</v>
      </c>
      <c r="G55" s="3414"/>
      <c r="H55" s="1957">
        <f>项目基本情况!B43</f>
        <v>0</v>
      </c>
      <c r="I55" s="1955">
        <f>SUMIF(修正!$A$45:$A$56,H55,修正!C45:C56)</f>
        <v>0</v>
      </c>
      <c r="J55" s="1559"/>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567</v>
      </c>
      <c r="B56" s="638" t="e">
        <f t="shared" si="17"/>
        <v>#DIV/0!</v>
      </c>
      <c r="C56" s="378">
        <f t="shared" si="16"/>
        <v>0</v>
      </c>
      <c r="D56" s="2229">
        <v>0.25</v>
      </c>
      <c r="E56" s="639"/>
      <c r="F56" s="1952" t="e">
        <f t="shared" si="15"/>
        <v>#DIV/0!</v>
      </c>
      <c r="G56" s="3414"/>
      <c r="H56" s="1957">
        <f>项目基本情况!B43</f>
        <v>0</v>
      </c>
      <c r="I56" s="1955">
        <f>SUMIF(修正!$A$45:$A$56,H56,修正!D45:D56)</f>
        <v>0</v>
      </c>
      <c r="J56" s="1559"/>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568</v>
      </c>
      <c r="B57" s="638" t="e">
        <f t="shared" si="17"/>
        <v>#DIV/0!</v>
      </c>
      <c r="C57" s="378">
        <f t="shared" si="16"/>
        <v>0</v>
      </c>
      <c r="D57" s="2229">
        <v>0.25</v>
      </c>
      <c r="E57" s="639"/>
      <c r="F57" s="1952" t="e">
        <f t="shared" si="15"/>
        <v>#DIV/0!</v>
      </c>
      <c r="G57" s="3414"/>
      <c r="H57" s="1957">
        <f>项目基本情况!B43</f>
        <v>0</v>
      </c>
      <c r="I57" s="1955">
        <f>SUMIF(修正!$A$45:$A$56,H57,修正!E45:E56)</f>
        <v>0</v>
      </c>
      <c r="J57" s="1559"/>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2331</v>
      </c>
      <c r="B58" s="638" t="e">
        <f t="shared" si="17"/>
        <v>#DIV/0!</v>
      </c>
      <c r="C58" s="378">
        <f t="shared" si="16"/>
        <v>0</v>
      </c>
      <c r="D58" s="2229">
        <v>0.25</v>
      </c>
      <c r="E58" s="641">
        <f>'数据-汇总表'!E11</f>
        <v>0</v>
      </c>
      <c r="F58" s="1952" t="e">
        <f t="shared" si="15"/>
        <v>#DIV/0!</v>
      </c>
      <c r="G58" s="1958" t="s">
        <v>2289</v>
      </c>
      <c r="H58" s="1957">
        <f>项目基本情况!C43</f>
        <v>0</v>
      </c>
      <c r="I58" s="1955">
        <f>SUMIF(修正!$A$45:$A$56,H58,修正!F45:F56)</f>
        <v>0</v>
      </c>
      <c r="J58" s="1559"/>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569</v>
      </c>
      <c r="B59" s="638" t="e">
        <f t="shared" si="17"/>
        <v>#DIV/0!</v>
      </c>
      <c r="C59" s="378">
        <f t="shared" si="16"/>
        <v>0</v>
      </c>
      <c r="D59" s="2229">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570</v>
      </c>
      <c r="B60" s="638" t="e">
        <f t="shared" si="17"/>
        <v>#DIV/0!</v>
      </c>
      <c r="C60" s="378">
        <f t="shared" si="16"/>
        <v>0</v>
      </c>
      <c r="D60" s="2229">
        <v>0.25</v>
      </c>
      <c r="E60" s="641">
        <f>'数据-汇总表'!E13</f>
        <v>0</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571</v>
      </c>
      <c r="B61" s="638" t="e">
        <f t="shared" si="17"/>
        <v>#DIV/0!</v>
      </c>
      <c r="C61" s="378">
        <f t="shared" si="16"/>
        <v>0</v>
      </c>
      <c r="D61" s="2229">
        <v>0.25</v>
      </c>
      <c r="E61" s="641">
        <f>'数据-汇总表'!E14</f>
        <v>0</v>
      </c>
      <c r="F61" s="1952" t="e">
        <f t="shared" si="15"/>
        <v>#DIV/0!</v>
      </c>
      <c r="G61" s="1958" t="s">
        <v>2288</v>
      </c>
      <c r="H61" s="1957">
        <f>项目基本情况!B43</f>
        <v>0</v>
      </c>
      <c r="I61" s="1955">
        <f>SUMIF(修正!$A$45:$A$56,H61,修正!H45:H56)</f>
        <v>0</v>
      </c>
      <c r="J61" s="1559"/>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572</v>
      </c>
      <c r="B62" s="638" t="e">
        <f t="shared" si="17"/>
        <v>#DIV/0!</v>
      </c>
      <c r="C62" s="378">
        <f t="shared" si="16"/>
        <v>0</v>
      </c>
      <c r="D62" s="2229">
        <v>0.25</v>
      </c>
      <c r="E62" s="641">
        <f>'数据-汇总表'!E15</f>
        <v>0</v>
      </c>
      <c r="F62" s="1952" t="e">
        <f t="shared" si="15"/>
        <v>#DIV/0!</v>
      </c>
      <c r="G62" s="1959" t="s">
        <v>2289</v>
      </c>
      <c r="H62" s="1960">
        <f>项目基本情况!C43</f>
        <v>0</v>
      </c>
      <c r="I62" s="1955">
        <f>SUMIF(修正!$A$45:$A$56,H62,修正!H45:H56)</f>
        <v>0</v>
      </c>
      <c r="J62" s="1559"/>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573</v>
      </c>
      <c r="B63" s="643" t="s">
        <v>17</v>
      </c>
      <c r="C63" s="643" t="s">
        <v>18</v>
      </c>
      <c r="D63" s="643" t="s">
        <v>2297</v>
      </c>
      <c r="E63" s="643">
        <f>IF(B43="楼面地价",SUM(E53:E62),'数据-汇总表'!D3)</f>
        <v>49638.62</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2018-9-1</v>
      </c>
      <c r="D65" s="2799">
        <f>EDATE(C65,-3)</f>
        <v>43252</v>
      </c>
      <c r="E65" s="2799">
        <f t="shared" ref="E65:N65" si="18">EDATE(D65,-3)</f>
        <v>43160</v>
      </c>
      <c r="F65" s="2799">
        <f t="shared" si="18"/>
        <v>43070</v>
      </c>
      <c r="G65" s="2799">
        <f t="shared" si="18"/>
        <v>42979</v>
      </c>
      <c r="H65" s="2799">
        <f t="shared" si="18"/>
        <v>42887</v>
      </c>
      <c r="I65" s="2799">
        <f t="shared" si="18"/>
        <v>42795</v>
      </c>
      <c r="J65" s="2799">
        <f t="shared" si="18"/>
        <v>42705</v>
      </c>
      <c r="K65" s="2799">
        <f t="shared" si="18"/>
        <v>42614</v>
      </c>
      <c r="L65" s="2799">
        <f t="shared" si="18"/>
        <v>42522</v>
      </c>
      <c r="M65" s="2799">
        <f t="shared" si="18"/>
        <v>42430</v>
      </c>
      <c r="N65" s="2799">
        <f t="shared" si="18"/>
        <v>42339</v>
      </c>
      <c r="O65" s="2145"/>
      <c r="P65" s="2145"/>
      <c r="Q65" s="2145"/>
      <c r="R65" s="2145"/>
      <c r="S65" s="2145"/>
      <c r="T65" s="2145"/>
      <c r="U65" s="2145"/>
      <c r="V65" s="2145"/>
      <c r="W65" s="2145"/>
      <c r="X65" s="2145"/>
      <c r="Y65" s="2145"/>
      <c r="Z65" s="2145"/>
      <c r="AA65" s="2145"/>
      <c r="AB65" s="2145"/>
      <c r="AC65" s="2145"/>
    </row>
    <row r="66" spans="1:29" ht="21.75" thickBot="1">
      <c r="A66" s="1585" t="s">
        <v>574</v>
      </c>
      <c r="B66" s="1560"/>
      <c r="C66" s="1584"/>
      <c r="D66" s="1584"/>
      <c r="E66" s="1584"/>
      <c r="F66" s="1586"/>
      <c r="G66" s="1586"/>
      <c r="H66" s="1584"/>
      <c r="I66" s="1584"/>
      <c r="J66" s="1584"/>
      <c r="K66" s="1587"/>
      <c r="L66" s="1583"/>
      <c r="M66" s="1584"/>
      <c r="N66" s="1584"/>
      <c r="O66" s="2157"/>
      <c r="P66" s="2157"/>
      <c r="Q66" s="2158"/>
      <c r="R66" s="2145"/>
      <c r="S66" s="2145"/>
      <c r="T66" s="2145"/>
      <c r="U66" s="2145"/>
      <c r="V66" s="2145"/>
      <c r="W66" s="2145"/>
      <c r="X66" s="2145"/>
      <c r="Y66" s="2145"/>
      <c r="Z66" s="2145"/>
      <c r="AA66" s="2145"/>
      <c r="AB66" s="2145"/>
      <c r="AC66" s="2145"/>
    </row>
    <row r="67" spans="1:29" s="1347" customFormat="1" ht="15">
      <c r="A67" s="2568" t="s">
        <v>2536</v>
      </c>
      <c r="B67" s="646"/>
      <c r="C67" s="2794" t="str">
        <f>YEAR(C65)&amp;"-"&amp;ROUNDUP(MONTH(C65)/3,0)</f>
        <v>2018-3</v>
      </c>
      <c r="D67" s="2801" t="str">
        <f t="shared" ref="D67:N67" si="19">YEAR(D65)&amp;"-"&amp;ROUNDUP(MONTH(D65)/3,0)</f>
        <v>2018-2</v>
      </c>
      <c r="E67" s="2801" t="str">
        <f t="shared" si="19"/>
        <v>2018-1</v>
      </c>
      <c r="F67" s="2801" t="str">
        <f t="shared" si="19"/>
        <v>2017-4</v>
      </c>
      <c r="G67" s="2801" t="str">
        <f t="shared" si="19"/>
        <v>2017-3</v>
      </c>
      <c r="H67" s="2801" t="str">
        <f t="shared" si="19"/>
        <v>2017-2</v>
      </c>
      <c r="I67" s="2801" t="str">
        <f t="shared" si="19"/>
        <v>2017-1</v>
      </c>
      <c r="J67" s="2801" t="str">
        <f t="shared" si="19"/>
        <v>2016-4</v>
      </c>
      <c r="K67" s="2801" t="str">
        <f t="shared" si="19"/>
        <v>2016-3</v>
      </c>
      <c r="L67" s="2801" t="str">
        <f t="shared" si="19"/>
        <v>2016-2</v>
      </c>
      <c r="M67" s="2801" t="str">
        <f t="shared" si="19"/>
        <v>2016-1</v>
      </c>
      <c r="N67" s="2801" t="str">
        <f t="shared" si="19"/>
        <v>2015-4</v>
      </c>
      <c r="O67" s="2159"/>
      <c r="P67" s="2160"/>
      <c r="Q67" s="2161"/>
      <c r="R67" s="2161"/>
      <c r="S67" s="2161"/>
      <c r="T67" s="2161"/>
      <c r="U67" s="2161"/>
      <c r="V67" s="2161"/>
      <c r="W67" s="2161"/>
      <c r="X67" s="2161"/>
      <c r="Y67" s="2161"/>
      <c r="Z67" s="2161"/>
      <c r="AA67" s="2161"/>
      <c r="AB67" s="2161"/>
      <c r="AC67" s="2161"/>
    </row>
    <row r="68" spans="1:29" s="1220" customFormat="1" ht="27.75" customHeight="1">
      <c r="A68" s="2798" t="s">
        <v>2652</v>
      </c>
      <c r="B68" s="479" t="str">
        <f>"北京市平均增长率"&amp;TEXT(基准地价!P24,"0.00%")</f>
        <v>北京市平均增长率1.41%</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20" customFormat="1" ht="15.75" thickBot="1">
      <c r="A69" s="653" t="s">
        <v>575</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20"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8" t="s">
        <v>2551</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97" t="s">
        <v>2553</v>
      </c>
      <c r="C95" s="2598" t="s">
        <v>2554</v>
      </c>
      <c r="D95" s="2598" t="s">
        <v>2555</v>
      </c>
      <c r="E95" s="2598" t="s">
        <v>2556</v>
      </c>
      <c r="F95" s="2598" t="s">
        <v>2557</v>
      </c>
      <c r="G95" s="2598" t="s">
        <v>2558</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1" t="str">
        <f t="shared" si="25"/>
        <v>(含)-</v>
      </c>
      <c r="L109" s="3092" t="str">
        <f t="shared" si="25"/>
        <v>(含)-</v>
      </c>
      <c r="M109" s="3093"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8" t="s">
        <v>2428</v>
      </c>
      <c r="C114" s="1376"/>
      <c r="D114" s="1376"/>
      <c r="E114" s="1376"/>
      <c r="F114" s="1376"/>
      <c r="G114" s="1376"/>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E32" sqref="E32: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2429</v>
      </c>
      <c r="D1" s="1522">
        <f>SUM(D29:D30,D33:D39)</f>
        <v>0</v>
      </c>
      <c r="E1" s="1407" t="s">
        <v>2430</v>
      </c>
      <c r="F1" s="2452"/>
      <c r="G1" s="1402"/>
      <c r="H1" s="1402"/>
      <c r="I1" s="1402"/>
      <c r="J1" s="1402"/>
      <c r="K1" s="1402"/>
      <c r="L1" s="1884" t="s">
        <v>2241</v>
      </c>
      <c r="M1" s="1885">
        <f>SUMPRODUCT((区片价!B5:B9=I2)*(区片价!C3:F3=E2)*(区片价!C5:F9))</f>
        <v>0</v>
      </c>
      <c r="N1" s="1886">
        <f>SUMPRODUCT((因素修正幅度!B5:B9=I2)*(因素修正幅度!C3:F3=E2)*(因素修正幅度!C5:F9))</f>
        <v>0</v>
      </c>
      <c r="O1" s="2189"/>
      <c r="P1" s="2189"/>
      <c r="Q1" s="2189"/>
      <c r="R1" s="2936" t="s">
        <v>2765</v>
      </c>
      <c r="S1" s="2936" t="s">
        <v>2766</v>
      </c>
      <c r="T1" s="2936" t="s">
        <v>2787</v>
      </c>
      <c r="U1" s="2936" t="s">
        <v>2788</v>
      </c>
      <c r="V1" s="2936" t="s">
        <v>2789</v>
      </c>
      <c r="W1" s="2189"/>
      <c r="X1" s="2189"/>
      <c r="Y1" s="2189"/>
      <c r="Z1" s="2189"/>
      <c r="AA1" s="2189"/>
      <c r="AB1" s="2189"/>
      <c r="AC1" s="2190"/>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2242</v>
      </c>
      <c r="M2" s="1888">
        <f>SUMPRODUCT((区片价!B10:B28=I2)*(区片价!C3:F3=E2)*(区片价!C10:F28))</f>
        <v>0</v>
      </c>
      <c r="N2" s="1889">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2" t="s">
        <v>1688</v>
      </c>
      <c r="B3" s="1038" t="e">
        <f>ROUND(B2*10000/D1,0)</f>
        <v>#DIV/0!</v>
      </c>
      <c r="C3" s="1408" t="s">
        <v>927</v>
      </c>
      <c r="D3" s="1409" t="s">
        <v>928</v>
      </c>
      <c r="E3" s="1413"/>
      <c r="F3" s="1414" t="s">
        <v>2937</v>
      </c>
      <c r="G3" s="1039">
        <f>IF(F3="宗地容积率",'数据-汇总表'!I4,IF(F3="估价对象容积率",'数据-汇总表'!I6,'数据-汇总表'!I7))</f>
        <v>3</v>
      </c>
      <c r="H3" s="1415" t="s">
        <v>929</v>
      </c>
      <c r="I3" s="1040">
        <v>8</v>
      </c>
      <c r="J3" s="1411" t="s">
        <v>930</v>
      </c>
      <c r="K3" s="1402"/>
      <c r="L3" s="1887" t="s">
        <v>2243</v>
      </c>
      <c r="M3" s="1888">
        <f>SUMPRODUCT((区片价!B29:B48=I2)*(区片价!C3:F3=E2)*(区片价!C29:F48))</f>
        <v>0</v>
      </c>
      <c r="N3" s="1889">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3" t="s">
        <v>2283</v>
      </c>
      <c r="B4" s="2453" t="e">
        <f>ROUND(B2*10000/F1,0)</f>
        <v>#DIV/0!</v>
      </c>
      <c r="C4" s="1896" t="s">
        <v>2257</v>
      </c>
      <c r="D4" s="1896" t="e">
        <f>ROUND(B2/(F1/666.67),0)</f>
        <v>#DIV/0!</v>
      </c>
      <c r="E4" s="1896" t="s">
        <v>2258</v>
      </c>
      <c r="F4" s="1894"/>
      <c r="G4" s="1894"/>
      <c r="H4" s="1894"/>
      <c r="I4" s="1894"/>
      <c r="J4" s="1895"/>
      <c r="K4" s="1402"/>
      <c r="L4" s="1887" t="s">
        <v>2244</v>
      </c>
      <c r="M4" s="1888">
        <f>SUMPRODUCT((区片价!B49:B75=I2)*(区片价!C3:F3=E2)*(区片价!C49:F75))</f>
        <v>0</v>
      </c>
      <c r="N4" s="1889">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2" customFormat="1" ht="15.75" thickBot="1">
      <c r="A5" s="1639" t="s">
        <v>1824</v>
      </c>
      <c r="B5" s="1416" t="s">
        <v>931</v>
      </c>
      <c r="C5" s="1041" t="e">
        <f>ROUND(IF(E2="商业",IF(F16="增加",C6*C7+C16,C6*C7-C16),IF(E2="住宅",IF(F16="增加",C6*C12+C16,C6*C12-C16),IF(F16="增加",C6+C16,C6-C16))),0)</f>
        <v>#DIV/0!</v>
      </c>
      <c r="D5" s="3119">
        <f>ROUND(IF(E2="商业",IF(F16="增加",C6+C16,C6-C16)),0)</f>
        <v>0</v>
      </c>
      <c r="E5" s="1417"/>
      <c r="F5" s="1417"/>
      <c r="G5" s="1418"/>
      <c r="H5" s="1418"/>
      <c r="I5" s="1418"/>
      <c r="J5" s="1419"/>
      <c r="K5" s="1595"/>
      <c r="L5" s="1887" t="s">
        <v>2245</v>
      </c>
      <c r="M5" s="1888">
        <f>SUMPRODUCT((区片价!B76:B109=I2)*(区片价!C3:F3=E2)*(区片价!C76:F109))</f>
        <v>0</v>
      </c>
      <c r="N5" s="1889">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7" t="s">
        <v>2246</v>
      </c>
      <c r="M6" s="1888">
        <f>SUMPRODUCT((区片价!B110:B157=I2)*(区片价!C3:F3=E2)*(区片价!C110:F157))</f>
        <v>0</v>
      </c>
      <c r="N6" s="1889">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20"/>
      <c r="AE6" s="1420"/>
      <c r="AF6" s="1420"/>
      <c r="AG6" s="1420"/>
      <c r="AH6" s="1420"/>
      <c r="AI6" s="1420"/>
      <c r="AJ6" s="1421"/>
    </row>
    <row r="7" spans="1:39" ht="24">
      <c r="A7" s="3424" t="str">
        <f>IF(E2="商业",IF(C8="不临58条商业街","",2),"")</f>
        <v/>
      </c>
      <c r="B7" s="1428" t="s">
        <v>932</v>
      </c>
      <c r="C7" s="1043" t="e">
        <f>IF(C8="不临58条商业街",1,ROUND(1+(1.6*E8+1.2*E9+0.8*E10+0.4*E11)*C9,4))</f>
        <v>#DIV/0!</v>
      </c>
      <c r="D7" s="1429" t="s">
        <v>933</v>
      </c>
      <c r="E7" s="1044"/>
      <c r="F7" s="1430"/>
      <c r="G7" s="1431"/>
      <c r="H7" s="1431"/>
      <c r="I7" s="1431"/>
      <c r="J7" s="1432"/>
      <c r="K7" s="1596"/>
      <c r="L7" s="1887" t="s">
        <v>2247</v>
      </c>
      <c r="M7" s="1888">
        <f>SUMPRODUCT((区片价!B158:B205=I2)*(区片价!C3:F3=E2)*(区片价!C158:F205))</f>
        <v>0</v>
      </c>
      <c r="N7" s="1889">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2768</v>
      </c>
      <c r="X7" s="2927">
        <f>G2</f>
        <v>0</v>
      </c>
      <c r="Y7" s="2927" t="s">
        <v>2769</v>
      </c>
      <c r="Z7" s="2928">
        <f>G3</f>
        <v>3</v>
      </c>
      <c r="AA7" s="2192"/>
      <c r="AB7" s="2192"/>
      <c r="AC7" s="2193"/>
      <c r="AD7" s="2929"/>
      <c r="AE7" s="2929"/>
      <c r="AF7" s="2929"/>
      <c r="AG7" s="2929"/>
      <c r="AH7" s="2929"/>
      <c r="AI7" s="2929"/>
      <c r="AJ7" s="2930"/>
    </row>
    <row r="8" spans="1:39" ht="15">
      <c r="A8" s="3425"/>
      <c r="B8" s="1415" t="s">
        <v>934</v>
      </c>
      <c r="C8" s="1530"/>
      <c r="D8" s="1045" t="s">
        <v>935</v>
      </c>
      <c r="E8" s="1046" t="e">
        <f>ROUND(C11/E7,4)</f>
        <v>#DIV/0!</v>
      </c>
      <c r="F8" s="1433" t="s">
        <v>936</v>
      </c>
      <c r="G8" s="1434"/>
      <c r="H8" s="1434"/>
      <c r="I8" s="1434"/>
      <c r="J8" s="1435"/>
      <c r="K8" s="1402"/>
      <c r="L8" s="1887" t="s">
        <v>2248</v>
      </c>
      <c r="M8" s="1888">
        <f>SUMPRODUCT((区片价!B206:B244=I2)*(区片价!C3:F3=E2)*(区片价!C206:F244))</f>
        <v>0</v>
      </c>
      <c r="N8" s="1889">
        <f>SUMPRODUCT((因素修正幅度!B206:B244=I2)*(因素修正幅度!C3:F3=E2)*(因素修正幅度!C206:F244))</f>
        <v>0</v>
      </c>
      <c r="O8" s="2189"/>
      <c r="P8" s="2189"/>
      <c r="Q8" s="2189"/>
      <c r="R8" s="2937">
        <v>7</v>
      </c>
      <c r="S8" s="2926"/>
      <c r="T8" s="2937" t="e">
        <f t="shared" si="0"/>
        <v>#DIV/0!</v>
      </c>
      <c r="U8" s="2926"/>
      <c r="V8" s="2937" t="e">
        <f t="shared" si="1"/>
        <v>#DIV/0!</v>
      </c>
      <c r="W8" s="3416" t="s">
        <v>2786</v>
      </c>
      <c r="X8" s="3417"/>
      <c r="Y8" s="1851" t="s">
        <v>2770</v>
      </c>
      <c r="Z8" s="1851" t="s">
        <v>2771</v>
      </c>
      <c r="AA8" s="1851" t="s">
        <v>2772</v>
      </c>
      <c r="AB8" s="1851" t="s">
        <v>2773</v>
      </c>
      <c r="AC8" s="1851" t="s">
        <v>2774</v>
      </c>
      <c r="AD8" s="1851" t="s">
        <v>2775</v>
      </c>
      <c r="AE8" s="1851" t="s">
        <v>2776</v>
      </c>
      <c r="AF8" s="1851" t="s">
        <v>2777</v>
      </c>
      <c r="AG8" s="1851" t="s">
        <v>2778</v>
      </c>
      <c r="AH8" s="1851" t="s">
        <v>2779</v>
      </c>
      <c r="AI8" s="1851" t="s">
        <v>2780</v>
      </c>
      <c r="AJ8" s="1851" t="s">
        <v>2781</v>
      </c>
    </row>
    <row r="9" spans="1:39" ht="15">
      <c r="A9" s="3425"/>
      <c r="B9" s="1415" t="s">
        <v>937</v>
      </c>
      <c r="C9" s="1047">
        <f>SUMIF(修正!C59:C119,C8,修正!E59:E119)</f>
        <v>0</v>
      </c>
      <c r="D9" s="1048" t="s">
        <v>938</v>
      </c>
      <c r="E9" s="1048" t="e">
        <f>ROUND(C11/E7,4)</f>
        <v>#DIV/0!</v>
      </c>
      <c r="F9" s="1433" t="s">
        <v>939</v>
      </c>
      <c r="G9" s="1434"/>
      <c r="H9" s="1434"/>
      <c r="I9" s="1434"/>
      <c r="J9" s="1435"/>
      <c r="K9" s="1402"/>
      <c r="L9" s="1887" t="s">
        <v>2249</v>
      </c>
      <c r="M9" s="1888">
        <f>SUMPRODUCT((区片价!B245:B289=I2)*(区片价!C3:F3=E2)*(区片价!C245:F289))</f>
        <v>0</v>
      </c>
      <c r="N9" s="1889">
        <f>SUMPRODUCT((因素修正幅度!B245:B289=I2)*(因素修正幅度!C3:F3=E2)*(因素修正幅度!C245:F289))</f>
        <v>0</v>
      </c>
      <c r="O9" s="2189"/>
      <c r="P9" s="2189"/>
      <c r="Q9" s="2189"/>
      <c r="R9" s="2937">
        <v>8</v>
      </c>
      <c r="S9" s="2926"/>
      <c r="T9" s="2937" t="e">
        <f t="shared" si="0"/>
        <v>#DIV/0!</v>
      </c>
      <c r="U9" s="2926"/>
      <c r="V9" s="2937" t="e">
        <f t="shared" si="1"/>
        <v>#DIV/0!</v>
      </c>
      <c r="W9" s="3415" t="s">
        <v>2782</v>
      </c>
      <c r="X9" s="2931" t="s">
        <v>2783</v>
      </c>
      <c r="Y9" s="3097"/>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25"/>
      <c r="B10" s="1415" t="s">
        <v>940</v>
      </c>
      <c r="C10" s="1048">
        <f>SUMIF(修正!C59:C119,C8,修正!F59:F119)</f>
        <v>0</v>
      </c>
      <c r="D10" s="1048" t="s">
        <v>941</v>
      </c>
      <c r="E10" s="1048" t="e">
        <f>ROUND(C11/E7,4)</f>
        <v>#DIV/0!</v>
      </c>
      <c r="F10" s="1433" t="s">
        <v>942</v>
      </c>
      <c r="G10" s="1434"/>
      <c r="H10" s="1434"/>
      <c r="I10" s="1434"/>
      <c r="J10" s="1435"/>
      <c r="K10" s="1402"/>
      <c r="L10" s="1887" t="s">
        <v>2250</v>
      </c>
      <c r="M10" s="1888">
        <f>SUMPRODUCT((区片价!B290:B316=I2)*(区片价!C3:F3=E2)*(区片价!C290:F316))</f>
        <v>0</v>
      </c>
      <c r="N10" s="1889">
        <f>SUMPRODUCT((因素修正幅度!B290:B316=I2)*(因素修正幅度!C3:F3=E2)*(因素修正幅度!C290:F316))</f>
        <v>0</v>
      </c>
      <c r="O10" s="2189"/>
      <c r="P10" s="2189"/>
      <c r="Q10" s="2189"/>
      <c r="R10" s="2937">
        <v>9</v>
      </c>
      <c r="S10" s="2926"/>
      <c r="T10" s="2937" t="e">
        <f t="shared" si="0"/>
        <v>#DIV/0!</v>
      </c>
      <c r="U10" s="2926"/>
      <c r="V10" s="2937" t="e">
        <f t="shared" si="1"/>
        <v>#DIV/0!</v>
      </c>
      <c r="W10" s="3415"/>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25"/>
      <c r="B11" s="1436" t="s">
        <v>943</v>
      </c>
      <c r="C11" s="1049">
        <f>C10/4</f>
        <v>0</v>
      </c>
      <c r="D11" s="1049" t="s">
        <v>944</v>
      </c>
      <c r="E11" s="1049" t="e">
        <f>ROUND(C11/E7,4)</f>
        <v>#DIV/0!</v>
      </c>
      <c r="F11" s="1437" t="s">
        <v>945</v>
      </c>
      <c r="G11" s="1438"/>
      <c r="H11" s="1438"/>
      <c r="I11" s="1438"/>
      <c r="J11" s="1439"/>
      <c r="K11" s="1402"/>
      <c r="L11" s="1887" t="s">
        <v>2251</v>
      </c>
      <c r="M11" s="1888">
        <f>SUMPRODUCT((区片价!B317:B337=I2)*(区片价!C3:F3=E2)*(区片价!C317:F337))</f>
        <v>0</v>
      </c>
      <c r="N11" s="1889">
        <f>SUMPRODUCT((因素修正幅度!B317:B337=I2)*(因素修正幅度!C3:F3=E2)*(因素修正幅度!C317:F337))</f>
        <v>0</v>
      </c>
      <c r="O11" s="2189"/>
      <c r="P11" s="2189"/>
      <c r="Q11" s="2189"/>
      <c r="R11" s="2937">
        <v>10</v>
      </c>
      <c r="S11" s="2926"/>
      <c r="T11" s="2937" t="e">
        <f t="shared" si="0"/>
        <v>#DIV/0!</v>
      </c>
      <c r="U11" s="2926"/>
      <c r="V11" s="2937" t="e">
        <f t="shared" si="1"/>
        <v>#DIV/0!</v>
      </c>
      <c r="W11" s="3415" t="s">
        <v>2784</v>
      </c>
      <c r="X11" s="1048" t="s">
        <v>2769</v>
      </c>
      <c r="Y11" s="1654">
        <f>$G$3</f>
        <v>3</v>
      </c>
      <c r="Z11" s="1654">
        <f t="shared" ref="Z11:AJ11" si="3">$G$3</f>
        <v>3</v>
      </c>
      <c r="AA11" s="1654">
        <f t="shared" si="3"/>
        <v>3</v>
      </c>
      <c r="AB11" s="1654">
        <f t="shared" si="3"/>
        <v>3</v>
      </c>
      <c r="AC11" s="1654">
        <f t="shared" si="3"/>
        <v>3</v>
      </c>
      <c r="AD11" s="1654">
        <f t="shared" si="3"/>
        <v>3</v>
      </c>
      <c r="AE11" s="1654">
        <f t="shared" si="3"/>
        <v>3</v>
      </c>
      <c r="AF11" s="1654">
        <f t="shared" si="3"/>
        <v>3</v>
      </c>
      <c r="AG11" s="1654">
        <f t="shared" si="3"/>
        <v>3</v>
      </c>
      <c r="AH11" s="1654">
        <f t="shared" si="3"/>
        <v>3</v>
      </c>
      <c r="AI11" s="1654">
        <f t="shared" si="3"/>
        <v>3</v>
      </c>
      <c r="AJ11" s="1654">
        <f t="shared" si="3"/>
        <v>3</v>
      </c>
    </row>
    <row r="12" spans="1:39" ht="25.5" thickBot="1">
      <c r="A12" s="3424" t="s">
        <v>1872</v>
      </c>
      <c r="B12" s="1440" t="s">
        <v>946</v>
      </c>
      <c r="C12" s="1043">
        <f>ROUND(C15*D15*E15*F15*G15*H15*I15*J15,4)</f>
        <v>1</v>
      </c>
      <c r="D12" s="1441" t="s">
        <v>947</v>
      </c>
      <c r="E12" s="1442"/>
      <c r="F12" s="1442"/>
      <c r="G12" s="1443"/>
      <c r="H12" s="1443"/>
      <c r="I12" s="1443"/>
      <c r="J12" s="1444"/>
      <c r="K12" s="1402"/>
      <c r="L12" s="1890" t="s">
        <v>2252</v>
      </c>
      <c r="M12" s="1891">
        <f>SUMPRODUCT((区片价!B338:B344=I2)*(区片价!C3:F3=E2)*(区片价!C338:F344))</f>
        <v>0</v>
      </c>
      <c r="N12" s="1892">
        <f>SUMPRODUCT((因素修正幅度!B338:B344=I2)*(因素修正幅度!C3:F3=E2)*(因素修正幅度!C338:F344))</f>
        <v>0</v>
      </c>
      <c r="O12" s="2189"/>
      <c r="P12" s="2189"/>
      <c r="Q12" s="2189"/>
      <c r="R12" s="2937">
        <v>11</v>
      </c>
      <c r="S12" s="2926"/>
      <c r="T12" s="2937" t="e">
        <f t="shared" si="0"/>
        <v>#DIV/0!</v>
      </c>
      <c r="U12" s="2926"/>
      <c r="V12" s="2937" t="e">
        <f t="shared" si="1"/>
        <v>#DIV/0!</v>
      </c>
      <c r="W12" s="3415"/>
      <c r="X12" s="2934" t="s">
        <v>2785</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26"/>
      <c r="B13" s="1445" t="s">
        <v>1697</v>
      </c>
      <c r="C13" s="1446" t="s">
        <v>1698</v>
      </c>
      <c r="D13" s="1089" t="s">
        <v>1699</v>
      </c>
      <c r="E13" s="1089" t="s">
        <v>1700</v>
      </c>
      <c r="F13" s="1447" t="s">
        <v>948</v>
      </c>
      <c r="G13" s="1448" t="s">
        <v>1643</v>
      </c>
      <c r="H13" s="1449" t="s">
        <v>1643</v>
      </c>
      <c r="I13" s="1450" t="s">
        <v>1643</v>
      </c>
      <c r="J13" s="1451" t="s">
        <v>1643</v>
      </c>
      <c r="K13" s="1402"/>
      <c r="L13" s="2189"/>
      <c r="M13" s="2189"/>
      <c r="N13" s="2189"/>
      <c r="O13" s="2189"/>
      <c r="P13" s="2189"/>
      <c r="Q13" s="2189"/>
      <c r="R13" s="2937">
        <v>12</v>
      </c>
      <c r="S13" s="2926"/>
      <c r="T13" s="2937" t="e">
        <f t="shared" si="0"/>
        <v>#DIV/0!</v>
      </c>
      <c r="U13" s="2926"/>
      <c r="V13" s="2937" t="e">
        <f t="shared" si="1"/>
        <v>#DIV/0!</v>
      </c>
      <c r="W13" s="3415"/>
      <c r="X13" s="2934"/>
      <c r="Y13" s="2933">
        <f>(-0.163*(Y12^2)-0.59*Y12+7617)*(10^(-4))/Y11</f>
        <v>0.25390000000000001</v>
      </c>
      <c r="Z13" s="2933">
        <f t="shared" ref="Z13:AJ13" si="5">(-0.163*(Z12^2)-0.59*Z12+7617)*(10^(-4))/Z11</f>
        <v>0.25390000000000001</v>
      </c>
      <c r="AA13" s="2933">
        <f t="shared" si="5"/>
        <v>0.25390000000000001</v>
      </c>
      <c r="AB13" s="2933">
        <f t="shared" si="5"/>
        <v>0.25390000000000001</v>
      </c>
      <c r="AC13" s="2933">
        <f t="shared" si="5"/>
        <v>0.25390000000000001</v>
      </c>
      <c r="AD13" s="2933">
        <f t="shared" si="5"/>
        <v>0.25390000000000001</v>
      </c>
      <c r="AE13" s="2933">
        <f t="shared" si="5"/>
        <v>0.25390000000000001</v>
      </c>
      <c r="AF13" s="2933">
        <f t="shared" si="5"/>
        <v>0.25390000000000001</v>
      </c>
      <c r="AG13" s="2933">
        <f t="shared" si="5"/>
        <v>0.25390000000000001</v>
      </c>
      <c r="AH13" s="2933">
        <f t="shared" si="5"/>
        <v>0.25390000000000001</v>
      </c>
      <c r="AI13" s="2933">
        <f t="shared" si="5"/>
        <v>0.25390000000000001</v>
      </c>
      <c r="AJ13" s="2933">
        <f t="shared" si="5"/>
        <v>0.25390000000000001</v>
      </c>
    </row>
    <row r="14" spans="1:39" ht="12.75" customHeight="1" thickBot="1">
      <c r="A14" s="3426"/>
      <c r="B14" s="1452"/>
      <c r="C14" s="1453"/>
      <c r="D14" s="1454"/>
      <c r="E14" s="1454"/>
      <c r="F14" s="1455"/>
      <c r="G14" s="1456" t="s">
        <v>949</v>
      </c>
      <c r="H14" s="1457"/>
      <c r="I14" s="1458"/>
      <c r="J14" s="1459"/>
      <c r="K14" s="1402"/>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2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89"/>
      <c r="R15" s="2937">
        <v>14</v>
      </c>
      <c r="S15" s="2926"/>
      <c r="T15" s="2937" t="e">
        <f t="shared" si="0"/>
        <v>#DIV/0!</v>
      </c>
      <c r="U15" s="2926"/>
      <c r="V15" s="2937" t="e">
        <f t="shared" si="1"/>
        <v>#DIV/0!</v>
      </c>
      <c r="W15" s="2189"/>
      <c r="X15" s="2189"/>
      <c r="Y15" s="2189"/>
      <c r="Z15" s="2189"/>
      <c r="AA15" s="2189"/>
      <c r="AB15" s="2189"/>
      <c r="AC15" s="2190"/>
    </row>
    <row r="16" spans="1:39" ht="24">
      <c r="A16" s="342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2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2"/>
      <c r="R17" s="2193"/>
      <c r="S17" s="2193"/>
      <c r="T17" s="2193"/>
      <c r="U17" s="2193"/>
      <c r="V17" s="2193"/>
      <c r="W17" s="2192"/>
      <c r="X17" s="2192"/>
      <c r="Y17" s="2192"/>
      <c r="Z17" s="2192"/>
      <c r="AA17" s="2192"/>
      <c r="AB17" s="2192"/>
      <c r="AC17" s="2193"/>
      <c r="AH17" s="1403"/>
      <c r="AI17" s="1403"/>
      <c r="AJ17" s="1406"/>
      <c r="AK17" s="1406"/>
      <c r="AL17" s="1406"/>
      <c r="AM17" s="1406"/>
    </row>
    <row r="18" spans="1:40" s="1422" customFormat="1" ht="15.75" thickBot="1">
      <c r="A18" s="1642" t="s">
        <v>1830</v>
      </c>
      <c r="B18" s="2772" t="s">
        <v>956</v>
      </c>
      <c r="C18" s="2773">
        <f>SUMIF(修正!C18:C39,E3,修正!E18:E39)</f>
        <v>0</v>
      </c>
      <c r="D18" s="2774"/>
      <c r="E18" s="2775"/>
      <c r="F18" s="2776"/>
      <c r="G18" s="2770"/>
      <c r="H18" s="2770"/>
      <c r="I18" s="2770"/>
      <c r="J18" s="2777"/>
      <c r="K18" s="1482"/>
      <c r="L18" s="1482"/>
      <c r="M18" s="1482"/>
      <c r="N18" s="1482"/>
      <c r="O18" s="1598"/>
      <c r="P18" s="1598"/>
      <c r="Q18" s="2194"/>
      <c r="R18" s="2194"/>
      <c r="S18" s="2194"/>
      <c r="T18" s="2194"/>
      <c r="U18" s="2194"/>
      <c r="V18" s="2194"/>
      <c r="W18" s="2193"/>
      <c r="X18" s="2193"/>
      <c r="Y18" s="2193"/>
      <c r="Z18" s="2193"/>
      <c r="AA18" s="2192"/>
      <c r="AB18" s="2192"/>
      <c r="AC18" s="2195"/>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ROUND(IF(H19="按公示增长率计算",SUMPRODUCT((地价!A3:A23=YEAR(G19)&amp;"-"&amp;ROUNDUP(MONTH(G19)/3,0))*(地价!X2:AB2=E2)*(地价!X3:AB23)),IF(H19="地价指数",M20/M19,(1+I19)^O19)),4)</f>
        <v>#DIV/0!</v>
      </c>
      <c r="D19" s="1475" t="s">
        <v>958</v>
      </c>
      <c r="E19" s="1058">
        <v>41640</v>
      </c>
      <c r="F19" s="1475" t="s">
        <v>959</v>
      </c>
      <c r="G19" s="1059">
        <f>'数据-取费表'!B2</f>
        <v>43361</v>
      </c>
      <c r="H19" s="1476" t="s">
        <v>2938</v>
      </c>
      <c r="I19" s="2784" t="str">
        <f>IF(H19="季度增幅（自定义）",SUMIF(N21:N24,E2,O21:O24),"")</f>
        <v/>
      </c>
      <c r="J19" s="1472"/>
      <c r="K19" s="1482"/>
      <c r="L19" s="3039" t="s">
        <v>2844</v>
      </c>
      <c r="M19" s="3040">
        <f>ROUND(SUMIF(地价!B2:F2,E2,地价!B23:F23),0)</f>
        <v>0</v>
      </c>
      <c r="N19" s="2786" t="s">
        <v>1677</v>
      </c>
      <c r="O19" s="2785">
        <f>ROUNDDOWN(DATEDIF(E19,G19,"M")/3,0)</f>
        <v>18</v>
      </c>
      <c r="P19" s="1597"/>
      <c r="R19" s="2925"/>
      <c r="S19" s="2925"/>
      <c r="T19" s="2925"/>
      <c r="U19" s="2925"/>
      <c r="V19" s="2925"/>
      <c r="W19" s="2195"/>
      <c r="X19" s="2195"/>
      <c r="Y19" s="2195"/>
      <c r="Z19" s="2195"/>
      <c r="AA19" s="2195"/>
      <c r="AB19" s="2195"/>
      <c r="AC19" s="2195"/>
      <c r="AD19" s="1404"/>
      <c r="AE19" s="1404"/>
      <c r="AF19" s="1404"/>
      <c r="AG19" s="1404"/>
      <c r="AH19" s="1473"/>
      <c r="AI19" s="1474"/>
      <c r="AJ19" s="1478"/>
      <c r="AK19" s="1405"/>
      <c r="AL19" s="1421"/>
      <c r="AM19" s="1421"/>
      <c r="AN19" s="1421"/>
    </row>
    <row r="20" spans="1:40" s="1422" customFormat="1" ht="27.75" thickBot="1">
      <c r="A20" s="2778" t="s">
        <v>1837</v>
      </c>
      <c r="B20" s="2779" t="s">
        <v>972</v>
      </c>
      <c r="C20" s="2780" t="e">
        <f>ROUND(POWER(1+G20,J20-I20)*(POWER(1+G20,I20)-1)/(POWER(1+G20,J20)-1),4)</f>
        <v>#DIV/0!</v>
      </c>
      <c r="D20" s="2781" t="s">
        <v>973</v>
      </c>
      <c r="E20" s="3094">
        <f ca="1">存贷款利率!I4/100</f>
        <v>4.3499999999999997E-2</v>
      </c>
      <c r="F20" s="2781" t="s">
        <v>974</v>
      </c>
      <c r="G20" s="2782">
        <f>SUMIF(M15:P15,E2,M17:P17)</f>
        <v>0</v>
      </c>
      <c r="H20" s="2781" t="s">
        <v>975</v>
      </c>
      <c r="I20" s="2771" t="e">
        <f>SUMIF('数据-取费表'!C6:C15,E2,'数据-取费表'!F6:F15)/COUNTIF('数据-取费表'!C6:C15,E2)</f>
        <v>#DIV/0!</v>
      </c>
      <c r="J20" s="2783">
        <f>IF(E2="住宅",70,IF(E2="商业",40,50))</f>
        <v>50</v>
      </c>
      <c r="K20" s="1482"/>
      <c r="L20" s="3041" t="s">
        <v>2845</v>
      </c>
      <c r="M20" s="3042">
        <f>ROUND(SUMPRODUCT((地价!A4:A23=YEAR(G19)&amp;"-"&amp;ROUNDUP(MONTH(G19)/3,0))*(地价!B2:F2=E2)*(地价!B4:F23)),0)</f>
        <v>0</v>
      </c>
      <c r="N20" s="2789" t="s">
        <v>2648</v>
      </c>
      <c r="O20" s="2787" t="s">
        <v>2647</v>
      </c>
      <c r="P20" s="2788" t="s">
        <v>2653</v>
      </c>
      <c r="R20" s="2925"/>
      <c r="S20" s="2925"/>
      <c r="T20" s="2925"/>
      <c r="U20" s="2925"/>
      <c r="V20" s="2925"/>
      <c r="W20" s="2195"/>
      <c r="X20" s="2195"/>
      <c r="Y20" s="2195"/>
      <c r="Z20" s="2195"/>
      <c r="AA20" s="2195"/>
      <c r="AB20" s="2195"/>
      <c r="AC20" s="2195"/>
      <c r="AD20" s="1473"/>
      <c r="AE20" s="1473"/>
      <c r="AF20" s="1473"/>
      <c r="AG20" s="1473"/>
      <c r="AH20" s="1473"/>
      <c r="AI20" s="1473"/>
    </row>
    <row r="21" spans="1:40" s="1422" customFormat="1" ht="14.25">
      <c r="A21" s="1643" t="s">
        <v>1838</v>
      </c>
      <c r="B21" s="1481" t="s">
        <v>2764</v>
      </c>
      <c r="C21" s="1158">
        <f>IF(B21="容积率修正",IF(G3&lt;=10,D22,J22),C23)</f>
        <v>0</v>
      </c>
      <c r="D21" s="1482"/>
      <c r="E21" s="1482"/>
      <c r="F21" s="1482"/>
      <c r="G21" s="1482"/>
      <c r="H21" s="1482"/>
      <c r="I21" s="1482"/>
      <c r="J21" s="1483"/>
      <c r="K21" s="1482"/>
      <c r="L21" s="1482"/>
      <c r="M21" s="1482"/>
      <c r="N21" s="1479" t="s">
        <v>976</v>
      </c>
      <c r="O21" s="1543"/>
      <c r="P21" s="2769">
        <f>SUMPRODUCT((地价!A3:A23=YEAR(G19)&amp;"-"&amp;ROUNDUP(MONTH(G19)/3,0))*(地价!AD2:AH2=N21)*(地价!AD3:AH23))</f>
        <v>1.54E-2</v>
      </c>
      <c r="R21" s="2925"/>
      <c r="S21" s="2925"/>
      <c r="T21" s="2925"/>
      <c r="U21" s="2925"/>
      <c r="V21" s="2925"/>
      <c r="W21" s="2195"/>
      <c r="X21" s="2195"/>
      <c r="Y21" s="2195"/>
      <c r="Z21" s="2195"/>
      <c r="AA21" s="2195"/>
      <c r="AB21" s="2195"/>
      <c r="AC21" s="2195"/>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69">
        <f>SUMPRODUCT((地价!A3:A23=YEAR(G19)&amp;"-"&amp;ROUNDUP(MONTH(G19)/3,0))*(地价!AD2:AH2=N22)*(地价!AD3:AH23))</f>
        <v>1.54E-2</v>
      </c>
      <c r="R22" s="2925"/>
      <c r="S22" s="2925"/>
      <c r="T22" s="2925"/>
      <c r="U22" s="2925"/>
      <c r="V22" s="2925"/>
      <c r="W22" s="2195"/>
      <c r="X22" s="2195"/>
      <c r="Y22" s="2195"/>
      <c r="Z22" s="2195"/>
      <c r="AA22" s="2195"/>
      <c r="AB22" s="2195"/>
      <c r="AC22" s="2195"/>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69">
        <f>SUMPRODUCT((地价!A3:A23=YEAR(G19)&amp;"-"&amp;ROUNDUP(MONTH(G19)/3,0))*(地价!AD2:AH2=N23)*(地价!AD3:AH23))</f>
        <v>2.4500000000000001E-2</v>
      </c>
      <c r="R23" s="2925"/>
      <c r="S23" s="2925"/>
      <c r="T23" s="2925"/>
      <c r="U23" s="2925"/>
      <c r="V23" s="2925"/>
      <c r="W23" s="2195"/>
      <c r="X23" s="2195"/>
      <c r="Y23" s="2195"/>
      <c r="Z23" s="2195"/>
      <c r="AA23" s="2195"/>
      <c r="AB23" s="2195"/>
      <c r="AC23" s="2195"/>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SUMPRODUCT((地价!A3:A23=YEAR(G19)&amp;"-"&amp;ROUNDUP(MONTH(G19)/3,0))*(地价!AD2:AH2=N24)*(地价!AD3:AH23))</f>
        <v>1.41E-2</v>
      </c>
      <c r="R24" s="2925"/>
      <c r="S24" s="2925"/>
      <c r="T24" s="2925"/>
      <c r="U24" s="2925"/>
      <c r="V24" s="2925"/>
      <c r="W24" s="2195"/>
      <c r="X24" s="2195"/>
      <c r="Y24" s="2195"/>
      <c r="Z24" s="2195"/>
      <c r="AA24" s="2195"/>
      <c r="AB24" s="2195"/>
      <c r="AC24" s="2195"/>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5"/>
      <c r="M25" s="2195"/>
      <c r="N25" s="2797" t="s">
        <v>2651</v>
      </c>
      <c r="O25" s="2195"/>
      <c r="P25" s="1542">
        <f>SUMPRODUCT((地价!A3:A23=YEAR(G19)&amp;"-"&amp;ROUNDUP(MONTH(G19)/3,0))*(地价!AD2:AH2=N25)*(地价!AD3:AH23))</f>
        <v>2.23E-2</v>
      </c>
      <c r="R25" s="2925"/>
      <c r="S25" s="2925"/>
      <c r="T25" s="2925"/>
      <c r="U25" s="2925"/>
      <c r="V25" s="2925"/>
      <c r="W25" s="2195"/>
      <c r="X25" s="2195"/>
      <c r="Y25" s="2195"/>
      <c r="Z25" s="2195"/>
      <c r="AA25" s="2195"/>
      <c r="AB25" s="2195"/>
      <c r="AC25" s="2195"/>
    </row>
    <row r="26" spans="1:40" ht="14.25">
      <c r="A26" s="1490"/>
      <c r="B26" s="1484" t="s">
        <v>987</v>
      </c>
      <c r="C26" s="1063" t="e">
        <f>E29+SUM(E33:E39)</f>
        <v>#DIV/0!</v>
      </c>
      <c r="D26" s="1491"/>
      <c r="E26" s="1457"/>
      <c r="F26" s="1492"/>
      <c r="G26" s="1457"/>
      <c r="H26" s="1457"/>
      <c r="I26" s="1457"/>
      <c r="J26" s="1493"/>
      <c r="K26" s="1402"/>
      <c r="L26" s="2195"/>
      <c r="M26" s="2195"/>
      <c r="N26" s="2195"/>
      <c r="O26" s="2195"/>
      <c r="P26" s="2195"/>
      <c r="Q26" s="2195"/>
      <c r="R26" s="2925"/>
      <c r="S26" s="2925"/>
      <c r="T26" s="2925"/>
      <c r="U26" s="2925"/>
      <c r="V26" s="2925"/>
      <c r="W26" s="2195"/>
      <c r="X26" s="2195"/>
      <c r="Y26" s="2195"/>
      <c r="Z26" s="2195"/>
      <c r="AA26" s="2195"/>
      <c r="AB26" s="2195"/>
      <c r="AC26" s="2195"/>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5"/>
      <c r="M27" s="2195"/>
      <c r="N27" s="2195"/>
      <c r="O27" s="2195"/>
      <c r="P27" s="2195"/>
      <c r="Q27" s="2195"/>
      <c r="R27" s="2925"/>
      <c r="S27" s="2925"/>
      <c r="T27" s="2925"/>
      <c r="U27" s="2925"/>
      <c r="V27" s="2925"/>
      <c r="W27" s="2195"/>
      <c r="X27" s="2195"/>
      <c r="Y27" s="2195"/>
      <c r="Z27" s="2195"/>
      <c r="AA27" s="2195"/>
      <c r="AB27" s="2195"/>
      <c r="AC27" s="2195"/>
    </row>
    <row r="28" spans="1:40" ht="14.25">
      <c r="A28" s="1486"/>
      <c r="B28" s="1499" t="s">
        <v>990</v>
      </c>
      <c r="C28" s="1500" t="s">
        <v>991</v>
      </c>
      <c r="D28" s="1500" t="s">
        <v>992</v>
      </c>
      <c r="E28" s="1501" t="s">
        <v>993</v>
      </c>
      <c r="F28" s="1502"/>
      <c r="G28" s="1443"/>
      <c r="H28" s="1443"/>
      <c r="I28" s="1443"/>
      <c r="J28" s="1444"/>
      <c r="K28" s="1402"/>
      <c r="L28" s="2195"/>
      <c r="M28" s="2195"/>
      <c r="N28" s="2195"/>
      <c r="O28" s="2195"/>
      <c r="P28" s="2195"/>
      <c r="Q28" s="2195"/>
      <c r="R28" s="2925"/>
      <c r="S28" s="2925"/>
      <c r="T28" s="2925"/>
      <c r="U28" s="2925"/>
      <c r="V28" s="2925"/>
      <c r="W28" s="2195"/>
      <c r="X28" s="2195"/>
      <c r="Y28" s="2195"/>
      <c r="Z28" s="2195"/>
      <c r="AA28" s="2195"/>
      <c r="AB28" s="2195"/>
      <c r="AC28" s="2195"/>
      <c r="AD28" s="1473"/>
      <c r="AE28" s="1473"/>
      <c r="AF28" s="1473"/>
      <c r="AG28" s="1473"/>
    </row>
    <row r="29" spans="1:40" ht="24">
      <c r="A29" s="1503"/>
      <c r="B29" s="1504" t="s">
        <v>994</v>
      </c>
      <c r="C29" s="1063" t="e">
        <f>ROUND(C5*C18*C19*C20*C21*C24,0)</f>
        <v>#DIV/0!</v>
      </c>
      <c r="D29" s="1505"/>
      <c r="E29" s="1851" t="e">
        <f>ROUND(C29*D29/10000,0)</f>
        <v>#DIV/0!</v>
      </c>
      <c r="F29" s="1506" t="s">
        <v>1702</v>
      </c>
      <c r="G29" s="1507"/>
      <c r="H29" s="1507"/>
      <c r="I29" s="1507"/>
      <c r="J29" s="1508"/>
      <c r="K29" s="1402"/>
      <c r="L29" s="2195"/>
      <c r="M29" s="2195"/>
      <c r="N29" s="2195"/>
      <c r="O29" s="2195"/>
      <c r="P29" s="2195"/>
      <c r="Q29" s="2195"/>
      <c r="R29" s="2925"/>
      <c r="S29" s="2925"/>
      <c r="T29" s="2925"/>
      <c r="U29" s="2925"/>
      <c r="V29" s="2925"/>
      <c r="W29" s="2195"/>
      <c r="X29" s="2195"/>
      <c r="Y29" s="2195"/>
      <c r="Z29" s="2195"/>
      <c r="AA29" s="2195"/>
      <c r="AB29" s="2195"/>
      <c r="AC29" s="2195"/>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89"/>
      <c r="M30" s="2189"/>
      <c r="N30" s="2189"/>
      <c r="O30" s="2189"/>
      <c r="P30" s="2189"/>
      <c r="Q30" s="2189"/>
      <c r="R30" s="2190"/>
      <c r="S30" s="2190"/>
      <c r="T30" s="2190"/>
      <c r="U30" s="2190"/>
      <c r="V30" s="2190"/>
      <c r="W30" s="2189"/>
      <c r="X30" s="2189"/>
      <c r="Y30" s="2189"/>
      <c r="Z30" s="2189"/>
      <c r="AA30" s="2189"/>
      <c r="AB30" s="2189"/>
      <c r="AC30" s="2189"/>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89"/>
      <c r="M31" s="2189"/>
      <c r="N31" s="2189"/>
      <c r="O31" s="2189"/>
      <c r="P31" s="2189"/>
      <c r="Q31" s="2189"/>
      <c r="R31" s="2190"/>
      <c r="S31" s="2190"/>
      <c r="T31" s="2190"/>
      <c r="U31" s="2190"/>
      <c r="V31" s="2190"/>
      <c r="W31" s="2189"/>
      <c r="X31" s="2189"/>
      <c r="Y31" s="2189"/>
      <c r="Z31" s="2189"/>
      <c r="AA31" s="2189"/>
      <c r="AB31" s="2189"/>
      <c r="AC31" s="2189"/>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89"/>
      <c r="M32" s="2189"/>
      <c r="N32" s="2189"/>
      <c r="O32" s="2189"/>
      <c r="P32" s="2189"/>
      <c r="Q32" s="2189"/>
      <c r="R32" s="2190"/>
      <c r="S32" s="2190"/>
      <c r="T32" s="2190"/>
      <c r="U32" s="2190"/>
      <c r="V32" s="2190"/>
      <c r="W32" s="2189"/>
      <c r="X32" s="2189"/>
      <c r="Y32" s="2189"/>
      <c r="Z32" s="2189"/>
      <c r="AA32" s="2189"/>
      <c r="AB32" s="2189"/>
      <c r="AC32" s="2189"/>
      <c r="AD32" s="1403"/>
      <c r="AE32" s="1403"/>
      <c r="AF32" s="1403"/>
      <c r="AG32" s="1403"/>
      <c r="AH32" s="1403"/>
      <c r="AI32" s="1403"/>
      <c r="AJ32" s="1406"/>
      <c r="AK32" s="1406"/>
      <c r="AL32" s="1406"/>
      <c r="AM32" s="1406"/>
    </row>
    <row r="33" spans="1:40" ht="12.75">
      <c r="A33" s="3430" t="s">
        <v>2963</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89"/>
      <c r="M33" s="2189"/>
      <c r="N33" s="2189"/>
      <c r="O33" s="2189"/>
      <c r="P33" s="2189"/>
      <c r="Q33" s="2189"/>
      <c r="R33" s="2190"/>
      <c r="S33" s="2190"/>
      <c r="T33" s="2190"/>
      <c r="U33" s="2190"/>
      <c r="V33" s="2190"/>
      <c r="W33" s="2189"/>
      <c r="X33" s="2189"/>
      <c r="Y33" s="2189"/>
      <c r="Z33" s="2189"/>
      <c r="AA33" s="2189"/>
      <c r="AB33" s="2189"/>
      <c r="AC33" s="2190"/>
    </row>
    <row r="34" spans="1:40" ht="12.75">
      <c r="A34" s="3431"/>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89"/>
      <c r="M34" s="2189"/>
      <c r="N34" s="2189"/>
      <c r="O34" s="2189"/>
      <c r="P34" s="2189"/>
      <c r="Q34" s="2189"/>
      <c r="R34" s="2190"/>
      <c r="S34" s="2190"/>
      <c r="T34" s="2190"/>
      <c r="U34" s="2190"/>
      <c r="V34" s="2190"/>
      <c r="W34" s="2189"/>
      <c r="X34" s="2189"/>
      <c r="Y34" s="2189"/>
      <c r="Z34" s="2189"/>
      <c r="AA34" s="2189"/>
      <c r="AB34" s="2189"/>
      <c r="AC34" s="2190"/>
    </row>
    <row r="35" spans="1:40" ht="12.75">
      <c r="A35" s="3431"/>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32"/>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89"/>
      <c r="M36" s="2189"/>
      <c r="N36" s="2189"/>
      <c r="O36" s="2189"/>
      <c r="P36" s="2189"/>
      <c r="Q36" s="2189"/>
      <c r="R36" s="2190"/>
      <c r="S36" s="2190"/>
      <c r="T36" s="2190"/>
      <c r="U36" s="2190"/>
      <c r="V36" s="2190"/>
      <c r="W36" s="2189"/>
      <c r="X36" s="2189"/>
      <c r="Y36" s="2189"/>
      <c r="Z36" s="2189"/>
      <c r="AA36" s="2189"/>
      <c r="AB36" s="2189"/>
      <c r="AC36" s="2190"/>
    </row>
    <row r="37" spans="1:40" ht="12.75">
      <c r="A37" s="1524"/>
      <c r="B37" s="1446" t="s">
        <v>1004</v>
      </c>
      <c r="C37" s="1048" t="e">
        <f>ROUND(C5*C19*C20*C24*F37,0)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89"/>
      <c r="O37" s="2189"/>
      <c r="P37" s="2189"/>
      <c r="Q37" s="2189"/>
      <c r="R37" s="2190"/>
      <c r="S37" s="2190"/>
      <c r="T37" s="2190"/>
      <c r="U37" s="2190"/>
      <c r="V37" s="2190"/>
      <c r="W37" s="2189"/>
      <c r="X37" s="2189"/>
      <c r="Y37" s="2189"/>
      <c r="Z37" s="2189"/>
      <c r="AA37" s="2189"/>
      <c r="AB37" s="2189"/>
      <c r="AC37" s="2190"/>
    </row>
    <row r="38" spans="1:40" ht="12.75">
      <c r="A38" s="1524"/>
      <c r="B38" s="1446" t="s">
        <v>1005</v>
      </c>
      <c r="C38" s="1048" t="e">
        <f>ROUND(C5*C19*C20*C24*F38,0)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89"/>
      <c r="O38" s="2189"/>
      <c r="P38" s="2189"/>
      <c r="Q38" s="2189"/>
      <c r="R38" s="2190"/>
      <c r="S38" s="2190"/>
      <c r="T38" s="2190"/>
      <c r="U38" s="2190"/>
      <c r="V38" s="2190"/>
      <c r="W38" s="2189"/>
      <c r="X38" s="2189"/>
      <c r="Y38" s="2189"/>
      <c r="Z38" s="2189"/>
      <c r="AA38" s="2189"/>
      <c r="AB38" s="2189"/>
      <c r="AC38" s="2190"/>
    </row>
    <row r="39" spans="1:40" ht="13.5" thickBot="1">
      <c r="A39" s="1509"/>
      <c r="B39" s="1527" t="s">
        <v>1006</v>
      </c>
      <c r="C39" s="1051" t="e">
        <f>ROUND(C5*C19*C20*C24*F39,0)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89"/>
      <c r="O39" s="2189"/>
      <c r="P39" s="2189"/>
      <c r="Q39" s="2189"/>
      <c r="R39" s="2190"/>
      <c r="S39" s="2190"/>
      <c r="T39" s="2190"/>
      <c r="U39" s="2190"/>
      <c r="V39" s="2190"/>
      <c r="W39" s="2189"/>
      <c r="X39" s="2189"/>
      <c r="Y39" s="2189"/>
      <c r="Z39" s="2189"/>
      <c r="AA39" s="2189"/>
      <c r="AB39" s="2189"/>
      <c r="AC39" s="2190"/>
    </row>
    <row r="40" spans="1:40" s="1403"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4"/>
      <c r="AE40" s="1404"/>
      <c r="AF40" s="1404"/>
      <c r="AG40" s="1404"/>
      <c r="AH40" s="1404"/>
      <c r="AI40" s="1404"/>
      <c r="AJ40" s="1404"/>
      <c r="AK40" s="1404"/>
      <c r="AL40" s="1404"/>
      <c r="AM40" s="1404"/>
    </row>
    <row r="41" spans="1:40" s="1403" customFormat="1">
      <c r="A41" s="1404"/>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4"/>
      <c r="AE41" s="1404"/>
      <c r="AF41" s="1404"/>
      <c r="AG41" s="1404"/>
      <c r="AH41" s="1404"/>
      <c r="AI41" s="1404"/>
      <c r="AJ41" s="1404"/>
      <c r="AK41" s="1404"/>
      <c r="AL41" s="1404"/>
      <c r="AM41" s="1404"/>
    </row>
    <row r="42" spans="1:40" s="1403" customFormat="1">
      <c r="A42" s="1404"/>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4"/>
      <c r="AE42" s="1404"/>
      <c r="AF42" s="1404"/>
      <c r="AG42" s="1404"/>
      <c r="AH42" s="1404"/>
      <c r="AI42" s="1404"/>
      <c r="AJ42" s="1404"/>
      <c r="AK42" s="1404"/>
      <c r="AL42" s="1404"/>
      <c r="AM42" s="1404"/>
    </row>
    <row r="43" spans="1:40" s="1403" customFormat="1">
      <c r="A43" s="1404"/>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4"/>
      <c r="AE43" s="1404"/>
      <c r="AF43" s="1404"/>
      <c r="AG43" s="1404"/>
      <c r="AH43" s="1404"/>
      <c r="AI43" s="1404"/>
      <c r="AJ43" s="1404"/>
      <c r="AK43" s="1404"/>
      <c r="AL43" s="1404"/>
      <c r="AM43" s="1404"/>
    </row>
    <row r="44" spans="1:40" s="1403" customFormat="1" ht="15" thickBot="1">
      <c r="A44" s="2419" t="s">
        <v>1007</v>
      </c>
      <c r="B44" s="2420"/>
      <c r="C44" s="2421"/>
      <c r="D44" s="2422"/>
      <c r="E44" s="2422"/>
      <c r="F44" s="2423"/>
      <c r="G44" s="1066"/>
      <c r="H44" s="2423"/>
      <c r="I44" s="1066"/>
      <c r="J44" s="1066"/>
      <c r="K44" s="1066"/>
      <c r="L44" s="1066"/>
      <c r="M44" s="1066"/>
      <c r="O44" s="2196"/>
      <c r="P44" s="2196"/>
      <c r="Q44" s="2196"/>
      <c r="R44" s="2197"/>
      <c r="S44" s="2197"/>
      <c r="T44" s="2197"/>
      <c r="U44" s="2197"/>
      <c r="V44" s="2197"/>
      <c r="W44" s="2196"/>
      <c r="X44" s="2196"/>
      <c r="Y44" s="2196"/>
      <c r="Z44" s="2196"/>
      <c r="AA44" s="2196"/>
      <c r="AB44" s="2196"/>
      <c r="AC44" s="2197"/>
      <c r="AD44" s="1404"/>
      <c r="AE44" s="1404"/>
      <c r="AF44" s="1404"/>
      <c r="AG44" s="1404"/>
      <c r="AH44" s="1404"/>
      <c r="AI44" s="1404"/>
      <c r="AJ44" s="1404"/>
      <c r="AK44" s="1404"/>
      <c r="AL44" s="1404"/>
      <c r="AM44" s="1404"/>
    </row>
    <row r="45" spans="1:40" s="1403" customFormat="1" ht="15">
      <c r="A45" s="2424" t="s">
        <v>1008</v>
      </c>
      <c r="B45" s="2425">
        <f>1+E47</f>
        <v>1</v>
      </c>
      <c r="C45" s="2426"/>
      <c r="D45" s="2427"/>
      <c r="E45" s="2428"/>
      <c r="F45" s="2429"/>
      <c r="G45" s="2423"/>
      <c r="H45" s="2423"/>
      <c r="I45" s="1066"/>
      <c r="J45" s="1066"/>
      <c r="K45" s="1066"/>
      <c r="L45" s="1066"/>
      <c r="M45" s="1066"/>
      <c r="O45" s="2196"/>
      <c r="P45" s="2196"/>
      <c r="Q45" s="2196"/>
      <c r="R45" s="2197"/>
      <c r="S45" s="2197"/>
      <c r="T45" s="2197"/>
      <c r="U45" s="2197"/>
      <c r="V45" s="2197"/>
      <c r="W45" s="2196"/>
      <c r="X45" s="2196"/>
      <c r="Y45" s="2196"/>
      <c r="Z45" s="2196"/>
      <c r="AA45" s="2196"/>
      <c r="AB45" s="2196"/>
      <c r="AC45" s="2197"/>
      <c r="AD45" s="1404"/>
      <c r="AE45" s="1404"/>
      <c r="AF45" s="1404"/>
      <c r="AG45" s="1404"/>
      <c r="AH45" s="1404"/>
      <c r="AI45" s="1404"/>
      <c r="AJ45" s="1404"/>
      <c r="AK45" s="1404"/>
      <c r="AL45" s="1404"/>
      <c r="AM45" s="1404"/>
    </row>
    <row r="46" spans="1:40" s="1403" customFormat="1" ht="24">
      <c r="A46" s="1067" t="s">
        <v>1009</v>
      </c>
      <c r="B46" s="2408" t="s">
        <v>1010</v>
      </c>
      <c r="C46" s="2430" t="s">
        <v>1011</v>
      </c>
      <c r="D46" s="2431" t="s">
        <v>1012</v>
      </c>
      <c r="E46" s="2432" t="s">
        <v>1014</v>
      </c>
      <c r="F46" s="2433" t="s">
        <v>2253</v>
      </c>
      <c r="G46" s="2431" t="s">
        <v>1015</v>
      </c>
      <c r="H46" s="2414" t="s">
        <v>2421</v>
      </c>
      <c r="I46" s="2431" t="s">
        <v>1013</v>
      </c>
      <c r="J46" s="2434" t="s">
        <v>1016</v>
      </c>
      <c r="K46" s="2434" t="s">
        <v>1017</v>
      </c>
      <c r="L46" s="2434" t="s">
        <v>1018</v>
      </c>
      <c r="M46" s="2434" t="s">
        <v>1019</v>
      </c>
      <c r="N46" s="2434" t="s">
        <v>1020</v>
      </c>
      <c r="P46" s="2196"/>
      <c r="Q46" s="2196"/>
      <c r="R46" s="2197"/>
      <c r="S46" s="2197"/>
      <c r="T46" s="2197"/>
      <c r="U46" s="2197"/>
      <c r="V46" s="2197"/>
      <c r="W46" s="2196"/>
      <c r="X46" s="2196"/>
      <c r="Y46" s="2196"/>
      <c r="Z46" s="2196"/>
      <c r="AA46" s="2196"/>
      <c r="AB46" s="2196"/>
      <c r="AC46" s="2196"/>
      <c r="AD46" s="2197"/>
      <c r="AE46" s="1404"/>
      <c r="AF46" s="1404"/>
      <c r="AG46" s="1404"/>
      <c r="AH46" s="1404"/>
      <c r="AI46" s="1404"/>
      <c r="AJ46" s="1404"/>
      <c r="AK46" s="1404"/>
      <c r="AL46" s="1404"/>
      <c r="AM46" s="1404"/>
      <c r="AN46" s="1404"/>
    </row>
    <row r="47" spans="1:40" s="1403" customFormat="1" ht="36">
      <c r="A47" s="1067" t="s">
        <v>1021</v>
      </c>
      <c r="B47" s="2411" t="str">
        <f>估价对象房地状况!C16</f>
        <v>估价对象位于XX商圈，周边商业氛围成熟，人流量大，商业繁华度好</v>
      </c>
      <c r="C47" s="1050"/>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4"/>
      <c r="AF47" s="1404"/>
      <c r="AG47" s="1404"/>
      <c r="AH47" s="1404"/>
      <c r="AI47" s="1404"/>
      <c r="AJ47" s="1404"/>
      <c r="AK47" s="1404"/>
      <c r="AL47" s="1404"/>
      <c r="AM47" s="1404"/>
      <c r="AN47" s="1404"/>
    </row>
    <row r="48" spans="1:40" s="1403" customFormat="1" ht="48">
      <c r="A48" s="1067" t="s">
        <v>1022</v>
      </c>
      <c r="B48" s="2408" t="str">
        <f>估价对象房地状况!C18</f>
        <v>估价对象周边道路状况、公共交通通达情况、停车便捷程度，综合评价交通便捷度较好</v>
      </c>
      <c r="C48" s="1050"/>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4"/>
      <c r="AF48" s="1404"/>
      <c r="AG48" s="1404"/>
      <c r="AH48" s="1404"/>
      <c r="AI48" s="1404"/>
      <c r="AJ48" s="1404"/>
      <c r="AK48" s="1404"/>
      <c r="AL48" s="1404"/>
      <c r="AM48" s="1404"/>
      <c r="AN48" s="1404"/>
    </row>
    <row r="49" spans="1:40" s="1403" customFormat="1" ht="24">
      <c r="A49" s="1067" t="s">
        <v>1023</v>
      </c>
      <c r="B49" s="2408">
        <f>估价对象房地状况!C19</f>
        <v>0</v>
      </c>
      <c r="C49" s="1050"/>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4"/>
      <c r="AF49" s="1404"/>
      <c r="AG49" s="1404"/>
      <c r="AH49" s="1404"/>
      <c r="AI49" s="1404"/>
      <c r="AJ49" s="1404"/>
      <c r="AK49" s="1404"/>
      <c r="AL49" s="1404"/>
      <c r="AM49" s="1404"/>
      <c r="AN49" s="1404"/>
    </row>
    <row r="50" spans="1:40" s="1403" customFormat="1" ht="36">
      <c r="A50" s="1067" t="s">
        <v>1024</v>
      </c>
      <c r="B50" s="3096" t="s">
        <v>2940</v>
      </c>
      <c r="C50" s="1050"/>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4"/>
      <c r="AF50" s="1404"/>
      <c r="AG50" s="1404"/>
      <c r="AH50" s="1404"/>
      <c r="AI50" s="1404"/>
      <c r="AJ50" s="1404"/>
      <c r="AK50" s="1404"/>
      <c r="AL50" s="1404"/>
      <c r="AM50" s="1404"/>
      <c r="AN50" s="1404"/>
    </row>
    <row r="51" spans="1:40" s="1403" customFormat="1" ht="24">
      <c r="A51" s="1067" t="s">
        <v>1025</v>
      </c>
      <c r="B51" s="2408">
        <f>估价对象房地状况!C24</f>
        <v>0</v>
      </c>
      <c r="C51" s="1050"/>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4"/>
      <c r="AF51" s="1404"/>
      <c r="AG51" s="1404"/>
      <c r="AH51" s="1404"/>
      <c r="AI51" s="1404"/>
      <c r="AJ51" s="1404"/>
      <c r="AK51" s="1404"/>
      <c r="AL51" s="1404"/>
      <c r="AM51" s="1404"/>
      <c r="AN51" s="1404"/>
    </row>
    <row r="52" spans="1:40" s="1403" customFormat="1" ht="24">
      <c r="A52" s="1067" t="s">
        <v>1026</v>
      </c>
      <c r="B52" s="3095" t="s">
        <v>2939</v>
      </c>
      <c r="C52" s="1050"/>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4"/>
      <c r="AF52" s="1404"/>
      <c r="AG52" s="1404"/>
      <c r="AH52" s="1404"/>
      <c r="AI52" s="1404"/>
      <c r="AJ52" s="1404"/>
      <c r="AK52" s="1404"/>
      <c r="AL52" s="1404"/>
      <c r="AM52" s="1404"/>
      <c r="AN52" s="1404"/>
    </row>
    <row r="53" spans="1:40" s="1403" customFormat="1" ht="24">
      <c r="A53" s="2440" t="s">
        <v>1027</v>
      </c>
      <c r="B53" s="2409" t="str">
        <f>估价对象房地状况!C21</f>
        <v>估价对象所在区域公共配套设施齐备情况</v>
      </c>
      <c r="C53" s="1050"/>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4"/>
      <c r="AF53" s="1404"/>
      <c r="AG53" s="1404"/>
      <c r="AH53" s="1404"/>
      <c r="AI53" s="1404"/>
      <c r="AJ53" s="1404"/>
      <c r="AK53" s="1404"/>
      <c r="AL53" s="1404"/>
      <c r="AM53" s="1404"/>
      <c r="AN53" s="1404"/>
    </row>
    <row r="54" spans="1:40" s="1403" customFormat="1" ht="24">
      <c r="A54" s="2440" t="s">
        <v>1028</v>
      </c>
      <c r="B54" s="2408" t="str">
        <f>估价对象房地状况!C22</f>
        <v>估价对象所在区域基础设施水平</v>
      </c>
      <c r="C54" s="1050"/>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4"/>
      <c r="AF54" s="1404"/>
      <c r="AG54" s="1404"/>
      <c r="AH54" s="1404"/>
      <c r="AI54" s="1404"/>
      <c r="AJ54" s="1404"/>
      <c r="AK54" s="1404"/>
      <c r="AL54" s="1404"/>
      <c r="AM54" s="1404"/>
      <c r="AN54" s="1404"/>
    </row>
    <row r="55" spans="1:40" s="1403" customFormat="1" ht="36.75" thickBot="1">
      <c r="A55" s="2441" t="s">
        <v>1029</v>
      </c>
      <c r="B55" s="2412" t="str">
        <f>估价对象房地状况!C20</f>
        <v>区域自然环境：；人文环境；综合评价环境状况一般</v>
      </c>
      <c r="C55" s="1050"/>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4"/>
      <c r="AF55" s="1404"/>
      <c r="AG55" s="1404"/>
      <c r="AH55" s="1404"/>
      <c r="AI55" s="1404"/>
      <c r="AJ55" s="1404"/>
      <c r="AK55" s="1404"/>
      <c r="AL55" s="1404"/>
      <c r="AM55" s="1404"/>
      <c r="AN55" s="1404"/>
    </row>
    <row r="56" spans="1:40" s="1403" customFormat="1" ht="15">
      <c r="A56" s="2424" t="s">
        <v>1030</v>
      </c>
      <c r="B56" s="2425">
        <f>1+E58</f>
        <v>1</v>
      </c>
      <c r="C56" s="2444"/>
      <c r="D56" s="2427"/>
      <c r="E56" s="2428"/>
      <c r="F56" s="2429"/>
      <c r="G56" s="2423"/>
      <c r="H56" s="2423"/>
      <c r="I56" s="2423"/>
      <c r="J56" s="1066"/>
      <c r="K56" s="1066"/>
      <c r="L56" s="1066"/>
      <c r="M56" s="1066"/>
      <c r="N56" s="1066"/>
      <c r="P56" s="2196"/>
      <c r="Q56" s="2196"/>
      <c r="R56" s="2197"/>
      <c r="S56" s="2197"/>
      <c r="T56" s="2197"/>
      <c r="U56" s="2197"/>
      <c r="V56" s="2197"/>
      <c r="W56" s="2196"/>
      <c r="X56" s="2196"/>
      <c r="Y56" s="2196"/>
      <c r="Z56" s="2196"/>
      <c r="AA56" s="2196"/>
      <c r="AB56" s="2196"/>
      <c r="AC56" s="2196"/>
      <c r="AD56" s="2197"/>
      <c r="AE56" s="1404"/>
      <c r="AF56" s="1404"/>
      <c r="AG56" s="1404"/>
      <c r="AH56" s="1404"/>
      <c r="AI56" s="1404"/>
      <c r="AJ56" s="1404"/>
      <c r="AK56" s="1404"/>
      <c r="AL56" s="1404"/>
      <c r="AM56" s="1404"/>
      <c r="AN56" s="1404"/>
    </row>
    <row r="57" spans="1:40" s="1403" customFormat="1" ht="24">
      <c r="A57" s="1067" t="s">
        <v>1009</v>
      </c>
      <c r="B57" s="2408"/>
      <c r="C57" s="2430" t="s">
        <v>1011</v>
      </c>
      <c r="D57" s="2431" t="s">
        <v>1012</v>
      </c>
      <c r="E57" s="2432" t="s">
        <v>1014</v>
      </c>
      <c r="F57" s="2433" t="s">
        <v>2254</v>
      </c>
      <c r="G57" s="2431" t="s">
        <v>1015</v>
      </c>
      <c r="H57" s="2414" t="s">
        <v>2421</v>
      </c>
      <c r="I57" s="2431" t="s">
        <v>1013</v>
      </c>
      <c r="J57" s="2434" t="s">
        <v>1016</v>
      </c>
      <c r="K57" s="2434" t="s">
        <v>1017</v>
      </c>
      <c r="L57" s="2434" t="s">
        <v>1018</v>
      </c>
      <c r="M57" s="2434" t="s">
        <v>1019</v>
      </c>
      <c r="N57" s="2434" t="s">
        <v>1020</v>
      </c>
      <c r="P57" s="2196"/>
      <c r="Q57" s="2196"/>
      <c r="R57" s="2197"/>
      <c r="S57" s="2197"/>
      <c r="T57" s="2197"/>
      <c r="U57" s="2197"/>
      <c r="V57" s="2197"/>
      <c r="W57" s="2196"/>
      <c r="X57" s="2196"/>
      <c r="Y57" s="2196"/>
      <c r="Z57" s="2196"/>
      <c r="AA57" s="2196"/>
      <c r="AB57" s="2196"/>
      <c r="AC57" s="2196"/>
      <c r="AD57" s="2197"/>
      <c r="AE57" s="1404"/>
      <c r="AF57" s="1404"/>
      <c r="AG57" s="1404"/>
      <c r="AH57" s="1404"/>
      <c r="AI57" s="1404"/>
      <c r="AJ57" s="1404"/>
      <c r="AK57" s="1404"/>
      <c r="AL57" s="1404"/>
      <c r="AM57" s="1404"/>
      <c r="AN57" s="1404"/>
    </row>
    <row r="58" spans="1:40" s="1403" customFormat="1" ht="36">
      <c r="A58" s="1067" t="s">
        <v>1031</v>
      </c>
      <c r="B58" s="2411" t="str">
        <f>估价对象房地状况!C17</f>
        <v>估价对象位于XX商圈，周边办公楼项目较多，入驻率高，办公集聚程度较好</v>
      </c>
      <c r="C58" s="1050"/>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4"/>
      <c r="AF58" s="1404"/>
      <c r="AG58" s="1404"/>
      <c r="AH58" s="1404"/>
      <c r="AI58" s="1404"/>
      <c r="AJ58" s="1404"/>
      <c r="AK58" s="1404"/>
      <c r="AL58" s="1404"/>
      <c r="AM58" s="1404"/>
      <c r="AN58" s="1404"/>
    </row>
    <row r="59" spans="1:40" s="1403" customFormat="1" ht="48">
      <c r="A59" s="1067" t="s">
        <v>1022</v>
      </c>
      <c r="B59" s="2408" t="str">
        <f>估价对象房地状况!C18</f>
        <v>估价对象周边道路状况、公共交通通达情况、停车便捷程度，综合评价交通便捷度较好</v>
      </c>
      <c r="C59" s="1050"/>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4"/>
      <c r="AF59" s="1404"/>
      <c r="AG59" s="1404"/>
      <c r="AH59" s="1404"/>
      <c r="AI59" s="1404"/>
      <c r="AJ59" s="1404"/>
      <c r="AK59" s="1404"/>
      <c r="AL59" s="1404"/>
      <c r="AM59" s="1404"/>
      <c r="AN59" s="1404"/>
    </row>
    <row r="60" spans="1:40" s="1403" customFormat="1" ht="24">
      <c r="A60" s="1067" t="s">
        <v>1023</v>
      </c>
      <c r="B60" s="2408">
        <f>估价对象房地状况!C19</f>
        <v>0</v>
      </c>
      <c r="C60" s="1050"/>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4"/>
      <c r="AF60" s="1404"/>
      <c r="AG60" s="1404"/>
      <c r="AH60" s="1404"/>
      <c r="AI60" s="1404"/>
      <c r="AJ60" s="1404"/>
      <c r="AK60" s="1404"/>
      <c r="AL60" s="1404"/>
      <c r="AM60" s="1404"/>
      <c r="AN60" s="1404"/>
    </row>
    <row r="61" spans="1:40" s="1403" customFormat="1" ht="36">
      <c r="A61" s="1067" t="s">
        <v>1024</v>
      </c>
      <c r="B61" s="3096" t="s">
        <v>2941</v>
      </c>
      <c r="C61" s="1050"/>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4"/>
      <c r="AF61" s="1404"/>
      <c r="AG61" s="1404"/>
      <c r="AH61" s="1404"/>
      <c r="AI61" s="1404"/>
      <c r="AJ61" s="1404"/>
      <c r="AK61" s="1404"/>
      <c r="AL61" s="1404"/>
      <c r="AM61" s="1404"/>
      <c r="AN61" s="1404"/>
    </row>
    <row r="62" spans="1:40" s="1403" customFormat="1" ht="24">
      <c r="A62" s="1067" t="s">
        <v>1025</v>
      </c>
      <c r="B62" s="2408">
        <f>估价对象房地状况!C24</f>
        <v>0</v>
      </c>
      <c r="C62" s="1050"/>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4"/>
      <c r="AF62" s="1404"/>
      <c r="AG62" s="1404"/>
      <c r="AH62" s="1404"/>
      <c r="AI62" s="1404"/>
      <c r="AJ62" s="1404"/>
      <c r="AK62" s="1404"/>
      <c r="AL62" s="1404"/>
      <c r="AM62" s="1404"/>
      <c r="AN62" s="1404"/>
    </row>
    <row r="63" spans="1:40" s="1403" customFormat="1" ht="24">
      <c r="A63" s="1067" t="s">
        <v>1026</v>
      </c>
      <c r="B63" s="3095" t="s">
        <v>2939</v>
      </c>
      <c r="C63" s="1050"/>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4"/>
      <c r="AF63" s="1404"/>
      <c r="AG63" s="1404"/>
      <c r="AH63" s="1404"/>
      <c r="AI63" s="1404"/>
      <c r="AJ63" s="1404"/>
      <c r="AK63" s="1404"/>
      <c r="AL63" s="1404"/>
      <c r="AM63" s="1404"/>
      <c r="AN63" s="1404"/>
    </row>
    <row r="64" spans="1:40" s="1403" customFormat="1" ht="24">
      <c r="A64" s="1067" t="s">
        <v>1027</v>
      </c>
      <c r="B64" s="2409" t="str">
        <f>估价对象房地状况!C21</f>
        <v>估价对象所在区域公共配套设施齐备情况</v>
      </c>
      <c r="C64" s="1050"/>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4"/>
      <c r="AF64" s="1404"/>
      <c r="AG64" s="1404"/>
      <c r="AH64" s="1404"/>
      <c r="AI64" s="1404"/>
      <c r="AJ64" s="1404"/>
      <c r="AK64" s="1404"/>
      <c r="AL64" s="1404"/>
      <c r="AM64" s="1404"/>
      <c r="AN64" s="1404"/>
    </row>
    <row r="65" spans="1:40" s="1403" customFormat="1" ht="24">
      <c r="A65" s="1067" t="s">
        <v>1028</v>
      </c>
      <c r="B65" s="2409" t="str">
        <f>估价对象房地状况!C22</f>
        <v>估价对象所在区域基础设施水平</v>
      </c>
      <c r="C65" s="1050"/>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4"/>
      <c r="AF65" s="1404"/>
      <c r="AG65" s="1404"/>
      <c r="AH65" s="1404"/>
      <c r="AI65" s="1404"/>
      <c r="AJ65" s="1404"/>
      <c r="AK65" s="1404"/>
      <c r="AL65" s="1404"/>
      <c r="AM65" s="1404"/>
      <c r="AN65" s="1404"/>
    </row>
    <row r="66" spans="1:40" s="1403" customFormat="1" ht="36.75" thickBot="1">
      <c r="A66" s="2441" t="s">
        <v>1029</v>
      </c>
      <c r="B66" s="2413" t="str">
        <f>估价对象房地状况!C20</f>
        <v>区域自然环境：；人文环境；综合评价环境状况一般</v>
      </c>
      <c r="C66" s="1050"/>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4"/>
      <c r="AF66" s="1404"/>
      <c r="AG66" s="1404"/>
      <c r="AH66" s="1404"/>
      <c r="AI66" s="1404"/>
      <c r="AJ66" s="1404"/>
      <c r="AK66" s="1404"/>
      <c r="AL66" s="1404"/>
      <c r="AM66" s="1404"/>
      <c r="AN66" s="1404"/>
    </row>
    <row r="67" spans="1:40" s="1403" customFormat="1" ht="15">
      <c r="A67" s="2424" t="s">
        <v>1032</v>
      </c>
      <c r="B67" s="2425">
        <f>1+E69</f>
        <v>1</v>
      </c>
      <c r="C67" s="2444"/>
      <c r="D67" s="2427"/>
      <c r="E67" s="2428"/>
      <c r="F67" s="2429"/>
      <c r="G67" s="2423"/>
      <c r="H67" s="2423"/>
      <c r="I67" s="2423"/>
      <c r="J67" s="1066"/>
      <c r="K67" s="1066"/>
      <c r="L67" s="1066"/>
      <c r="M67" s="1066"/>
      <c r="N67" s="1066"/>
      <c r="P67" s="2196"/>
      <c r="Q67" s="2196"/>
      <c r="R67" s="2197"/>
      <c r="S67" s="2197"/>
      <c r="T67" s="2197"/>
      <c r="U67" s="2197"/>
      <c r="V67" s="2197"/>
      <c r="W67" s="2196"/>
      <c r="X67" s="2196"/>
      <c r="Y67" s="2196"/>
      <c r="Z67" s="2196"/>
      <c r="AA67" s="2196"/>
      <c r="AB67" s="2196"/>
      <c r="AC67" s="2196"/>
      <c r="AD67" s="2197"/>
      <c r="AE67" s="1404"/>
      <c r="AF67" s="1404"/>
      <c r="AG67" s="1404"/>
      <c r="AH67" s="1404"/>
      <c r="AI67" s="1404"/>
      <c r="AJ67" s="1404"/>
      <c r="AK67" s="1404"/>
      <c r="AL67" s="1404"/>
      <c r="AM67" s="1404"/>
      <c r="AN67" s="1404"/>
    </row>
    <row r="68" spans="1:40" s="1403" customFormat="1" ht="24">
      <c r="A68" s="1067" t="s">
        <v>1009</v>
      </c>
      <c r="B68" s="2408"/>
      <c r="C68" s="2430" t="s">
        <v>1011</v>
      </c>
      <c r="D68" s="2431" t="s">
        <v>1012</v>
      </c>
      <c r="E68" s="2432" t="s">
        <v>1014</v>
      </c>
      <c r="F68" s="2433" t="s">
        <v>2255</v>
      </c>
      <c r="G68" s="2431" t="s">
        <v>1015</v>
      </c>
      <c r="H68" s="2414" t="s">
        <v>2421</v>
      </c>
      <c r="I68" s="2431" t="s">
        <v>1013</v>
      </c>
      <c r="J68" s="2434" t="s">
        <v>1016</v>
      </c>
      <c r="K68" s="2434" t="s">
        <v>1017</v>
      </c>
      <c r="L68" s="2434" t="s">
        <v>1018</v>
      </c>
      <c r="M68" s="2434" t="s">
        <v>1019</v>
      </c>
      <c r="N68" s="2434" t="s">
        <v>1020</v>
      </c>
      <c r="P68" s="2196"/>
      <c r="Q68" s="2196"/>
      <c r="R68" s="2197"/>
      <c r="S68" s="2197"/>
      <c r="T68" s="2197"/>
      <c r="U68" s="2197"/>
      <c r="V68" s="2197"/>
      <c r="W68" s="2196"/>
      <c r="X68" s="2196"/>
      <c r="Y68" s="2196"/>
      <c r="Z68" s="2196"/>
      <c r="AA68" s="2196"/>
      <c r="AB68" s="2196"/>
      <c r="AC68" s="2196"/>
      <c r="AD68" s="2197"/>
      <c r="AE68" s="1404"/>
      <c r="AF68" s="1404"/>
      <c r="AG68" s="1404"/>
      <c r="AH68" s="1404"/>
      <c r="AI68" s="1404"/>
      <c r="AJ68" s="1404"/>
      <c r="AK68" s="1404"/>
      <c r="AL68" s="1404"/>
      <c r="AM68" s="1404"/>
      <c r="AN68" s="1404"/>
    </row>
    <row r="69" spans="1:40" s="1403" customFormat="1" ht="48">
      <c r="A69" s="1067" t="s">
        <v>1033</v>
      </c>
      <c r="B69" s="2411" t="str">
        <f>估价对象房地状况!C15</f>
        <v>估价对象周边居住用地比例、居住小区规模和社区发展完善程度，综合评价居住社区成熟度一般</v>
      </c>
      <c r="C69" s="1159"/>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4"/>
      <c r="AF69" s="1404"/>
      <c r="AG69" s="1404"/>
      <c r="AH69" s="1404"/>
      <c r="AI69" s="1404"/>
      <c r="AJ69" s="1404"/>
      <c r="AK69" s="1404"/>
      <c r="AL69" s="1404"/>
      <c r="AM69" s="1404"/>
      <c r="AN69" s="1404"/>
    </row>
    <row r="70" spans="1:40" s="1403" customFormat="1" ht="48">
      <c r="A70" s="1067" t="s">
        <v>1034</v>
      </c>
      <c r="B70" s="2408" t="str">
        <f>估价对象房地状况!C18</f>
        <v>估价对象周边道路状况、公共交通通达情况、停车便捷程度，综合评价交通便捷度较好</v>
      </c>
      <c r="C70" s="1159"/>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4"/>
      <c r="AF70" s="1404"/>
      <c r="AG70" s="1404"/>
      <c r="AH70" s="1404"/>
      <c r="AI70" s="1404"/>
      <c r="AJ70" s="1404"/>
      <c r="AK70" s="1404"/>
      <c r="AL70" s="1404"/>
      <c r="AM70" s="1404"/>
      <c r="AN70" s="1404"/>
    </row>
    <row r="71" spans="1:40" s="1403" customFormat="1" ht="24">
      <c r="A71" s="1067" t="s">
        <v>1023</v>
      </c>
      <c r="B71" s="2408">
        <f>估价对象房地状况!C19</f>
        <v>0</v>
      </c>
      <c r="C71" s="1159"/>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4"/>
      <c r="AF71" s="1404"/>
      <c r="AG71" s="1404"/>
      <c r="AH71" s="1404"/>
      <c r="AI71" s="1404"/>
      <c r="AJ71" s="1404"/>
      <c r="AK71" s="1404"/>
      <c r="AL71" s="1404"/>
      <c r="AM71" s="1404"/>
      <c r="AN71" s="1404"/>
    </row>
    <row r="72" spans="1:40" s="1403" customFormat="1" ht="14.25">
      <c r="A72" s="1067" t="s">
        <v>1035</v>
      </c>
      <c r="B72" s="2408">
        <f>估价对象房地状况!C24</f>
        <v>0</v>
      </c>
      <c r="C72" s="1159"/>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4"/>
      <c r="AF72" s="1404"/>
      <c r="AG72" s="1404"/>
      <c r="AH72" s="1404"/>
      <c r="AI72" s="1404"/>
      <c r="AJ72" s="1404"/>
      <c r="AK72" s="1404"/>
      <c r="AL72" s="1404"/>
      <c r="AM72" s="1404"/>
      <c r="AN72" s="1404"/>
    </row>
    <row r="73" spans="1:40" s="1403" customFormat="1" ht="24">
      <c r="A73" s="1067" t="s">
        <v>1027</v>
      </c>
      <c r="B73" s="2409" t="str">
        <f>估价对象房地状况!C21</f>
        <v>估价对象所在区域公共配套设施齐备情况</v>
      </c>
      <c r="C73" s="1159"/>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4"/>
      <c r="AF73" s="1404"/>
      <c r="AG73" s="1404"/>
      <c r="AH73" s="1404"/>
      <c r="AI73" s="1404"/>
      <c r="AJ73" s="1404"/>
      <c r="AK73" s="1404"/>
      <c r="AL73" s="1404"/>
      <c r="AM73" s="1404"/>
      <c r="AN73" s="1404"/>
    </row>
    <row r="74" spans="1:40" s="1403" customFormat="1" ht="24">
      <c r="A74" s="1067" t="s">
        <v>1028</v>
      </c>
      <c r="B74" s="2409" t="str">
        <f>估价对象房地状况!C22</f>
        <v>估价对象所在区域基础设施水平</v>
      </c>
      <c r="C74" s="1159"/>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4"/>
      <c r="AF74" s="1404"/>
      <c r="AG74" s="1404"/>
      <c r="AH74" s="1404"/>
      <c r="AI74" s="1404"/>
      <c r="AJ74" s="1404"/>
      <c r="AK74" s="1404"/>
      <c r="AL74" s="1404"/>
      <c r="AM74" s="1404"/>
      <c r="AN74" s="1404"/>
    </row>
    <row r="75" spans="1:40" s="1403" customFormat="1" ht="24">
      <c r="A75" s="1067" t="s">
        <v>1026</v>
      </c>
      <c r="B75" s="3095" t="s">
        <v>2939</v>
      </c>
      <c r="C75" s="1159"/>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4"/>
      <c r="AF75" s="1404"/>
      <c r="AG75" s="1404"/>
      <c r="AH75" s="1404"/>
      <c r="AI75" s="1404"/>
      <c r="AJ75" s="1404"/>
      <c r="AK75" s="1404"/>
      <c r="AL75" s="1404"/>
      <c r="AM75" s="1404"/>
      <c r="AN75" s="1404"/>
    </row>
    <row r="76" spans="1:40" ht="36">
      <c r="A76" s="1067" t="s">
        <v>1029</v>
      </c>
      <c r="B76" s="2411" t="str">
        <f>估价对象房地状况!C20</f>
        <v>区域自然环境：；人文环境；综合评价环境状况一般</v>
      </c>
      <c r="C76" s="1159"/>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4"/>
      <c r="AN76" s="1405"/>
    </row>
    <row r="77" spans="1:40" ht="24.75" thickBot="1">
      <c r="A77" s="2441" t="s">
        <v>1036</v>
      </c>
      <c r="B77" s="1852"/>
      <c r="C77" s="1159"/>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6"/>
      <c r="AD77" s="1405"/>
      <c r="AJ77" s="1404"/>
      <c r="AN77" s="1405"/>
    </row>
    <row r="78" spans="1:40" ht="15">
      <c r="A78" s="2424" t="s">
        <v>1037</v>
      </c>
      <c r="B78" s="2425">
        <f>1+E80</f>
        <v>1</v>
      </c>
      <c r="C78" s="2444"/>
      <c r="D78" s="2427"/>
      <c r="E78" s="2428"/>
      <c r="F78" s="2429"/>
      <c r="G78" s="2423"/>
      <c r="H78" s="2423"/>
      <c r="I78" s="2423"/>
      <c r="J78" s="1066"/>
      <c r="K78" s="1066"/>
      <c r="L78" s="1066"/>
      <c r="M78" s="1066"/>
      <c r="N78" s="1066"/>
      <c r="AC78" s="1406"/>
      <c r="AD78" s="1405"/>
      <c r="AJ78" s="1404"/>
      <c r="AN78" s="1405"/>
    </row>
    <row r="79" spans="1:40" ht="24">
      <c r="A79" s="1067" t="s">
        <v>1009</v>
      </c>
      <c r="B79" s="2408"/>
      <c r="C79" s="2430" t="s">
        <v>1011</v>
      </c>
      <c r="D79" s="2431" t="s">
        <v>1012</v>
      </c>
      <c r="E79" s="2432" t="s">
        <v>1014</v>
      </c>
      <c r="F79" s="2433" t="s">
        <v>2256</v>
      </c>
      <c r="G79" s="2431" t="s">
        <v>1015</v>
      </c>
      <c r="H79" s="2414" t="s">
        <v>2421</v>
      </c>
      <c r="I79" s="2431" t="s">
        <v>1013</v>
      </c>
      <c r="J79" s="2434" t="s">
        <v>1016</v>
      </c>
      <c r="K79" s="2434" t="s">
        <v>1017</v>
      </c>
      <c r="L79" s="2434" t="s">
        <v>1018</v>
      </c>
      <c r="M79" s="2434" t="s">
        <v>1019</v>
      </c>
      <c r="N79" s="2434" t="s">
        <v>1020</v>
      </c>
      <c r="AC79" s="1406"/>
      <c r="AD79" s="1405"/>
      <c r="AJ79" s="1404"/>
      <c r="AN79" s="1405"/>
    </row>
    <row r="80" spans="1:40" ht="36">
      <c r="A80" s="1067" t="s">
        <v>1038</v>
      </c>
      <c r="B80" s="2408" t="str">
        <f>估价对象房地状况!G15</f>
        <v>估价对象位于XX开发区，园区建设成熟度XX，产业集聚程度XX</v>
      </c>
      <c r="C80" s="1050"/>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6"/>
      <c r="AD80" s="1405"/>
      <c r="AJ80" s="1404"/>
      <c r="AN80" s="1405"/>
    </row>
    <row r="81" spans="1:40" ht="48">
      <c r="A81" s="1067" t="s">
        <v>1034</v>
      </c>
      <c r="B81" s="2408" t="str">
        <f>估价对象房地状况!G16</f>
        <v>估价对象周边道路状况、公共交通通达情况、停车便捷程度，综合评价交通便捷度较好</v>
      </c>
      <c r="C81" s="1050"/>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6"/>
      <c r="AD81" s="1405"/>
      <c r="AJ81" s="1404"/>
      <c r="AN81" s="1405"/>
    </row>
    <row r="82" spans="1:40" ht="24">
      <c r="A82" s="1067" t="s">
        <v>1023</v>
      </c>
      <c r="B82" s="2408">
        <f>估价对象房地状况!G17</f>
        <v>0</v>
      </c>
      <c r="C82" s="1050"/>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6"/>
      <c r="AD82" s="1405"/>
      <c r="AJ82" s="1404"/>
      <c r="AN82" s="1405"/>
    </row>
    <row r="83" spans="1:40" ht="14.25">
      <c r="A83" s="1067" t="s">
        <v>1035</v>
      </c>
      <c r="B83" s="2408">
        <f>估价对象房地状况!G22</f>
        <v>0</v>
      </c>
      <c r="C83" s="1050"/>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6"/>
      <c r="AD83" s="1405"/>
      <c r="AJ83" s="1404"/>
      <c r="AN83" s="1405"/>
    </row>
    <row r="84" spans="1:40" ht="24">
      <c r="A84" s="1067" t="s">
        <v>1027</v>
      </c>
      <c r="B84" s="2409" t="str">
        <f>估价对象房地状况!G19</f>
        <v>估价对象所在区域公共配套设施齐备情况</v>
      </c>
      <c r="C84" s="1050"/>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6"/>
      <c r="AD84" s="1405"/>
      <c r="AJ84" s="1404"/>
      <c r="AN84" s="1405"/>
    </row>
    <row r="85" spans="1:40" ht="24">
      <c r="A85" s="1067" t="s">
        <v>1028</v>
      </c>
      <c r="B85" s="2409" t="str">
        <f>估价对象房地状况!G20</f>
        <v>估价对象所在区域基础设施水平</v>
      </c>
      <c r="C85" s="1050"/>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6"/>
      <c r="AD85" s="1405"/>
      <c r="AJ85" s="1404"/>
      <c r="AN85" s="1405"/>
    </row>
    <row r="86" spans="1:40" ht="24">
      <c r="A86" s="1067" t="s">
        <v>1026</v>
      </c>
      <c r="B86" s="3095" t="s">
        <v>2939</v>
      </c>
      <c r="C86" s="1050"/>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6"/>
      <c r="AD86" s="1405"/>
      <c r="AJ86" s="1404"/>
      <c r="AN86" s="1405"/>
    </row>
    <row r="87" spans="1:40" ht="36.75" thickBot="1">
      <c r="A87" s="2441" t="s">
        <v>1039</v>
      </c>
      <c r="B87" s="2410" t="str">
        <f>估价对象房地状况!G18</f>
        <v>该园区内是否有污染型企业，绿化情况，卫生条件，整体环境状况判断</v>
      </c>
      <c r="C87" s="1050"/>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6"/>
      <c r="AD87" s="1405"/>
      <c r="AJ87" s="1404"/>
      <c r="AN87" s="1405"/>
    </row>
    <row r="90" spans="1:40">
      <c r="A90" s="3428" t="s">
        <v>1634</v>
      </c>
      <c r="B90" s="3428"/>
      <c r="C90" s="3428"/>
      <c r="D90" s="3428"/>
      <c r="E90" s="3428"/>
      <c r="F90" s="3428"/>
      <c r="G90" s="3428"/>
      <c r="H90" s="3428"/>
      <c r="I90" s="3428"/>
      <c r="J90" s="3428"/>
      <c r="K90" s="2450"/>
      <c r="L90" s="2450"/>
      <c r="M90" s="2450"/>
      <c r="N90" s="2450"/>
    </row>
    <row r="91" spans="1:40">
      <c r="A91" s="3429" t="s">
        <v>1444</v>
      </c>
      <c r="B91" s="3429" t="s">
        <v>1635</v>
      </c>
      <c r="C91" s="1140" t="s">
        <v>1636</v>
      </c>
      <c r="D91" s="1141"/>
      <c r="E91" s="1141"/>
      <c r="F91" s="1141"/>
      <c r="G91" s="1141"/>
      <c r="H91" s="1141"/>
      <c r="I91" s="1141"/>
      <c r="J91" s="1142"/>
      <c r="K91" s="1134"/>
      <c r="L91" s="1134"/>
      <c r="M91" s="1134"/>
      <c r="N91" s="1134"/>
    </row>
    <row r="92" spans="1:40">
      <c r="A92" s="3429"/>
      <c r="B92" s="3429"/>
      <c r="C92" s="2449" t="s">
        <v>907</v>
      </c>
      <c r="D92" s="2449" t="s">
        <v>885</v>
      </c>
      <c r="E92" s="2449" t="s">
        <v>886</v>
      </c>
      <c r="F92" s="2449" t="s">
        <v>910</v>
      </c>
      <c r="G92" s="2449" t="s">
        <v>888</v>
      </c>
      <c r="H92" s="2449" t="s">
        <v>889</v>
      </c>
      <c r="I92" s="2449" t="s">
        <v>890</v>
      </c>
      <c r="J92" s="2449" t="s">
        <v>891</v>
      </c>
      <c r="K92" s="2449" t="s">
        <v>915</v>
      </c>
      <c r="L92" s="2449" t="s">
        <v>893</v>
      </c>
      <c r="M92" s="2449" t="s">
        <v>894</v>
      </c>
      <c r="N92" s="2449" t="s">
        <v>918</v>
      </c>
    </row>
    <row r="93" spans="1:40">
      <c r="A93" s="3418" t="s">
        <v>2767</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8" t="s">
        <v>1638</v>
      </c>
      <c r="B101" s="1147" t="s">
        <v>906</v>
      </c>
      <c r="C101" s="1148">
        <f>$G$3</f>
        <v>3</v>
      </c>
      <c r="D101" s="1148">
        <f t="shared" ref="D101:N101" si="31">$G$3</f>
        <v>3</v>
      </c>
      <c r="E101" s="1148">
        <f t="shared" si="31"/>
        <v>3</v>
      </c>
      <c r="F101" s="1148">
        <f t="shared" si="31"/>
        <v>3</v>
      </c>
      <c r="G101" s="1148">
        <f t="shared" si="31"/>
        <v>3</v>
      </c>
      <c r="H101" s="1148">
        <f t="shared" si="31"/>
        <v>3</v>
      </c>
      <c r="I101" s="1148">
        <f t="shared" si="31"/>
        <v>3</v>
      </c>
      <c r="J101" s="1148">
        <f t="shared" si="31"/>
        <v>3</v>
      </c>
      <c r="K101" s="1148">
        <f t="shared" si="31"/>
        <v>3</v>
      </c>
      <c r="L101" s="1148">
        <f t="shared" si="31"/>
        <v>3</v>
      </c>
      <c r="M101" s="1148">
        <f t="shared" si="31"/>
        <v>3</v>
      </c>
      <c r="N101" s="1148">
        <f t="shared" si="31"/>
        <v>3</v>
      </c>
    </row>
    <row r="102" spans="1:14">
      <c r="A102" s="3419"/>
      <c r="B102" s="1143">
        <v>1</v>
      </c>
      <c r="C102" s="1144">
        <f>1.9362/C101</f>
        <v>0.64539999999999997</v>
      </c>
      <c r="D102" s="1144">
        <f>1.9362/D101</f>
        <v>0.64539999999999997</v>
      </c>
      <c r="E102" s="1144">
        <f>1.8629/E101</f>
        <v>0.62096666666666667</v>
      </c>
      <c r="F102" s="1144">
        <f>1.8629/F101</f>
        <v>0.62096666666666667</v>
      </c>
      <c r="G102" s="1144">
        <f>1.8629/G101</f>
        <v>0.62096666666666667</v>
      </c>
      <c r="H102" s="1144">
        <f>1.8629/H101</f>
        <v>0.62096666666666667</v>
      </c>
      <c r="I102" s="1144">
        <f>1.8629/I101</f>
        <v>0.62096666666666667</v>
      </c>
      <c r="J102" s="1144">
        <f>1.942/J101</f>
        <v>0.64733333333333332</v>
      </c>
      <c r="K102" s="1144">
        <f>1.942/K101</f>
        <v>0.64733333333333332</v>
      </c>
      <c r="L102" s="1144">
        <f>1.942/L101</f>
        <v>0.64733333333333332</v>
      </c>
      <c r="M102" s="1144">
        <f>1.942/M101</f>
        <v>0.64733333333333332</v>
      </c>
      <c r="N102" s="1144">
        <f>1.942/N101</f>
        <v>0.64733333333333332</v>
      </c>
    </row>
    <row r="103" spans="1:14">
      <c r="A103" s="3419"/>
      <c r="B103" s="1143">
        <v>2</v>
      </c>
      <c r="C103" s="1144">
        <f>1.4198/C101</f>
        <v>0.47326666666666667</v>
      </c>
      <c r="D103" s="1144">
        <f>1.4198/D101</f>
        <v>0.47326666666666667</v>
      </c>
      <c r="E103" s="1144">
        <f>1.3372/E101</f>
        <v>0.44573333333333331</v>
      </c>
      <c r="F103" s="1144">
        <f>1.3372/F101</f>
        <v>0.44573333333333331</v>
      </c>
      <c r="G103" s="1144">
        <f>1.3372/G101</f>
        <v>0.44573333333333331</v>
      </c>
      <c r="H103" s="1144">
        <f>1.3372/H101</f>
        <v>0.44573333333333331</v>
      </c>
      <c r="I103" s="1144">
        <f>1.3372/I101</f>
        <v>0.44573333333333331</v>
      </c>
      <c r="J103" s="1144">
        <f>1.2799/J101</f>
        <v>0.42663333333333336</v>
      </c>
      <c r="K103" s="1144">
        <f>1.2799/K101</f>
        <v>0.42663333333333336</v>
      </c>
      <c r="L103" s="1144">
        <f>1.2799/L101</f>
        <v>0.42663333333333336</v>
      </c>
      <c r="M103" s="1144">
        <f>1.2799/M101</f>
        <v>0.42663333333333336</v>
      </c>
      <c r="N103" s="1144">
        <f>1.2799/N101</f>
        <v>0.42663333333333336</v>
      </c>
    </row>
    <row r="104" spans="1:14">
      <c r="A104" s="3419"/>
      <c r="B104" s="1143">
        <v>3</v>
      </c>
      <c r="C104" s="1144">
        <f>1.1594/C101</f>
        <v>0.38646666666666668</v>
      </c>
      <c r="D104" s="1144">
        <f>1.1594/D101</f>
        <v>0.38646666666666668</v>
      </c>
      <c r="E104" s="1144">
        <f>1.0788/E101</f>
        <v>0.35959999999999998</v>
      </c>
      <c r="F104" s="1144">
        <f>1.0788/F101</f>
        <v>0.35959999999999998</v>
      </c>
      <c r="G104" s="1144">
        <f>1.0788/G101</f>
        <v>0.35959999999999998</v>
      </c>
      <c r="H104" s="1144">
        <f>1.0788/H101</f>
        <v>0.35959999999999998</v>
      </c>
      <c r="I104" s="1144">
        <f>1.0788/I101</f>
        <v>0.35959999999999998</v>
      </c>
      <c r="J104" s="1144">
        <f>1.0072/J101</f>
        <v>0.33573333333333338</v>
      </c>
      <c r="K104" s="1144">
        <f>1.0072/K101</f>
        <v>0.33573333333333338</v>
      </c>
      <c r="L104" s="1144">
        <f>1.0072/L101</f>
        <v>0.33573333333333338</v>
      </c>
      <c r="M104" s="1144">
        <f>1.0072/M101</f>
        <v>0.33573333333333338</v>
      </c>
      <c r="N104" s="1144">
        <f>1.0072/N101</f>
        <v>0.33573333333333338</v>
      </c>
    </row>
    <row r="105" spans="1:14">
      <c r="A105" s="3419"/>
      <c r="B105" s="1143">
        <v>4</v>
      </c>
      <c r="C105" s="1144">
        <f>0.9622/C101</f>
        <v>0.32073333333333337</v>
      </c>
      <c r="D105" s="1144">
        <f>0.9622/D101</f>
        <v>0.32073333333333337</v>
      </c>
      <c r="E105" s="1144">
        <f>0.8656/E101</f>
        <v>0.28853333333333336</v>
      </c>
      <c r="F105" s="1144">
        <f>0.8656/F101</f>
        <v>0.28853333333333336</v>
      </c>
      <c r="G105" s="1144">
        <f>0.8656/G101</f>
        <v>0.28853333333333336</v>
      </c>
      <c r="H105" s="1144">
        <f>0.8656/H101</f>
        <v>0.28853333333333336</v>
      </c>
      <c r="I105" s="1144">
        <f>0.8656/I101</f>
        <v>0.28853333333333336</v>
      </c>
      <c r="J105" s="1144">
        <f>0.7525/J101</f>
        <v>0.2508333333333333</v>
      </c>
      <c r="K105" s="1144">
        <f>0.7525/K101</f>
        <v>0.2508333333333333</v>
      </c>
      <c r="L105" s="1144">
        <f>0.7525/L101</f>
        <v>0.2508333333333333</v>
      </c>
      <c r="M105" s="1144">
        <f>0.7525/M101</f>
        <v>0.2508333333333333</v>
      </c>
      <c r="N105" s="1144">
        <f>0.7525/N101</f>
        <v>0.2508333333333333</v>
      </c>
    </row>
    <row r="106" spans="1:14">
      <c r="A106" s="3419"/>
      <c r="B106" s="1143">
        <v>5</v>
      </c>
      <c r="C106" s="1144">
        <f>0.8417/C101</f>
        <v>0.28056666666666669</v>
      </c>
      <c r="D106" s="1144">
        <f>0.8417/D101</f>
        <v>0.28056666666666669</v>
      </c>
      <c r="E106" s="1144">
        <f>0.7371/E101</f>
        <v>0.2457</v>
      </c>
      <c r="F106" s="1144">
        <f>0.7371/F101</f>
        <v>0.2457</v>
      </c>
      <c r="G106" s="1144">
        <f>0.7371/G101</f>
        <v>0.2457</v>
      </c>
      <c r="H106" s="1144">
        <f>0.7371/H101</f>
        <v>0.2457</v>
      </c>
      <c r="I106" s="1144">
        <f>0.7371/I101</f>
        <v>0.2457</v>
      </c>
      <c r="J106" s="1144">
        <f>0.5659/J101</f>
        <v>0.18863333333333332</v>
      </c>
      <c r="K106" s="1144">
        <f>0.5659/K101</f>
        <v>0.18863333333333332</v>
      </c>
      <c r="L106" s="1144">
        <f>0.5659/L101</f>
        <v>0.18863333333333332</v>
      </c>
      <c r="M106" s="1144">
        <f>0.5659/M101</f>
        <v>0.18863333333333332</v>
      </c>
      <c r="N106" s="1144">
        <f>0.5659/N101</f>
        <v>0.18863333333333332</v>
      </c>
    </row>
    <row r="107" spans="1:14">
      <c r="A107" s="3419"/>
      <c r="B107" s="1143">
        <v>6</v>
      </c>
      <c r="C107" s="1144">
        <f>0.7608/C101</f>
        <v>0.25359999999999999</v>
      </c>
      <c r="D107" s="1144">
        <f>0.7608/D101</f>
        <v>0.25359999999999999</v>
      </c>
      <c r="E107" s="1144">
        <f>0.6482/E101</f>
        <v>0.21606666666666666</v>
      </c>
      <c r="F107" s="1144">
        <f>0.6482/F101</f>
        <v>0.21606666666666666</v>
      </c>
      <c r="G107" s="1144">
        <f>0.6482/G101</f>
        <v>0.21606666666666666</v>
      </c>
      <c r="H107" s="1144">
        <f>0.6482/H101</f>
        <v>0.21606666666666666</v>
      </c>
      <c r="I107" s="1144">
        <f>0.6482/I101</f>
        <v>0.21606666666666666</v>
      </c>
      <c r="J107" s="1144">
        <f>0.4525/J101</f>
        <v>0.15083333333333335</v>
      </c>
      <c r="K107" s="1144">
        <f>0.4525/K101</f>
        <v>0.15083333333333335</v>
      </c>
      <c r="L107" s="1144">
        <f>0.4525/L101</f>
        <v>0.15083333333333335</v>
      </c>
      <c r="M107" s="1144">
        <f>0.4525/M101</f>
        <v>0.15083333333333335</v>
      </c>
      <c r="N107" s="1144">
        <f>0.4525/N101</f>
        <v>0.15083333333333335</v>
      </c>
    </row>
    <row r="108" spans="1:14">
      <c r="A108" s="3419"/>
      <c r="B108" s="342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0"/>
      <c r="B109" s="3422"/>
      <c r="C109" s="1146">
        <f>(-0.163*(C108^2)-0.59*C108+7617)*(10^(-4))/C101</f>
        <v>0.25339493333333335</v>
      </c>
      <c r="D109" s="1146">
        <f>(-0.163*(D108^2)-0.59*D108+7617)*(10^(-4))/D101</f>
        <v>0.25339493333333335</v>
      </c>
      <c r="E109" s="1146">
        <f>(-0.161*(E108^2)-7.509*E108+6533)*(10^(-4))/E101</f>
        <v>0.2154208</v>
      </c>
      <c r="F109" s="1146">
        <f>(-0.161*(F108^2)-7.509*F108+6533)*(10^(-4))/F101</f>
        <v>0.2154208</v>
      </c>
      <c r="G109" s="1146">
        <f>(-0.161*(G108^2)-7.509*G108+6533)*(10^(-4))/G101</f>
        <v>0.2154208</v>
      </c>
      <c r="H109" s="1146">
        <f>(-0.161*(H108^2)-7.509*H108+6533)*(10^(-4))/H101</f>
        <v>0.2154208</v>
      </c>
      <c r="I109" s="1146">
        <f>(-0.161*(I108^2)-7.509*I108+6533)*(10^(-4))/I101</f>
        <v>0.2154208</v>
      </c>
      <c r="J109" s="1146">
        <f>(-0.214*(J108^2)-21.991*J108+4665)*(10^(-4))/J101</f>
        <v>0.14917920000000001</v>
      </c>
      <c r="K109" s="1146">
        <f>(-0.214*(K108^2)-21.991*K108+4665)*(10^(-4))/K101</f>
        <v>0.14917920000000001</v>
      </c>
      <c r="L109" s="1146">
        <f>(-0.214*(L108^2)-21.991*L108+4665)*(10^(-4))/L101</f>
        <v>0.14917920000000001</v>
      </c>
      <c r="M109" s="1146">
        <f>(-0.214*(M108^2)-21.991*M108+4665)*(10^(-4))/M101</f>
        <v>0.14917920000000001</v>
      </c>
      <c r="N109" s="1146">
        <f>(-0.214*(N108^2)-21.991*N108+4665)*(10^(-4))/N101</f>
        <v>0.14917920000000001</v>
      </c>
    </row>
    <row r="110" spans="1:14">
      <c r="A110" s="3423" t="s">
        <v>1640</v>
      </c>
      <c r="B110" s="3423"/>
      <c r="C110" s="3423"/>
      <c r="D110" s="3423"/>
      <c r="E110" s="3423"/>
      <c r="F110" s="3423"/>
      <c r="G110" s="3423"/>
      <c r="H110" s="3423"/>
      <c r="I110" s="3423"/>
      <c r="J110" s="3423"/>
      <c r="K110" s="2448"/>
      <c r="L110" s="2448"/>
      <c r="M110" s="2448"/>
      <c r="N110" s="2448"/>
    </row>
    <row r="112" spans="1:14" ht="12.75" thickBot="1"/>
    <row r="113" spans="1:13" ht="25.5" thickBot="1">
      <c r="A113" s="1016" t="s">
        <v>896</v>
      </c>
      <c r="B113" s="2451">
        <f>G3</f>
        <v>3</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0.90529999999999999</v>
      </c>
      <c r="C115" s="1030">
        <f>B115</f>
        <v>0.90529999999999999</v>
      </c>
      <c r="D115" s="1030">
        <f>ROUND(0.8331-0.0109*B113,4)</f>
        <v>0.8004</v>
      </c>
      <c r="E115" s="1030">
        <f>D115</f>
        <v>0.8004</v>
      </c>
      <c r="F115" s="1030">
        <f>E115</f>
        <v>0.8004</v>
      </c>
      <c r="G115" s="1030">
        <f>F115</f>
        <v>0.8004</v>
      </c>
      <c r="H115" s="1030">
        <f>G115</f>
        <v>0.8004</v>
      </c>
      <c r="I115" s="1030">
        <f>ROUND(0.689-0.0155*B113,4)</f>
        <v>0.64249999999999996</v>
      </c>
      <c r="J115" s="1030">
        <f t="shared" ref="J115:M118" si="33">I115</f>
        <v>0.64249999999999996</v>
      </c>
      <c r="K115" s="1030">
        <f t="shared" si="33"/>
        <v>0.64249999999999996</v>
      </c>
      <c r="L115" s="1030">
        <f t="shared" si="33"/>
        <v>0.64249999999999996</v>
      </c>
      <c r="M115" s="1031">
        <f t="shared" si="33"/>
        <v>0.64249999999999996</v>
      </c>
    </row>
    <row r="116" spans="1:13" ht="12.75">
      <c r="A116" s="1029" t="s">
        <v>901</v>
      </c>
      <c r="B116" s="1030">
        <f>ROUND(0.949-0.012*B113,4)</f>
        <v>0.91300000000000003</v>
      </c>
      <c r="C116" s="1030">
        <f>B116</f>
        <v>0.91300000000000003</v>
      </c>
      <c r="D116" s="1030">
        <f>ROUND(0.8567-0.013*B113,4)</f>
        <v>0.81769999999999998</v>
      </c>
      <c r="E116" s="1030">
        <f t="shared" ref="E116:H117" si="34">D116</f>
        <v>0.81769999999999998</v>
      </c>
      <c r="F116" s="1030">
        <f t="shared" si="34"/>
        <v>0.81769999999999998</v>
      </c>
      <c r="G116" s="1030">
        <f t="shared" si="34"/>
        <v>0.81769999999999998</v>
      </c>
      <c r="H116" s="1030">
        <f t="shared" si="34"/>
        <v>0.81769999999999998</v>
      </c>
      <c r="I116" s="1030">
        <f>ROUND(0.7694-0.014*B113,4)</f>
        <v>0.72740000000000005</v>
      </c>
      <c r="J116" s="1030">
        <f t="shared" si="33"/>
        <v>0.72740000000000005</v>
      </c>
      <c r="K116" s="1030">
        <f t="shared" si="33"/>
        <v>0.72740000000000005</v>
      </c>
      <c r="L116" s="1030">
        <f t="shared" si="33"/>
        <v>0.72740000000000005</v>
      </c>
      <c r="M116" s="1031">
        <f t="shared" si="33"/>
        <v>0.72740000000000005</v>
      </c>
    </row>
    <row r="117" spans="1:13" ht="12.75">
      <c r="A117" s="1032" t="s">
        <v>902</v>
      </c>
      <c r="B117" s="1030">
        <f>ROUND(0.8808-0.006*B113,4)</f>
        <v>0.86280000000000001</v>
      </c>
      <c r="C117" s="1030">
        <f>B117</f>
        <v>0.86280000000000001</v>
      </c>
      <c r="D117" s="1030">
        <f>ROUND(0.8748-0.008*B113,4)</f>
        <v>0.8508</v>
      </c>
      <c r="E117" s="1030">
        <f t="shared" si="34"/>
        <v>0.8508</v>
      </c>
      <c r="F117" s="1030">
        <f t="shared" si="34"/>
        <v>0.8508</v>
      </c>
      <c r="G117" s="1030">
        <f t="shared" si="34"/>
        <v>0.8508</v>
      </c>
      <c r="H117" s="1030">
        <f t="shared" si="34"/>
        <v>0.8508</v>
      </c>
      <c r="I117" s="1030">
        <f>ROUND(0.7412-0.0095*B113,4)</f>
        <v>0.7127</v>
      </c>
      <c r="J117" s="1030">
        <f t="shared" si="33"/>
        <v>0.7127</v>
      </c>
      <c r="K117" s="1030">
        <f t="shared" si="33"/>
        <v>0.7127</v>
      </c>
      <c r="L117" s="1030">
        <f t="shared" si="33"/>
        <v>0.7127</v>
      </c>
      <c r="M117" s="1031">
        <f t="shared" si="33"/>
        <v>0.7127</v>
      </c>
    </row>
    <row r="118" spans="1:13" ht="13.5" thickBot="1">
      <c r="A118" s="1033" t="s">
        <v>903</v>
      </c>
      <c r="B118" s="1034">
        <f>ROUND(0.7275-0.01*B113,4)</f>
        <v>0.69750000000000001</v>
      </c>
      <c r="C118" s="1034">
        <f>B118</f>
        <v>0.69750000000000001</v>
      </c>
      <c r="D118" s="1034">
        <f>ROUND(0.7043-0.012*B113,4)</f>
        <v>0.66830000000000001</v>
      </c>
      <c r="E118" s="1034">
        <f>D118</f>
        <v>0.66830000000000001</v>
      </c>
      <c r="F118" s="1034">
        <f>E118</f>
        <v>0.66830000000000001</v>
      </c>
      <c r="G118" s="1034">
        <f>ROUND(0.6299-0.0122*B113,4)</f>
        <v>0.59330000000000005</v>
      </c>
      <c r="H118" s="1034">
        <f>G118</f>
        <v>0.59330000000000005</v>
      </c>
      <c r="I118" s="1034">
        <f>ROUND(0.5667-0.0136*B113,4)</f>
        <v>0.52590000000000003</v>
      </c>
      <c r="J118" s="1034">
        <f t="shared" si="33"/>
        <v>0.52590000000000003</v>
      </c>
      <c r="K118" s="1034">
        <f t="shared" si="33"/>
        <v>0.52590000000000003</v>
      </c>
      <c r="L118" s="1034">
        <f t="shared" si="33"/>
        <v>0.52590000000000003</v>
      </c>
      <c r="M118" s="1035">
        <f t="shared" si="33"/>
        <v>0.52590000000000003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29" t="s">
        <v>1008</v>
      </c>
      <c r="B18" s="1154" t="s">
        <v>1447</v>
      </c>
      <c r="C18" s="1131" t="s">
        <v>1448</v>
      </c>
      <c r="D18" s="1132"/>
      <c r="E18" s="1154">
        <v>1</v>
      </c>
      <c r="F18" s="1133" t="s">
        <v>1449</v>
      </c>
      <c r="G18" s="1134"/>
      <c r="H18" s="1105"/>
      <c r="I18" s="1105"/>
    </row>
    <row r="19" spans="1:9" s="1600" customFormat="1" ht="19.5" customHeight="1">
      <c r="A19" s="3429"/>
      <c r="B19" s="3429" t="s">
        <v>1450</v>
      </c>
      <c r="C19" s="1131" t="s">
        <v>1451</v>
      </c>
      <c r="D19" s="1132"/>
      <c r="E19" s="1154">
        <v>0.9</v>
      </c>
      <c r="F19" s="1133" t="s">
        <v>1452</v>
      </c>
      <c r="G19" s="1134"/>
      <c r="H19" s="1105"/>
      <c r="I19" s="1105"/>
    </row>
    <row r="20" spans="1:9" s="1600" customFormat="1" ht="19.5" customHeight="1">
      <c r="A20" s="3429"/>
      <c r="B20" s="3429"/>
      <c r="C20" s="1131" t="s">
        <v>1453</v>
      </c>
      <c r="D20" s="1132"/>
      <c r="E20" s="1154">
        <v>1.1000000000000001</v>
      </c>
      <c r="F20" s="1133" t="s">
        <v>1454</v>
      </c>
      <c r="G20" s="1134"/>
      <c r="H20" s="1105"/>
      <c r="I20" s="1105"/>
    </row>
    <row r="21" spans="1:9" s="1600" customFormat="1" ht="19.5" customHeight="1">
      <c r="A21" s="3429"/>
      <c r="B21" s="3429"/>
      <c r="C21" s="1131" t="s">
        <v>1455</v>
      </c>
      <c r="D21" s="1132"/>
      <c r="E21" s="1154">
        <v>0.8</v>
      </c>
      <c r="F21" s="1133" t="s">
        <v>1456</v>
      </c>
      <c r="G21" s="1134"/>
      <c r="H21" s="1105"/>
      <c r="I21" s="1105"/>
    </row>
    <row r="22" spans="1:9" s="1600" customFormat="1" ht="19.5" customHeight="1">
      <c r="A22" s="3429"/>
      <c r="B22" s="3429"/>
      <c r="C22" s="1131" t="s">
        <v>1457</v>
      </c>
      <c r="D22" s="1132"/>
      <c r="E22" s="1154">
        <v>0.5</v>
      </c>
      <c r="F22" s="1133"/>
      <c r="G22" s="1134"/>
      <c r="H22" s="1105"/>
      <c r="I22" s="1105"/>
    </row>
    <row r="23" spans="1:9" s="1600" customFormat="1" ht="19.5" customHeight="1">
      <c r="A23" s="3429" t="s">
        <v>1030</v>
      </c>
      <c r="B23" s="1154" t="s">
        <v>1447</v>
      </c>
      <c r="C23" s="1131" t="s">
        <v>1458</v>
      </c>
      <c r="D23" s="1132"/>
      <c r="E23" s="1154">
        <v>1</v>
      </c>
      <c r="F23" s="1133" t="s">
        <v>1459</v>
      </c>
      <c r="G23" s="1134"/>
      <c r="H23" s="1105"/>
      <c r="I23" s="1105"/>
    </row>
    <row r="24" spans="1:9" s="1600" customFormat="1" ht="19.5" customHeight="1">
      <c r="A24" s="3429"/>
      <c r="B24" s="3429" t="s">
        <v>1450</v>
      </c>
      <c r="C24" s="1131" t="s">
        <v>1460</v>
      </c>
      <c r="D24" s="1132"/>
      <c r="E24" s="1154">
        <v>0.5</v>
      </c>
      <c r="F24" s="1133"/>
      <c r="G24" s="1134"/>
      <c r="H24" s="1105"/>
      <c r="I24" s="1105"/>
    </row>
    <row r="25" spans="1:9" s="1600" customFormat="1" ht="19.5" customHeight="1">
      <c r="A25" s="3429"/>
      <c r="B25" s="3429"/>
      <c r="C25" s="1131" t="s">
        <v>1461</v>
      </c>
      <c r="D25" s="1132"/>
      <c r="E25" s="1154">
        <v>1.1000000000000001</v>
      </c>
      <c r="F25" s="1133"/>
      <c r="G25" s="1134"/>
      <c r="H25" s="1105"/>
      <c r="I25" s="1105"/>
    </row>
    <row r="26" spans="1:9" s="1600" customFormat="1" ht="19.5" customHeight="1">
      <c r="A26" s="3429"/>
      <c r="B26" s="3429"/>
      <c r="C26" s="1131" t="s">
        <v>1462</v>
      </c>
      <c r="D26" s="1132"/>
      <c r="E26" s="1154">
        <v>1.1000000000000001</v>
      </c>
      <c r="F26" s="1133"/>
      <c r="G26" s="1134"/>
      <c r="H26" s="1105"/>
      <c r="I26" s="1105"/>
    </row>
    <row r="27" spans="1:9" s="1600" customFormat="1" ht="19.5" customHeight="1">
      <c r="A27" s="3429"/>
      <c r="B27" s="3429"/>
      <c r="C27" s="1131" t="s">
        <v>1463</v>
      </c>
      <c r="D27" s="1132"/>
      <c r="E27" s="1154">
        <v>0.9</v>
      </c>
      <c r="F27" s="1133" t="s">
        <v>1464</v>
      </c>
      <c r="G27" s="1134"/>
      <c r="H27" s="1105"/>
      <c r="I27" s="1105"/>
    </row>
    <row r="28" spans="1:9" s="1600" customFormat="1" ht="19.5" customHeight="1">
      <c r="A28" s="3429"/>
      <c r="B28" s="3429"/>
      <c r="C28" s="1131" t="s">
        <v>1465</v>
      </c>
      <c r="D28" s="1132"/>
      <c r="E28" s="1154">
        <v>0.9</v>
      </c>
      <c r="F28" s="1133" t="s">
        <v>1466</v>
      </c>
      <c r="G28" s="1134"/>
      <c r="H28" s="1105"/>
      <c r="I28" s="1105"/>
    </row>
    <row r="29" spans="1:9" s="1600" customFormat="1" ht="19.5" customHeight="1">
      <c r="A29" s="3429"/>
      <c r="B29" s="3429"/>
      <c r="C29" s="1131" t="s">
        <v>1467</v>
      </c>
      <c r="D29" s="1132"/>
      <c r="E29" s="1154">
        <v>0.9</v>
      </c>
      <c r="F29" s="1133" t="s">
        <v>1468</v>
      </c>
      <c r="G29" s="1134"/>
      <c r="H29" s="1105"/>
      <c r="I29" s="1105"/>
    </row>
    <row r="30" spans="1:9" s="1600" customFormat="1" ht="19.5" customHeight="1">
      <c r="A30" s="3429"/>
      <c r="B30" s="3429"/>
      <c r="C30" s="1131" t="s">
        <v>1469</v>
      </c>
      <c r="D30" s="1132"/>
      <c r="E30" s="1154">
        <v>0.9</v>
      </c>
      <c r="F30" s="1133" t="s">
        <v>1470</v>
      </c>
      <c r="G30" s="1134"/>
      <c r="H30" s="1105"/>
      <c r="I30" s="1105"/>
    </row>
    <row r="31" spans="1:9" s="1600" customFormat="1" ht="19.5" customHeight="1">
      <c r="A31" s="3429"/>
      <c r="B31" s="3429"/>
      <c r="C31" s="1131" t="s">
        <v>1471</v>
      </c>
      <c r="D31" s="1132"/>
      <c r="E31" s="1154">
        <v>0.8</v>
      </c>
      <c r="F31" s="1133" t="s">
        <v>1472</v>
      </c>
      <c r="G31" s="1134"/>
      <c r="H31" s="1105"/>
      <c r="I31" s="1105"/>
    </row>
    <row r="32" spans="1:9" s="1600" customFormat="1" ht="19.5" customHeight="1">
      <c r="A32" s="3429"/>
      <c r="B32" s="3429"/>
      <c r="C32" s="1131" t="s">
        <v>1473</v>
      </c>
      <c r="D32" s="1132"/>
      <c r="E32" s="1154">
        <v>0.8</v>
      </c>
      <c r="F32" s="1133" t="s">
        <v>1474</v>
      </c>
      <c r="G32" s="1134"/>
      <c r="H32" s="1105"/>
      <c r="I32" s="1105"/>
    </row>
    <row r="33" spans="1:9" s="1600" customFormat="1" ht="19.5" customHeight="1">
      <c r="A33" s="3429" t="s">
        <v>1475</v>
      </c>
      <c r="B33" s="1154" t="s">
        <v>1447</v>
      </c>
      <c r="C33" s="1131" t="s">
        <v>1476</v>
      </c>
      <c r="D33" s="1132"/>
      <c r="E33" s="1154">
        <v>1</v>
      </c>
      <c r="F33" s="1133" t="s">
        <v>1477</v>
      </c>
      <c r="G33" s="1134"/>
      <c r="H33" s="1105"/>
      <c r="I33" s="1105"/>
    </row>
    <row r="34" spans="1:9" s="1600" customFormat="1" ht="19.5" customHeight="1">
      <c r="A34" s="3429"/>
      <c r="B34" s="1154" t="s">
        <v>1450</v>
      </c>
      <c r="C34" s="1131" t="s">
        <v>1478</v>
      </c>
      <c r="D34" s="1132"/>
      <c r="E34" s="1154">
        <v>1.5</v>
      </c>
      <c r="F34" s="1133" t="s">
        <v>1479</v>
      </c>
      <c r="G34" s="1134"/>
      <c r="H34" s="1105"/>
      <c r="I34" s="1105"/>
    </row>
    <row r="35" spans="1:9" s="1600" customFormat="1" ht="19.5" customHeight="1">
      <c r="A35" s="3429" t="s">
        <v>1433</v>
      </c>
      <c r="B35" s="1154" t="s">
        <v>1447</v>
      </c>
      <c r="C35" s="1131" t="s">
        <v>1480</v>
      </c>
      <c r="D35" s="1132"/>
      <c r="E35" s="1154">
        <v>1</v>
      </c>
      <c r="F35" s="1133" t="s">
        <v>1481</v>
      </c>
      <c r="G35" s="1134"/>
      <c r="H35" s="1105"/>
      <c r="I35" s="1105"/>
    </row>
    <row r="36" spans="1:9" s="1600" customFormat="1" ht="19.5" customHeight="1">
      <c r="A36" s="3429"/>
      <c r="B36" s="3429" t="s">
        <v>1450</v>
      </c>
      <c r="C36" s="1131" t="s">
        <v>1482</v>
      </c>
      <c r="D36" s="1132"/>
      <c r="E36" s="1154">
        <v>1</v>
      </c>
      <c r="F36" s="1133" t="s">
        <v>1483</v>
      </c>
      <c r="G36" s="1134"/>
      <c r="H36" s="1105"/>
      <c r="I36" s="1105"/>
    </row>
    <row r="37" spans="1:9" s="1600" customFormat="1" ht="19.5" customHeight="1">
      <c r="A37" s="3429"/>
      <c r="B37" s="3429"/>
      <c r="C37" s="1131" t="s">
        <v>1484</v>
      </c>
      <c r="D37" s="1132"/>
      <c r="E37" s="1154">
        <v>1.5</v>
      </c>
      <c r="F37" s="1133" t="s">
        <v>1485</v>
      </c>
      <c r="G37" s="1134"/>
      <c r="H37" s="1105"/>
      <c r="I37" s="1105"/>
    </row>
    <row r="38" spans="1:9" s="1600" customFormat="1" ht="19.5" customHeight="1">
      <c r="A38" s="3429"/>
      <c r="B38" s="3429"/>
      <c r="C38" s="1131" t="s">
        <v>1486</v>
      </c>
      <c r="D38" s="1132"/>
      <c r="E38" s="1154">
        <v>1</v>
      </c>
      <c r="F38" s="1133" t="s">
        <v>1487</v>
      </c>
      <c r="G38" s="1134"/>
      <c r="H38" s="1105"/>
      <c r="I38" s="1105"/>
    </row>
    <row r="39" spans="1:9" s="1600" customFormat="1" ht="19.5" customHeight="1">
      <c r="A39" s="3429"/>
      <c r="B39" s="342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29" t="s">
        <v>1502</v>
      </c>
      <c r="C61" s="1068" t="s">
        <v>1503</v>
      </c>
      <c r="D61" s="1068" t="s">
        <v>1504</v>
      </c>
      <c r="E61" s="1139">
        <v>0.5</v>
      </c>
      <c r="F61" s="1154">
        <v>80</v>
      </c>
      <c r="H61" s="1105">
        <f>SUMIF(C59:C119,基准地价!C8,E59:E119)</f>
        <v>0</v>
      </c>
    </row>
    <row r="62" spans="1:8" s="1105" customFormat="1" ht="24">
      <c r="A62" s="1154">
        <v>2</v>
      </c>
      <c r="B62" s="3429"/>
      <c r="C62" s="1068" t="s">
        <v>1505</v>
      </c>
      <c r="D62" s="1068" t="s">
        <v>1506</v>
      </c>
      <c r="E62" s="1139">
        <v>0.5</v>
      </c>
      <c r="F62" s="1154">
        <v>80</v>
      </c>
    </row>
    <row r="63" spans="1:8" s="1105" customFormat="1" ht="36">
      <c r="A63" s="1154">
        <v>3</v>
      </c>
      <c r="B63" s="3429"/>
      <c r="C63" s="1068" t="s">
        <v>1507</v>
      </c>
      <c r="D63" s="1068" t="s">
        <v>1508</v>
      </c>
      <c r="E63" s="1139">
        <v>0.5</v>
      </c>
      <c r="F63" s="1154">
        <v>80</v>
      </c>
    </row>
    <row r="64" spans="1:8" s="1105" customFormat="1" ht="36">
      <c r="A64" s="1154">
        <v>4</v>
      </c>
      <c r="B64" s="3429"/>
      <c r="C64" s="1068" t="s">
        <v>1509</v>
      </c>
      <c r="D64" s="1068" t="s">
        <v>1510</v>
      </c>
      <c r="E64" s="1139">
        <v>0.4</v>
      </c>
      <c r="F64" s="1154">
        <v>60</v>
      </c>
    </row>
    <row r="65" spans="1:6" s="1105" customFormat="1" ht="36">
      <c r="A65" s="1154">
        <v>5</v>
      </c>
      <c r="B65" s="3429"/>
      <c r="C65" s="1068" t="s">
        <v>1511</v>
      </c>
      <c r="D65" s="1068" t="s">
        <v>1512</v>
      </c>
      <c r="E65" s="1139">
        <v>0.2</v>
      </c>
      <c r="F65" s="1154">
        <v>30</v>
      </c>
    </row>
    <row r="66" spans="1:6" s="1105" customFormat="1" ht="36">
      <c r="A66" s="1154">
        <v>6</v>
      </c>
      <c r="B66" s="3429"/>
      <c r="C66" s="1068" t="s">
        <v>1513</v>
      </c>
      <c r="D66" s="1068" t="s">
        <v>1514</v>
      </c>
      <c r="E66" s="1139">
        <v>0.3</v>
      </c>
      <c r="F66" s="1154">
        <v>50</v>
      </c>
    </row>
    <row r="67" spans="1:6" s="1105" customFormat="1" ht="36">
      <c r="A67" s="1154">
        <v>7</v>
      </c>
      <c r="B67" s="3429"/>
      <c r="C67" s="1068" t="s">
        <v>1515</v>
      </c>
      <c r="D67" s="1068" t="s">
        <v>1516</v>
      </c>
      <c r="E67" s="1139">
        <v>0.2</v>
      </c>
      <c r="F67" s="1154">
        <v>30</v>
      </c>
    </row>
    <row r="68" spans="1:6" s="1105" customFormat="1" ht="36">
      <c r="A68" s="1154">
        <v>8</v>
      </c>
      <c r="B68" s="3429"/>
      <c r="C68" s="1068" t="s">
        <v>1517</v>
      </c>
      <c r="D68" s="1068" t="s">
        <v>1518</v>
      </c>
      <c r="E68" s="1139">
        <v>0.2</v>
      </c>
      <c r="F68" s="1154">
        <v>30</v>
      </c>
    </row>
    <row r="69" spans="1:6" s="1105" customFormat="1" ht="36">
      <c r="A69" s="1154">
        <v>9</v>
      </c>
      <c r="B69" s="3429"/>
      <c r="C69" s="1068" t="s">
        <v>1519</v>
      </c>
      <c r="D69" s="1068" t="s">
        <v>1520</v>
      </c>
      <c r="E69" s="1139">
        <v>0.2</v>
      </c>
      <c r="F69" s="1154">
        <v>30</v>
      </c>
    </row>
    <row r="70" spans="1:6" s="1105" customFormat="1" ht="48">
      <c r="A70" s="1154">
        <v>10</v>
      </c>
      <c r="B70" s="3429"/>
      <c r="C70" s="1068" t="s">
        <v>1521</v>
      </c>
      <c r="D70" s="1068" t="s">
        <v>1522</v>
      </c>
      <c r="E70" s="1139">
        <v>0.2</v>
      </c>
      <c r="F70" s="1154">
        <v>30</v>
      </c>
    </row>
    <row r="71" spans="1:6" s="1105" customFormat="1" ht="48">
      <c r="A71" s="1154">
        <v>11</v>
      </c>
      <c r="B71" s="3429"/>
      <c r="C71" s="1068" t="s">
        <v>1523</v>
      </c>
      <c r="D71" s="1068" t="s">
        <v>1524</v>
      </c>
      <c r="E71" s="1139">
        <v>0.2</v>
      </c>
      <c r="F71" s="1154">
        <v>30</v>
      </c>
    </row>
    <row r="72" spans="1:6" s="1105" customFormat="1" ht="36">
      <c r="A72" s="1154">
        <v>12</v>
      </c>
      <c r="B72" s="3429"/>
      <c r="C72" s="1068" t="s">
        <v>1525</v>
      </c>
      <c r="D72" s="1068" t="s">
        <v>1526</v>
      </c>
      <c r="E72" s="1139">
        <v>0.5</v>
      </c>
      <c r="F72" s="1154">
        <v>80</v>
      </c>
    </row>
    <row r="73" spans="1:6" s="1105" customFormat="1" ht="24">
      <c r="A73" s="1154">
        <v>13</v>
      </c>
      <c r="B73" s="3429"/>
      <c r="C73" s="1068" t="s">
        <v>1527</v>
      </c>
      <c r="D73" s="1068" t="s">
        <v>1528</v>
      </c>
      <c r="E73" s="1139">
        <v>0.4</v>
      </c>
      <c r="F73" s="1154">
        <v>60</v>
      </c>
    </row>
    <row r="74" spans="1:6" s="1105" customFormat="1" ht="24">
      <c r="A74" s="1154">
        <v>14</v>
      </c>
      <c r="B74" s="3429"/>
      <c r="C74" s="1068" t="s">
        <v>1529</v>
      </c>
      <c r="D74" s="1068" t="s">
        <v>1530</v>
      </c>
      <c r="E74" s="1139">
        <v>0.2</v>
      </c>
      <c r="F74" s="1154">
        <v>30</v>
      </c>
    </row>
    <row r="75" spans="1:6" s="1105" customFormat="1" ht="24">
      <c r="A75" s="1154">
        <v>15</v>
      </c>
      <c r="B75" s="3429"/>
      <c r="C75" s="1068" t="s">
        <v>1531</v>
      </c>
      <c r="D75" s="1068" t="s">
        <v>1532</v>
      </c>
      <c r="E75" s="1139">
        <v>0.2</v>
      </c>
      <c r="F75" s="1154">
        <v>30</v>
      </c>
    </row>
    <row r="76" spans="1:6" s="1105" customFormat="1" ht="24">
      <c r="A76" s="1154">
        <v>16</v>
      </c>
      <c r="B76" s="3429" t="s">
        <v>1533</v>
      </c>
      <c r="C76" s="1068" t="s">
        <v>1534</v>
      </c>
      <c r="D76" s="1068" t="s">
        <v>1535</v>
      </c>
      <c r="E76" s="1139">
        <v>0.5</v>
      </c>
      <c r="F76" s="1154">
        <v>80</v>
      </c>
    </row>
    <row r="77" spans="1:6" s="1105" customFormat="1" ht="24">
      <c r="A77" s="1154">
        <v>17</v>
      </c>
      <c r="B77" s="3429"/>
      <c r="C77" s="1068" t="s">
        <v>1536</v>
      </c>
      <c r="D77" s="1068" t="s">
        <v>1537</v>
      </c>
      <c r="E77" s="1139">
        <v>0.5</v>
      </c>
      <c r="F77" s="1154">
        <v>80</v>
      </c>
    </row>
    <row r="78" spans="1:6" s="1105" customFormat="1" ht="24">
      <c r="A78" s="1154">
        <v>18</v>
      </c>
      <c r="B78" s="3429"/>
      <c r="C78" s="1068" t="s">
        <v>1538</v>
      </c>
      <c r="D78" s="1068" t="s">
        <v>1539</v>
      </c>
      <c r="E78" s="1139">
        <v>0.2</v>
      </c>
      <c r="F78" s="1154">
        <v>30</v>
      </c>
    </row>
    <row r="79" spans="1:6" s="1105" customFormat="1" ht="24">
      <c r="A79" s="1154">
        <v>19</v>
      </c>
      <c r="B79" s="3429"/>
      <c r="C79" s="1068" t="s">
        <v>1540</v>
      </c>
      <c r="D79" s="1068" t="s">
        <v>1541</v>
      </c>
      <c r="E79" s="1139">
        <v>0.5</v>
      </c>
      <c r="F79" s="1154">
        <v>80</v>
      </c>
    </row>
    <row r="80" spans="1:6" s="1105" customFormat="1" ht="36">
      <c r="A80" s="1154">
        <v>20</v>
      </c>
      <c r="B80" s="3429"/>
      <c r="C80" s="1068" t="s">
        <v>1542</v>
      </c>
      <c r="D80" s="1068" t="s">
        <v>1543</v>
      </c>
      <c r="E80" s="1139">
        <v>0.2</v>
      </c>
      <c r="F80" s="1154">
        <v>30</v>
      </c>
    </row>
    <row r="81" spans="1:6" s="1105" customFormat="1" ht="36">
      <c r="A81" s="1154">
        <v>21</v>
      </c>
      <c r="B81" s="3429"/>
      <c r="C81" s="1068" t="s">
        <v>1544</v>
      </c>
      <c r="D81" s="1068" t="s">
        <v>1545</v>
      </c>
      <c r="E81" s="1139">
        <v>0.2</v>
      </c>
      <c r="F81" s="1154">
        <v>30</v>
      </c>
    </row>
    <row r="82" spans="1:6" s="1105" customFormat="1" ht="48">
      <c r="A82" s="1154">
        <v>22</v>
      </c>
      <c r="B82" s="3429"/>
      <c r="C82" s="1068" t="s">
        <v>1546</v>
      </c>
      <c r="D82" s="1068" t="s">
        <v>1547</v>
      </c>
      <c r="E82" s="1139">
        <v>0.2</v>
      </c>
      <c r="F82" s="1154">
        <v>30</v>
      </c>
    </row>
    <row r="83" spans="1:6" s="1105" customFormat="1" ht="48">
      <c r="A83" s="1154">
        <v>23</v>
      </c>
      <c r="B83" s="3429"/>
      <c r="C83" s="1068" t="s">
        <v>1548</v>
      </c>
      <c r="D83" s="1068" t="s">
        <v>1549</v>
      </c>
      <c r="E83" s="1139">
        <v>0.2</v>
      </c>
      <c r="F83" s="1154">
        <v>30</v>
      </c>
    </row>
    <row r="84" spans="1:6" s="1105" customFormat="1" ht="36">
      <c r="A84" s="1154">
        <v>24</v>
      </c>
      <c r="B84" s="3429"/>
      <c r="C84" s="1068" t="s">
        <v>1550</v>
      </c>
      <c r="D84" s="1068" t="s">
        <v>1551</v>
      </c>
      <c r="E84" s="1139">
        <v>0.2</v>
      </c>
      <c r="F84" s="1154">
        <v>30</v>
      </c>
    </row>
    <row r="85" spans="1:6" s="1105" customFormat="1" ht="36">
      <c r="A85" s="1154">
        <v>25</v>
      </c>
      <c r="B85" s="3429"/>
      <c r="C85" s="1068" t="s">
        <v>1552</v>
      </c>
      <c r="D85" s="1068" t="s">
        <v>1553</v>
      </c>
      <c r="E85" s="1139">
        <v>0.5</v>
      </c>
      <c r="F85" s="1154">
        <v>80</v>
      </c>
    </row>
    <row r="86" spans="1:6" s="1105" customFormat="1" ht="36">
      <c r="A86" s="1154">
        <v>26</v>
      </c>
      <c r="B86" s="3429"/>
      <c r="C86" s="1068" t="s">
        <v>1554</v>
      </c>
      <c r="D86" s="1068" t="s">
        <v>1555</v>
      </c>
      <c r="E86" s="1139">
        <v>0.2</v>
      </c>
      <c r="F86" s="1154">
        <v>30</v>
      </c>
    </row>
    <row r="87" spans="1:6" s="1105" customFormat="1" ht="36">
      <c r="A87" s="1154">
        <v>27</v>
      </c>
      <c r="B87" s="3429"/>
      <c r="C87" s="1068" t="s">
        <v>1556</v>
      </c>
      <c r="D87" s="1068" t="s">
        <v>1557</v>
      </c>
      <c r="E87" s="1139">
        <v>0.2</v>
      </c>
      <c r="F87" s="1154">
        <v>30</v>
      </c>
    </row>
    <row r="88" spans="1:6" s="1105" customFormat="1" ht="36">
      <c r="A88" s="1154">
        <v>28</v>
      </c>
      <c r="B88" s="3429"/>
      <c r="C88" s="1068" t="s">
        <v>1558</v>
      </c>
      <c r="D88" s="1068" t="s">
        <v>1559</v>
      </c>
      <c r="E88" s="1139">
        <v>0.2</v>
      </c>
      <c r="F88" s="1154">
        <v>30</v>
      </c>
    </row>
    <row r="89" spans="1:6" s="1105" customFormat="1" ht="24">
      <c r="A89" s="1154">
        <v>29</v>
      </c>
      <c r="B89" s="3429"/>
      <c r="C89" s="1068" t="s">
        <v>1560</v>
      </c>
      <c r="D89" s="1068" t="s">
        <v>1561</v>
      </c>
      <c r="E89" s="1139">
        <v>0.2</v>
      </c>
      <c r="F89" s="1154">
        <v>30</v>
      </c>
    </row>
    <row r="90" spans="1:6" s="1105" customFormat="1" ht="24">
      <c r="A90" s="1154">
        <v>30</v>
      </c>
      <c r="B90" s="3429"/>
      <c r="C90" s="1068" t="s">
        <v>1562</v>
      </c>
      <c r="D90" s="1068" t="s">
        <v>1563</v>
      </c>
      <c r="E90" s="1139">
        <v>0.2</v>
      </c>
      <c r="F90" s="1154">
        <v>30</v>
      </c>
    </row>
    <row r="91" spans="1:6" s="1105" customFormat="1" ht="36">
      <c r="A91" s="1154">
        <v>31</v>
      </c>
      <c r="B91" s="3429"/>
      <c r="C91" s="1068" t="s">
        <v>1564</v>
      </c>
      <c r="D91" s="1068" t="s">
        <v>1565</v>
      </c>
      <c r="E91" s="1139">
        <v>0.2</v>
      </c>
      <c r="F91" s="1154">
        <v>30</v>
      </c>
    </row>
    <row r="92" spans="1:6" s="1105" customFormat="1" ht="24">
      <c r="A92" s="1154">
        <v>32</v>
      </c>
      <c r="B92" s="3429" t="s">
        <v>1566</v>
      </c>
      <c r="C92" s="1154" t="s">
        <v>1567</v>
      </c>
      <c r="D92" s="1068" t="s">
        <v>1568</v>
      </c>
      <c r="E92" s="1139">
        <v>0.2</v>
      </c>
      <c r="F92" s="1154">
        <v>30</v>
      </c>
    </row>
    <row r="93" spans="1:6" s="1105" customFormat="1" ht="36">
      <c r="A93" s="1154">
        <v>33</v>
      </c>
      <c r="B93" s="3429"/>
      <c r="C93" s="1154" t="s">
        <v>1569</v>
      </c>
      <c r="D93" s="1068" t="s">
        <v>1570</v>
      </c>
      <c r="E93" s="1139">
        <v>0.2</v>
      </c>
      <c r="F93" s="1154">
        <v>30</v>
      </c>
    </row>
    <row r="94" spans="1:6" s="1105" customFormat="1" ht="48">
      <c r="A94" s="1154">
        <v>34</v>
      </c>
      <c r="B94" s="3429"/>
      <c r="C94" s="1154" t="s">
        <v>1571</v>
      </c>
      <c r="D94" s="1068" t="s">
        <v>1572</v>
      </c>
      <c r="E94" s="1139">
        <v>0.2</v>
      </c>
      <c r="F94" s="1154">
        <v>30</v>
      </c>
    </row>
    <row r="95" spans="1:6" s="1105" customFormat="1" ht="36">
      <c r="A95" s="1154">
        <v>35</v>
      </c>
      <c r="B95" s="3429"/>
      <c r="C95" s="1154" t="s">
        <v>1573</v>
      </c>
      <c r="D95" s="1068" t="s">
        <v>1574</v>
      </c>
      <c r="E95" s="1139">
        <v>0.2</v>
      </c>
      <c r="F95" s="1154">
        <v>30</v>
      </c>
    </row>
    <row r="96" spans="1:6" s="1105" customFormat="1" ht="48">
      <c r="A96" s="1154">
        <v>36</v>
      </c>
      <c r="B96" s="3429"/>
      <c r="C96" s="1068" t="s">
        <v>1575</v>
      </c>
      <c r="D96" s="1068" t="s">
        <v>1576</v>
      </c>
      <c r="E96" s="1139">
        <v>0.2</v>
      </c>
      <c r="F96" s="1154">
        <v>30</v>
      </c>
    </row>
    <row r="97" spans="1:6" s="1105" customFormat="1" ht="36">
      <c r="A97" s="1154">
        <v>37</v>
      </c>
      <c r="B97" s="3429"/>
      <c r="C97" s="1154" t="s">
        <v>1577</v>
      </c>
      <c r="D97" s="1068" t="s">
        <v>1578</v>
      </c>
      <c r="E97" s="1139">
        <v>0.2</v>
      </c>
      <c r="F97" s="1154">
        <v>30</v>
      </c>
    </row>
    <row r="98" spans="1:6" s="1105" customFormat="1" ht="36">
      <c r="A98" s="1154">
        <v>38</v>
      </c>
      <c r="B98" s="3429"/>
      <c r="C98" s="1154" t="s">
        <v>1579</v>
      </c>
      <c r="D98" s="1068" t="s">
        <v>1580</v>
      </c>
      <c r="E98" s="1139">
        <v>0.2</v>
      </c>
      <c r="F98" s="1154">
        <v>30</v>
      </c>
    </row>
    <row r="99" spans="1:6" s="1105" customFormat="1" ht="36">
      <c r="A99" s="1154">
        <v>39</v>
      </c>
      <c r="B99" s="3429" t="s">
        <v>1581</v>
      </c>
      <c r="C99" s="1154" t="s">
        <v>1582</v>
      </c>
      <c r="D99" s="1068" t="s">
        <v>1583</v>
      </c>
      <c r="E99" s="1139">
        <v>0.3</v>
      </c>
      <c r="F99" s="1154">
        <v>50</v>
      </c>
    </row>
    <row r="100" spans="1:6" s="1105" customFormat="1" ht="24">
      <c r="A100" s="1154">
        <v>40</v>
      </c>
      <c r="B100" s="3429"/>
      <c r="C100" s="1154" t="s">
        <v>1584</v>
      </c>
      <c r="D100" s="1068" t="s">
        <v>1585</v>
      </c>
      <c r="E100" s="1139">
        <v>0.2</v>
      </c>
      <c r="F100" s="1154">
        <v>30</v>
      </c>
    </row>
    <row r="101" spans="1:6" s="1105" customFormat="1" ht="36">
      <c r="A101" s="1154">
        <v>41</v>
      </c>
      <c r="B101" s="342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29" t="s">
        <v>1596</v>
      </c>
      <c r="C105" s="1154" t="s">
        <v>1597</v>
      </c>
      <c r="D105" s="1068" t="s">
        <v>1598</v>
      </c>
      <c r="E105" s="1139">
        <v>0.2</v>
      </c>
      <c r="F105" s="1154">
        <v>30</v>
      </c>
    </row>
    <row r="106" spans="1:6" s="1105" customFormat="1" ht="36">
      <c r="A106" s="1154">
        <v>46</v>
      </c>
      <c r="B106" s="3429"/>
      <c r="C106" s="1154" t="s">
        <v>1599</v>
      </c>
      <c r="D106" s="1068" t="s">
        <v>1600</v>
      </c>
      <c r="E106" s="1139">
        <v>0.2</v>
      </c>
      <c r="F106" s="1154">
        <v>30</v>
      </c>
    </row>
    <row r="107" spans="1:6" s="1105" customFormat="1" ht="36">
      <c r="A107" s="1154">
        <v>47</v>
      </c>
      <c r="B107" s="3429" t="s">
        <v>1601</v>
      </c>
      <c r="C107" s="1154" t="s">
        <v>1602</v>
      </c>
      <c r="D107" s="1068" t="s">
        <v>1603</v>
      </c>
      <c r="E107" s="1139">
        <v>0.3</v>
      </c>
      <c r="F107" s="1154">
        <v>50</v>
      </c>
    </row>
    <row r="108" spans="1:6" s="1105" customFormat="1" ht="36">
      <c r="A108" s="1154">
        <v>48</v>
      </c>
      <c r="B108" s="342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29" t="s">
        <v>1612</v>
      </c>
      <c r="C111" s="1154" t="s">
        <v>1613</v>
      </c>
      <c r="D111" s="1068" t="s">
        <v>1614</v>
      </c>
      <c r="E111" s="1139">
        <v>0.2</v>
      </c>
      <c r="F111" s="1154">
        <v>30</v>
      </c>
    </row>
    <row r="112" spans="1:6" s="1105" customFormat="1" ht="24">
      <c r="A112" s="1154">
        <v>52</v>
      </c>
      <c r="B112" s="3429"/>
      <c r="C112" s="1154" t="s">
        <v>1615</v>
      </c>
      <c r="D112" s="1068" t="s">
        <v>1616</v>
      </c>
      <c r="E112" s="1139">
        <v>0.2</v>
      </c>
      <c r="F112" s="1154">
        <v>30</v>
      </c>
    </row>
    <row r="113" spans="1:14" s="1105" customFormat="1" ht="24">
      <c r="A113" s="1154">
        <v>53</v>
      </c>
      <c r="B113" s="342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29" t="s">
        <v>1625</v>
      </c>
      <c r="C116" s="1154" t="s">
        <v>1626</v>
      </c>
      <c r="D116" s="1068" t="s">
        <v>1627</v>
      </c>
      <c r="E116" s="1139">
        <v>0.2</v>
      </c>
      <c r="F116" s="1154">
        <v>30</v>
      </c>
    </row>
    <row r="117" spans="1:14" ht="36">
      <c r="A117" s="1154">
        <v>57</v>
      </c>
      <c r="B117" s="342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28" t="s">
        <v>1634</v>
      </c>
      <c r="B121" s="3428"/>
      <c r="C121" s="3428"/>
      <c r="D121" s="3428"/>
      <c r="E121" s="3428"/>
      <c r="F121" s="3428"/>
      <c r="G121" s="3428"/>
      <c r="H121" s="3428"/>
      <c r="I121" s="3428"/>
      <c r="J121" s="342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3" t="s">
        <v>1040</v>
      </c>
      <c r="B1" s="3433"/>
      <c r="C1" s="3433"/>
      <c r="D1" s="3433"/>
      <c r="E1" s="3433"/>
      <c r="F1" s="343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34" t="s">
        <v>1053</v>
      </c>
      <c r="B2" s="3434"/>
      <c r="C2" s="3434"/>
      <c r="D2" s="3434"/>
      <c r="E2" s="3434"/>
      <c r="F2" s="343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3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3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2425</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2426</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37" t="s">
        <v>2082</v>
      </c>
      <c r="B1" s="3437"/>
    </row>
    <row r="2" spans="1:6" ht="14.25" thickBot="1">
      <c r="A2" s="1853"/>
      <c r="B2" s="1853"/>
    </row>
    <row r="3" spans="1:6" ht="14.25" thickBot="1">
      <c r="A3" s="1853"/>
      <c r="B3" s="1853"/>
      <c r="C3" s="1854" t="s">
        <v>2083</v>
      </c>
      <c r="D3" s="1854" t="s">
        <v>2084</v>
      </c>
      <c r="E3" s="1854" t="s">
        <v>2085</v>
      </c>
      <c r="F3" s="1854" t="s">
        <v>2086</v>
      </c>
    </row>
    <row r="4" spans="1:6" ht="14.25" thickBot="1">
      <c r="A4" s="1855" t="s">
        <v>2087</v>
      </c>
      <c r="B4" s="1856" t="s">
        <v>2088</v>
      </c>
      <c r="C4" s="1854"/>
      <c r="D4" s="1854"/>
      <c r="E4" s="1854"/>
      <c r="F4" s="1854"/>
    </row>
    <row r="5" spans="1:6" ht="14.25" thickBot="1">
      <c r="A5" s="1857" t="s">
        <v>2089</v>
      </c>
      <c r="B5" s="1858" t="s">
        <v>2090</v>
      </c>
      <c r="C5" s="1859">
        <v>8.8999999999999996E-2</v>
      </c>
      <c r="D5" s="1859">
        <v>7.3999999999999996E-2</v>
      </c>
      <c r="E5" s="1859">
        <v>7.4999999999999997E-2</v>
      </c>
      <c r="F5" s="1860">
        <v>0.1</v>
      </c>
    </row>
    <row r="6" spans="1:6" ht="14.25" thickBot="1">
      <c r="A6" s="1857" t="s">
        <v>1097</v>
      </c>
      <c r="B6" s="1861" t="s">
        <v>2091</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2092</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2093</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2094</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2095</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2096</v>
      </c>
      <c r="C72" s="1871"/>
      <c r="D72" s="1871"/>
      <c r="E72" s="1871"/>
      <c r="F72" s="1863">
        <v>0.05</v>
      </c>
    </row>
    <row r="73" spans="1:6" ht="14.25" thickBot="1">
      <c r="A73" s="1857" t="s">
        <v>925</v>
      </c>
      <c r="B73" s="1861" t="s">
        <v>2097</v>
      </c>
      <c r="C73" s="1871"/>
      <c r="D73" s="1871"/>
      <c r="E73" s="1871"/>
      <c r="F73" s="1863">
        <v>0.05</v>
      </c>
    </row>
    <row r="74" spans="1:6" ht="14.25" thickBot="1">
      <c r="A74" s="1857" t="s">
        <v>925</v>
      </c>
      <c r="B74" s="1861" t="s">
        <v>2098</v>
      </c>
      <c r="C74" s="1871"/>
      <c r="D74" s="1871"/>
      <c r="E74" s="1871"/>
      <c r="F74" s="1863">
        <v>0.05</v>
      </c>
    </row>
    <row r="75" spans="1:6" ht="14.25" thickBot="1">
      <c r="A75" s="1865" t="s">
        <v>925</v>
      </c>
      <c r="B75" s="1872" t="s">
        <v>2099</v>
      </c>
      <c r="C75" s="1868"/>
      <c r="D75" s="1868"/>
      <c r="E75" s="1868"/>
      <c r="F75" s="1873">
        <v>0.05</v>
      </c>
    </row>
    <row r="76" spans="1:6" ht="14.25" thickBot="1">
      <c r="A76" s="1857" t="s">
        <v>1408</v>
      </c>
      <c r="B76" s="1858" t="s">
        <v>2100</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2101</v>
      </c>
      <c r="C102" s="1871"/>
      <c r="D102" s="1871"/>
      <c r="E102" s="1871"/>
      <c r="F102" s="1863">
        <v>0.05</v>
      </c>
    </row>
    <row r="103" spans="1:6" ht="24.75" thickBot="1">
      <c r="A103" s="1857" t="s">
        <v>1408</v>
      </c>
      <c r="B103" s="1861" t="s">
        <v>2102</v>
      </c>
      <c r="C103" s="1871"/>
      <c r="D103" s="1871"/>
      <c r="E103" s="1871"/>
      <c r="F103" s="1863">
        <v>0.05</v>
      </c>
    </row>
    <row r="104" spans="1:6" ht="14.25" thickBot="1">
      <c r="A104" s="1857" t="s">
        <v>1408</v>
      </c>
      <c r="B104" s="1861" t="s">
        <v>2103</v>
      </c>
      <c r="C104" s="1871"/>
      <c r="D104" s="1871"/>
      <c r="E104" s="1871"/>
      <c r="F104" s="1863">
        <v>0.05</v>
      </c>
    </row>
    <row r="105" spans="1:6" ht="14.25" thickBot="1">
      <c r="A105" s="1857" t="s">
        <v>1408</v>
      </c>
      <c r="B105" s="1861" t="s">
        <v>2104</v>
      </c>
      <c r="C105" s="1871"/>
      <c r="D105" s="1871"/>
      <c r="E105" s="1871"/>
      <c r="F105" s="1863">
        <v>0.05</v>
      </c>
    </row>
    <row r="106" spans="1:6" ht="14.25" thickBot="1">
      <c r="A106" s="1857" t="s">
        <v>1408</v>
      </c>
      <c r="B106" s="1861" t="s">
        <v>2105</v>
      </c>
      <c r="C106" s="1871"/>
      <c r="D106" s="1871"/>
      <c r="E106" s="1871"/>
      <c r="F106" s="1863">
        <v>0.05</v>
      </c>
    </row>
    <row r="107" spans="1:6" ht="24.75" thickBot="1">
      <c r="A107" s="1857" t="s">
        <v>1408</v>
      </c>
      <c r="B107" s="1861" t="s">
        <v>2106</v>
      </c>
      <c r="C107" s="1871"/>
      <c r="D107" s="1871"/>
      <c r="E107" s="1871"/>
      <c r="F107" s="1863">
        <v>0.05</v>
      </c>
    </row>
    <row r="108" spans="1:6" ht="24.75" thickBot="1">
      <c r="A108" s="1857" t="s">
        <v>1408</v>
      </c>
      <c r="B108" s="1861" t="s">
        <v>2107</v>
      </c>
      <c r="C108" s="1871"/>
      <c r="D108" s="1871"/>
      <c r="E108" s="1871"/>
      <c r="F108" s="1863">
        <v>0.05</v>
      </c>
    </row>
    <row r="109" spans="1:6" ht="24.75" thickBot="1">
      <c r="A109" s="1865" t="s">
        <v>1408</v>
      </c>
      <c r="B109" s="1872" t="s">
        <v>2108</v>
      </c>
      <c r="C109" s="1868"/>
      <c r="D109" s="1868"/>
      <c r="E109" s="1868"/>
      <c r="F109" s="1873">
        <v>0.05</v>
      </c>
    </row>
    <row r="110" spans="1:6" ht="14.25" thickBot="1">
      <c r="A110" s="1857" t="s">
        <v>1410</v>
      </c>
      <c r="B110" s="1858" t="s">
        <v>2109</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2110</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2111</v>
      </c>
      <c r="C138" s="1862">
        <v>0.105</v>
      </c>
      <c r="D138" s="1862">
        <v>0.125</v>
      </c>
      <c r="E138" s="1862">
        <v>0.112</v>
      </c>
      <c r="F138" s="1870"/>
    </row>
    <row r="139" spans="1:6" ht="14.25" thickBot="1">
      <c r="A139" s="1857" t="s">
        <v>1410</v>
      </c>
      <c r="B139" s="1861" t="s">
        <v>2112</v>
      </c>
      <c r="C139" s="1862">
        <v>0.127</v>
      </c>
      <c r="D139" s="1862">
        <v>0.127</v>
      </c>
      <c r="E139" s="1862">
        <v>0.122</v>
      </c>
      <c r="F139" s="1863">
        <v>0.13</v>
      </c>
    </row>
    <row r="140" spans="1:6" ht="14.25" thickBot="1">
      <c r="A140" s="1857" t="s">
        <v>1410</v>
      </c>
      <c r="B140" s="1861" t="s">
        <v>2113</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2114</v>
      </c>
      <c r="C144" s="1875">
        <v>0.126</v>
      </c>
      <c r="D144" s="1875">
        <v>0.126</v>
      </c>
      <c r="E144" s="1875">
        <v>0.121</v>
      </c>
      <c r="F144" s="1870"/>
    </row>
    <row r="145" spans="1:6" ht="14.25" thickBot="1">
      <c r="A145" s="1865" t="s">
        <v>1410</v>
      </c>
      <c r="B145" s="1876" t="s">
        <v>2115</v>
      </c>
      <c r="C145" s="1877"/>
      <c r="D145" s="1877"/>
      <c r="E145" s="1877"/>
      <c r="F145" s="1878">
        <v>0.05</v>
      </c>
    </row>
    <row r="146" spans="1:6" ht="24.75" thickBot="1">
      <c r="A146" s="1879" t="s">
        <v>1410</v>
      </c>
      <c r="B146" s="1864" t="s">
        <v>2116</v>
      </c>
      <c r="C146" s="1871"/>
      <c r="D146" s="1871"/>
      <c r="E146" s="1871"/>
      <c r="F146" s="1880">
        <v>0.05</v>
      </c>
    </row>
    <row r="147" spans="1:6" ht="24.75" thickBot="1">
      <c r="A147" s="1857" t="s">
        <v>1410</v>
      </c>
      <c r="B147" s="1861" t="s">
        <v>2117</v>
      </c>
      <c r="C147" s="1871"/>
      <c r="D147" s="1871"/>
      <c r="E147" s="1871"/>
      <c r="F147" s="1863">
        <v>0.05</v>
      </c>
    </row>
    <row r="148" spans="1:6" ht="24.75" thickBot="1">
      <c r="A148" s="1857" t="s">
        <v>1410</v>
      </c>
      <c r="B148" s="1861" t="s">
        <v>2118</v>
      </c>
      <c r="C148" s="1871"/>
      <c r="D148" s="1871"/>
      <c r="E148" s="1871"/>
      <c r="F148" s="1863">
        <v>0.05</v>
      </c>
    </row>
    <row r="149" spans="1:6" ht="24.75" thickBot="1">
      <c r="A149" s="1857" t="s">
        <v>1410</v>
      </c>
      <c r="B149" s="1861" t="s">
        <v>2119</v>
      </c>
      <c r="C149" s="1871"/>
      <c r="D149" s="1871"/>
      <c r="E149" s="1871"/>
      <c r="F149" s="1863">
        <v>0.05</v>
      </c>
    </row>
    <row r="150" spans="1:6" ht="24.75" thickBot="1">
      <c r="A150" s="1857" t="s">
        <v>1410</v>
      </c>
      <c r="B150" s="1861" t="s">
        <v>2120</v>
      </c>
      <c r="C150" s="1871"/>
      <c r="D150" s="1871"/>
      <c r="E150" s="1871"/>
      <c r="F150" s="1863">
        <v>0.05</v>
      </c>
    </row>
    <row r="151" spans="1:6" ht="24.75" thickBot="1">
      <c r="A151" s="1857" t="s">
        <v>1410</v>
      </c>
      <c r="B151" s="1861" t="s">
        <v>2121</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2122</v>
      </c>
      <c r="C153" s="1871"/>
      <c r="D153" s="1871"/>
      <c r="E153" s="1871"/>
      <c r="F153" s="1863">
        <v>0.05</v>
      </c>
    </row>
    <row r="154" spans="1:6" ht="14.25" thickBot="1">
      <c r="A154" s="1857" t="s">
        <v>1410</v>
      </c>
      <c r="B154" s="1861" t="s">
        <v>2123</v>
      </c>
      <c r="C154" s="1871"/>
      <c r="D154" s="1871"/>
      <c r="E154" s="1871"/>
      <c r="F154" s="1863">
        <v>0.05</v>
      </c>
    </row>
    <row r="155" spans="1:6" ht="24.75" thickBot="1">
      <c r="A155" s="1857" t="s">
        <v>1410</v>
      </c>
      <c r="B155" s="1861" t="s">
        <v>2124</v>
      </c>
      <c r="C155" s="1871"/>
      <c r="D155" s="1871"/>
      <c r="E155" s="1871"/>
      <c r="F155" s="1863">
        <v>0.05</v>
      </c>
    </row>
    <row r="156" spans="1:6" ht="24.75" thickBot="1">
      <c r="A156" s="1857" t="s">
        <v>1410</v>
      </c>
      <c r="B156" s="1861" t="s">
        <v>2125</v>
      </c>
      <c r="C156" s="1871"/>
      <c r="D156" s="1871"/>
      <c r="E156" s="1871"/>
      <c r="F156" s="1863">
        <v>0.05</v>
      </c>
    </row>
    <row r="157" spans="1:6" ht="14.25" thickBot="1">
      <c r="A157" s="1865" t="s">
        <v>1410</v>
      </c>
      <c r="B157" s="1872" t="s">
        <v>2126</v>
      </c>
      <c r="C157" s="1868"/>
      <c r="D157" s="1868"/>
      <c r="E157" s="1868"/>
      <c r="F157" s="1873">
        <v>0.05</v>
      </c>
    </row>
    <row r="158" spans="1:6" ht="14.25" thickBot="1">
      <c r="A158" s="1857" t="s">
        <v>1412</v>
      </c>
      <c r="B158" s="1858" t="s">
        <v>2127</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2128</v>
      </c>
      <c r="C171" s="1862">
        <v>0.127</v>
      </c>
      <c r="D171" s="1862">
        <v>0.126</v>
      </c>
      <c r="E171" s="1862">
        <v>0.126</v>
      </c>
      <c r="F171" s="1863">
        <v>0.11799999999999999</v>
      </c>
    </row>
    <row r="172" spans="1:6" ht="14.25" thickBot="1">
      <c r="A172" s="1857" t="s">
        <v>1412</v>
      </c>
      <c r="B172" s="1861" t="s">
        <v>2129</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2130</v>
      </c>
      <c r="C174" s="1862">
        <v>0.13</v>
      </c>
      <c r="D174" s="1862">
        <v>0.13</v>
      </c>
      <c r="E174" s="1862">
        <v>0.13</v>
      </c>
      <c r="F174" s="1863">
        <v>0.13</v>
      </c>
    </row>
    <row r="175" spans="1:6" ht="14.25" thickBot="1">
      <c r="A175" s="1857" t="s">
        <v>1412</v>
      </c>
      <c r="B175" s="1861" t="s">
        <v>2131</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2132</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2133</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2134</v>
      </c>
      <c r="C185" s="1862">
        <v>0.127</v>
      </c>
      <c r="D185" s="1862">
        <v>0.127</v>
      </c>
      <c r="E185" s="1862">
        <v>0.128</v>
      </c>
      <c r="F185" s="1863">
        <v>0.13</v>
      </c>
    </row>
    <row r="186" spans="1:6" ht="24.75" thickBot="1">
      <c r="A186" s="1857" t="s">
        <v>1412</v>
      </c>
      <c r="B186" s="1861" t="s">
        <v>2135</v>
      </c>
      <c r="C186" s="1871"/>
      <c r="D186" s="1871"/>
      <c r="E186" s="1871"/>
      <c r="F186" s="1863">
        <v>0.05</v>
      </c>
    </row>
    <row r="187" spans="1:6" ht="14.25" thickBot="1">
      <c r="A187" s="1857" t="s">
        <v>1412</v>
      </c>
      <c r="B187" s="1861" t="s">
        <v>2136</v>
      </c>
      <c r="C187" s="1871"/>
      <c r="D187" s="1871"/>
      <c r="E187" s="1871"/>
      <c r="F187" s="1863">
        <v>0.05</v>
      </c>
    </row>
    <row r="188" spans="1:6" ht="14.25" thickBot="1">
      <c r="A188" s="1857" t="s">
        <v>1412</v>
      </c>
      <c r="B188" s="1861" t="s">
        <v>2137</v>
      </c>
      <c r="C188" s="1871"/>
      <c r="D188" s="1871"/>
      <c r="E188" s="1871"/>
      <c r="F188" s="1863">
        <v>0.05</v>
      </c>
    </row>
    <row r="189" spans="1:6" ht="24.75" thickBot="1">
      <c r="A189" s="1857" t="s">
        <v>1412</v>
      </c>
      <c r="B189" s="1861" t="s">
        <v>2138</v>
      </c>
      <c r="C189" s="1871"/>
      <c r="D189" s="1871"/>
      <c r="E189" s="1871"/>
      <c r="F189" s="1863">
        <v>0.05</v>
      </c>
    </row>
    <row r="190" spans="1:6" ht="24.75" thickBot="1">
      <c r="A190" s="1857" t="s">
        <v>1412</v>
      </c>
      <c r="B190" s="1861" t="s">
        <v>2139</v>
      </c>
      <c r="C190" s="1871"/>
      <c r="D190" s="1871"/>
      <c r="E190" s="1871"/>
      <c r="F190" s="1863">
        <v>0.05</v>
      </c>
    </row>
    <row r="191" spans="1:6" ht="24.75" thickBot="1">
      <c r="A191" s="1857" t="s">
        <v>1412</v>
      </c>
      <c r="B191" s="1861" t="s">
        <v>2140</v>
      </c>
      <c r="C191" s="1871"/>
      <c r="D191" s="1871"/>
      <c r="E191" s="1871"/>
      <c r="F191" s="1863">
        <v>0.05</v>
      </c>
    </row>
    <row r="192" spans="1:6" ht="24.75" thickBot="1">
      <c r="A192" s="1857" t="s">
        <v>1412</v>
      </c>
      <c r="B192" s="1861" t="s">
        <v>2141</v>
      </c>
      <c r="C192" s="1871"/>
      <c r="D192" s="1871"/>
      <c r="E192" s="1871"/>
      <c r="F192" s="1863">
        <v>0.05</v>
      </c>
    </row>
    <row r="193" spans="1:6" ht="24.75" thickBot="1">
      <c r="A193" s="1857" t="s">
        <v>1412</v>
      </c>
      <c r="B193" s="1861" t="s">
        <v>2142</v>
      </c>
      <c r="C193" s="1871"/>
      <c r="D193" s="1871"/>
      <c r="E193" s="1871"/>
      <c r="F193" s="1863">
        <v>0.05</v>
      </c>
    </row>
    <row r="194" spans="1:6" ht="24.75" thickBot="1">
      <c r="A194" s="1857" t="s">
        <v>1412</v>
      </c>
      <c r="B194" s="1861" t="s">
        <v>2143</v>
      </c>
      <c r="C194" s="1871"/>
      <c r="D194" s="1871"/>
      <c r="E194" s="1871"/>
      <c r="F194" s="1863">
        <v>0.05</v>
      </c>
    </row>
    <row r="195" spans="1:6" ht="14.25" thickBot="1">
      <c r="A195" s="1857" t="s">
        <v>1412</v>
      </c>
      <c r="B195" s="1861" t="s">
        <v>2144</v>
      </c>
      <c r="C195" s="1871"/>
      <c r="D195" s="1871"/>
      <c r="E195" s="1871"/>
      <c r="F195" s="1863">
        <v>0.05</v>
      </c>
    </row>
    <row r="196" spans="1:6" ht="24.75" thickBot="1">
      <c r="A196" s="1857" t="s">
        <v>1412</v>
      </c>
      <c r="B196" s="1861" t="s">
        <v>2145</v>
      </c>
      <c r="C196" s="1871"/>
      <c r="D196" s="1871"/>
      <c r="E196" s="1871"/>
      <c r="F196" s="1863">
        <v>0.05</v>
      </c>
    </row>
    <row r="197" spans="1:6" ht="24.75" thickBot="1">
      <c r="A197" s="1857" t="s">
        <v>1412</v>
      </c>
      <c r="B197" s="1861" t="s">
        <v>2146</v>
      </c>
      <c r="C197" s="1871"/>
      <c r="D197" s="1871"/>
      <c r="E197" s="1871"/>
      <c r="F197" s="1863">
        <v>0.05</v>
      </c>
    </row>
    <row r="198" spans="1:6" ht="24.75" thickBot="1">
      <c r="A198" s="1857" t="s">
        <v>1412</v>
      </c>
      <c r="B198" s="1861" t="s">
        <v>2147</v>
      </c>
      <c r="C198" s="1871"/>
      <c r="D198" s="1871"/>
      <c r="E198" s="1871"/>
      <c r="F198" s="1863">
        <v>0.05</v>
      </c>
    </row>
    <row r="199" spans="1:6" ht="24.75" thickBot="1">
      <c r="A199" s="1857" t="s">
        <v>1412</v>
      </c>
      <c r="B199" s="1861" t="s">
        <v>2148</v>
      </c>
      <c r="C199" s="1871"/>
      <c r="D199" s="1871"/>
      <c r="E199" s="1871"/>
      <c r="F199" s="1863">
        <v>0.05</v>
      </c>
    </row>
    <row r="200" spans="1:6" ht="24.75" thickBot="1">
      <c r="A200" s="1857" t="s">
        <v>1412</v>
      </c>
      <c r="B200" s="1861" t="s">
        <v>2149</v>
      </c>
      <c r="C200" s="1871"/>
      <c r="D200" s="1871"/>
      <c r="E200" s="1871"/>
      <c r="F200" s="1863">
        <v>0.05</v>
      </c>
    </row>
    <row r="201" spans="1:6" ht="24.75" thickBot="1">
      <c r="A201" s="1857" t="s">
        <v>1412</v>
      </c>
      <c r="B201" s="1861" t="s">
        <v>2150</v>
      </c>
      <c r="C201" s="1871"/>
      <c r="D201" s="1871"/>
      <c r="E201" s="1871"/>
      <c r="F201" s="1863">
        <v>0.05</v>
      </c>
    </row>
    <row r="202" spans="1:6" ht="24.75" thickBot="1">
      <c r="A202" s="1857" t="s">
        <v>1412</v>
      </c>
      <c r="B202" s="1861" t="s">
        <v>2151</v>
      </c>
      <c r="C202" s="1871"/>
      <c r="D202" s="1871"/>
      <c r="E202" s="1871"/>
      <c r="F202" s="1863">
        <v>0.05</v>
      </c>
    </row>
    <row r="203" spans="1:6" ht="24.75" thickBot="1">
      <c r="A203" s="1857" t="s">
        <v>1412</v>
      </c>
      <c r="B203" s="1861" t="s">
        <v>2152</v>
      </c>
      <c r="C203" s="1871"/>
      <c r="D203" s="1871"/>
      <c r="E203" s="1871"/>
      <c r="F203" s="1863">
        <v>0.05</v>
      </c>
    </row>
    <row r="204" spans="1:6" ht="14.25" thickBot="1">
      <c r="A204" s="1857" t="s">
        <v>1412</v>
      </c>
      <c r="B204" s="1861" t="s">
        <v>2153</v>
      </c>
      <c r="C204" s="1871"/>
      <c r="D204" s="1871"/>
      <c r="E204" s="1871"/>
      <c r="F204" s="1863">
        <v>0.05</v>
      </c>
    </row>
    <row r="205" spans="1:6" ht="14.25" thickBot="1">
      <c r="A205" s="1865" t="s">
        <v>1412</v>
      </c>
      <c r="B205" s="1872" t="s">
        <v>2154</v>
      </c>
      <c r="C205" s="1868"/>
      <c r="D205" s="1868"/>
      <c r="E205" s="1868"/>
      <c r="F205" s="1873">
        <v>0.05</v>
      </c>
    </row>
    <row r="206" spans="1:6" ht="14.25" thickBot="1">
      <c r="A206" s="1857" t="s">
        <v>1414</v>
      </c>
      <c r="B206" s="1858" t="s">
        <v>2155</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2156</v>
      </c>
      <c r="C210" s="1862">
        <v>0.15</v>
      </c>
      <c r="D210" s="1862">
        <v>0.15</v>
      </c>
      <c r="E210" s="1862">
        <v>0.15</v>
      </c>
      <c r="F210" s="1863">
        <v>0.13800000000000001</v>
      </c>
    </row>
    <row r="211" spans="1:6" ht="14.25" thickBot="1">
      <c r="A211" s="1857" t="s">
        <v>1414</v>
      </c>
      <c r="B211" s="1861" t="s">
        <v>2157</v>
      </c>
      <c r="C211" s="1862">
        <v>0.13700000000000001</v>
      </c>
      <c r="D211" s="1862">
        <v>0.13500000000000001</v>
      </c>
      <c r="E211" s="1862">
        <v>0.13600000000000001</v>
      </c>
      <c r="F211" s="1863">
        <v>0.1</v>
      </c>
    </row>
    <row r="212" spans="1:6" ht="14.25" thickBot="1">
      <c r="A212" s="1857" t="s">
        <v>1414</v>
      </c>
      <c r="B212" s="1861" t="s">
        <v>2158</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2159</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2160</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2161</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2162</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2163</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2164</v>
      </c>
      <c r="C231" s="1862">
        <v>0.128</v>
      </c>
      <c r="D231" s="1862">
        <v>0.125</v>
      </c>
      <c r="E231" s="1862">
        <v>0.13200000000000001</v>
      </c>
      <c r="F231" s="1870"/>
    </row>
    <row r="232" spans="1:6" ht="14.25" thickBot="1">
      <c r="A232" s="1857" t="s">
        <v>1414</v>
      </c>
      <c r="B232" s="1861" t="s">
        <v>2165</v>
      </c>
      <c r="C232" s="1862">
        <v>0.14499999999999999</v>
      </c>
      <c r="D232" s="1862">
        <v>0.14399999999999999</v>
      </c>
      <c r="E232" s="1862">
        <v>0.14599999999999999</v>
      </c>
      <c r="F232" s="1863">
        <v>0.13800000000000001</v>
      </c>
    </row>
    <row r="233" spans="1:6" ht="14.25" thickBot="1">
      <c r="A233" s="1857" t="s">
        <v>1414</v>
      </c>
      <c r="B233" s="1861" t="s">
        <v>2166</v>
      </c>
      <c r="C233" s="1862">
        <v>0.14499999999999999</v>
      </c>
      <c r="D233" s="1862">
        <v>0.14299999999999999</v>
      </c>
      <c r="E233" s="1862">
        <v>0.14199999999999999</v>
      </c>
      <c r="F233" s="1870"/>
    </row>
    <row r="234" spans="1:6" ht="14.25" thickBot="1">
      <c r="A234" s="1857" t="s">
        <v>1414</v>
      </c>
      <c r="B234" s="1861" t="s">
        <v>2167</v>
      </c>
      <c r="C234" s="1862">
        <v>0.14000000000000001</v>
      </c>
      <c r="D234" s="1862">
        <v>0.14000000000000001</v>
      </c>
      <c r="E234" s="1862">
        <v>0.14399999999999999</v>
      </c>
      <c r="F234" s="1870"/>
    </row>
    <row r="235" spans="1:6" ht="14.25" thickBot="1">
      <c r="A235" s="1857" t="s">
        <v>1414</v>
      </c>
      <c r="B235" s="1861" t="s">
        <v>2168</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2169</v>
      </c>
      <c r="C237" s="1871"/>
      <c r="D237" s="1871"/>
      <c r="E237" s="1871"/>
      <c r="F237" s="1863">
        <v>0.05</v>
      </c>
    </row>
    <row r="238" spans="1:6" ht="24.75" thickBot="1">
      <c r="A238" s="1857" t="s">
        <v>1414</v>
      </c>
      <c r="B238" s="1861" t="s">
        <v>2170</v>
      </c>
      <c r="C238" s="1871"/>
      <c r="D238" s="1871"/>
      <c r="E238" s="1871"/>
      <c r="F238" s="1863">
        <v>0.05</v>
      </c>
    </row>
    <row r="239" spans="1:6" ht="24.75" thickBot="1">
      <c r="A239" s="1857" t="s">
        <v>1414</v>
      </c>
      <c r="B239" s="1861" t="s">
        <v>2171</v>
      </c>
      <c r="C239" s="1871"/>
      <c r="D239" s="1871"/>
      <c r="E239" s="1871"/>
      <c r="F239" s="1863">
        <v>0.05</v>
      </c>
    </row>
    <row r="240" spans="1:6" ht="24.75" thickBot="1">
      <c r="A240" s="1857" t="s">
        <v>1414</v>
      </c>
      <c r="B240" s="1861" t="s">
        <v>2172</v>
      </c>
      <c r="C240" s="1871"/>
      <c r="D240" s="1871"/>
      <c r="E240" s="1871"/>
      <c r="F240" s="1863">
        <v>0.05</v>
      </c>
    </row>
    <row r="241" spans="1:6" ht="24.75" thickBot="1">
      <c r="A241" s="1857" t="s">
        <v>1414</v>
      </c>
      <c r="B241" s="1861" t="s">
        <v>2173</v>
      </c>
      <c r="C241" s="1871"/>
      <c r="D241" s="1871"/>
      <c r="E241" s="1871"/>
      <c r="F241" s="1863">
        <v>0.05</v>
      </c>
    </row>
    <row r="242" spans="1:6" ht="24.75" thickBot="1">
      <c r="A242" s="1857" t="s">
        <v>1414</v>
      </c>
      <c r="B242" s="1861" t="s">
        <v>2174</v>
      </c>
      <c r="C242" s="1871"/>
      <c r="D242" s="1871"/>
      <c r="E242" s="1871"/>
      <c r="F242" s="1863">
        <v>0.05</v>
      </c>
    </row>
    <row r="243" spans="1:6" ht="24.75" thickBot="1">
      <c r="A243" s="1857" t="s">
        <v>1414</v>
      </c>
      <c r="B243" s="1861" t="s">
        <v>2175</v>
      </c>
      <c r="C243" s="1871"/>
      <c r="D243" s="1871"/>
      <c r="E243" s="1871"/>
      <c r="F243" s="1863">
        <v>0.05</v>
      </c>
    </row>
    <row r="244" spans="1:6" ht="24.75" thickBot="1">
      <c r="A244" s="1865" t="s">
        <v>1414</v>
      </c>
      <c r="B244" s="1872" t="s">
        <v>2176</v>
      </c>
      <c r="C244" s="1868"/>
      <c r="D244" s="1868"/>
      <c r="E244" s="1868"/>
      <c r="F244" s="1873">
        <v>0.05</v>
      </c>
    </row>
    <row r="245" spans="1:6" ht="14.25" thickBot="1">
      <c r="A245" s="1857" t="s">
        <v>1416</v>
      </c>
      <c r="B245" s="1858" t="s">
        <v>2177</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2178</v>
      </c>
      <c r="C247" s="1862">
        <v>0.15</v>
      </c>
      <c r="D247" s="1862">
        <v>0.15</v>
      </c>
      <c r="E247" s="1862">
        <v>0.15</v>
      </c>
      <c r="F247" s="1863">
        <v>0.15</v>
      </c>
    </row>
    <row r="248" spans="1:6" ht="14.25" thickBot="1">
      <c r="A248" s="1857" t="s">
        <v>1416</v>
      </c>
      <c r="B248" s="1861" t="s">
        <v>2179</v>
      </c>
      <c r="C248" s="1862">
        <v>0.15</v>
      </c>
      <c r="D248" s="1862">
        <v>0.15</v>
      </c>
      <c r="E248" s="1862">
        <v>0.15</v>
      </c>
      <c r="F248" s="1863">
        <v>0.14000000000000001</v>
      </c>
    </row>
    <row r="249" spans="1:6" ht="14.25" thickBot="1">
      <c r="A249" s="1857" t="s">
        <v>1416</v>
      </c>
      <c r="B249" s="1861" t="s">
        <v>2180</v>
      </c>
      <c r="C249" s="1862">
        <v>0.15</v>
      </c>
      <c r="D249" s="1862">
        <v>0.14899999999999999</v>
      </c>
      <c r="E249" s="1862">
        <v>0.15</v>
      </c>
      <c r="F249" s="1863">
        <v>0.1</v>
      </c>
    </row>
    <row r="250" spans="1:6" ht="14.25" thickBot="1">
      <c r="A250" s="1857" t="s">
        <v>1416</v>
      </c>
      <c r="B250" s="1861" t="s">
        <v>2181</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2182</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2183</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2184</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2185</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2186</v>
      </c>
      <c r="C273" s="1862">
        <v>0.14199999999999999</v>
      </c>
      <c r="D273" s="1862">
        <v>0.14299999999999999</v>
      </c>
      <c r="E273" s="1862">
        <v>0.15</v>
      </c>
      <c r="F273" s="1863">
        <v>0.1</v>
      </c>
    </row>
    <row r="274" spans="1:6" ht="14.25" thickBot="1">
      <c r="A274" s="1857" t="s">
        <v>1416</v>
      </c>
      <c r="B274" s="1861" t="s">
        <v>2187</v>
      </c>
      <c r="C274" s="1862">
        <v>0.14799999999999999</v>
      </c>
      <c r="D274" s="1862">
        <v>0.14799999999999999</v>
      </c>
      <c r="E274" s="1862">
        <v>0.15</v>
      </c>
      <c r="F274" s="1863">
        <v>6.7000000000000004E-2</v>
      </c>
    </row>
    <row r="275" spans="1:6" ht="14.25" thickBot="1">
      <c r="A275" s="1857" t="s">
        <v>1416</v>
      </c>
      <c r="B275" s="1861" t="s">
        <v>2188</v>
      </c>
      <c r="C275" s="1862">
        <v>0.15</v>
      </c>
      <c r="D275" s="1862">
        <v>0.15</v>
      </c>
      <c r="E275" s="1862">
        <v>0.15</v>
      </c>
      <c r="F275" s="1863">
        <v>0.15</v>
      </c>
    </row>
    <row r="276" spans="1:6" ht="14.25" thickBot="1">
      <c r="A276" s="1857" t="s">
        <v>1416</v>
      </c>
      <c r="B276" s="1861" t="s">
        <v>2189</v>
      </c>
      <c r="C276" s="1862">
        <v>0.14499999999999999</v>
      </c>
      <c r="D276" s="1862">
        <v>0.14299999999999999</v>
      </c>
      <c r="E276" s="1862">
        <v>0.15</v>
      </c>
      <c r="F276" s="1863">
        <v>5.8999999999999997E-2</v>
      </c>
    </row>
    <row r="277" spans="1:6" ht="14.25" thickBot="1">
      <c r="A277" s="1857" t="s">
        <v>1416</v>
      </c>
      <c r="B277" s="1861" t="s">
        <v>2190</v>
      </c>
      <c r="C277" s="1862">
        <v>0.15</v>
      </c>
      <c r="D277" s="1862">
        <v>0.15</v>
      </c>
      <c r="E277" s="1862">
        <v>0.15</v>
      </c>
      <c r="F277" s="1863">
        <v>0.121</v>
      </c>
    </row>
    <row r="278" spans="1:6" ht="14.25" thickBot="1">
      <c r="A278" s="1857" t="s">
        <v>1416</v>
      </c>
      <c r="B278" s="1861" t="s">
        <v>2191</v>
      </c>
      <c r="C278" s="1862">
        <v>0.15</v>
      </c>
      <c r="D278" s="1862">
        <v>0.15</v>
      </c>
      <c r="E278" s="1862">
        <v>0.15</v>
      </c>
      <c r="F278" s="1863">
        <v>0.13800000000000001</v>
      </c>
    </row>
    <row r="279" spans="1:6" ht="24.75" thickBot="1">
      <c r="A279" s="1857" t="s">
        <v>1416</v>
      </c>
      <c r="B279" s="1861" t="s">
        <v>2192</v>
      </c>
      <c r="C279" s="1871"/>
      <c r="D279" s="1871"/>
      <c r="E279" s="1871"/>
      <c r="F279" s="1863">
        <v>0.05</v>
      </c>
    </row>
    <row r="280" spans="1:6" ht="24.75" thickBot="1">
      <c r="A280" s="1857" t="s">
        <v>1416</v>
      </c>
      <c r="B280" s="1861" t="s">
        <v>2193</v>
      </c>
      <c r="C280" s="1871"/>
      <c r="D280" s="1871"/>
      <c r="E280" s="1871"/>
      <c r="F280" s="1863">
        <v>0.05</v>
      </c>
    </row>
    <row r="281" spans="1:6" ht="24.75" thickBot="1">
      <c r="A281" s="1857" t="s">
        <v>1416</v>
      </c>
      <c r="B281" s="1861" t="s">
        <v>2194</v>
      </c>
      <c r="C281" s="1871"/>
      <c r="D281" s="1871"/>
      <c r="E281" s="1871"/>
      <c r="F281" s="1863">
        <v>0.05</v>
      </c>
    </row>
    <row r="282" spans="1:6" ht="24.75" thickBot="1">
      <c r="A282" s="1857" t="s">
        <v>1416</v>
      </c>
      <c r="B282" s="1861" t="s">
        <v>2195</v>
      </c>
      <c r="C282" s="1871"/>
      <c r="D282" s="1871"/>
      <c r="E282" s="1871"/>
      <c r="F282" s="1863">
        <v>0.05</v>
      </c>
    </row>
    <row r="283" spans="1:6" ht="24.75" thickBot="1">
      <c r="A283" s="1857" t="s">
        <v>1416</v>
      </c>
      <c r="B283" s="1861" t="s">
        <v>2196</v>
      </c>
      <c r="C283" s="1871"/>
      <c r="D283" s="1871"/>
      <c r="E283" s="1871"/>
      <c r="F283" s="1863">
        <v>0.05</v>
      </c>
    </row>
    <row r="284" spans="1:6" ht="24.75" thickBot="1">
      <c r="A284" s="1857" t="s">
        <v>1416</v>
      </c>
      <c r="B284" s="1861" t="s">
        <v>2197</v>
      </c>
      <c r="C284" s="1871"/>
      <c r="D284" s="1871"/>
      <c r="E284" s="1871"/>
      <c r="F284" s="1863">
        <v>0.05</v>
      </c>
    </row>
    <row r="285" spans="1:6" ht="24.75" thickBot="1">
      <c r="A285" s="1857" t="s">
        <v>1416</v>
      </c>
      <c r="B285" s="1861" t="s">
        <v>2198</v>
      </c>
      <c r="C285" s="1871"/>
      <c r="D285" s="1871"/>
      <c r="E285" s="1871"/>
      <c r="F285" s="1863">
        <v>0.05</v>
      </c>
    </row>
    <row r="286" spans="1:6" ht="24.75" thickBot="1">
      <c r="A286" s="1857" t="s">
        <v>1416</v>
      </c>
      <c r="B286" s="1861" t="s">
        <v>2199</v>
      </c>
      <c r="C286" s="1871"/>
      <c r="D286" s="1871"/>
      <c r="E286" s="1871"/>
      <c r="F286" s="1863">
        <v>0.05</v>
      </c>
    </row>
    <row r="287" spans="1:6" ht="24.75" thickBot="1">
      <c r="A287" s="1857" t="s">
        <v>1416</v>
      </c>
      <c r="B287" s="1861" t="s">
        <v>2200</v>
      </c>
      <c r="C287" s="1871"/>
      <c r="D287" s="1871"/>
      <c r="E287" s="1871"/>
      <c r="F287" s="1863">
        <v>0.05</v>
      </c>
    </row>
    <row r="288" spans="1:6" ht="24.75" thickBot="1">
      <c r="A288" s="1857" t="s">
        <v>1416</v>
      </c>
      <c r="B288" s="1861" t="s">
        <v>2201</v>
      </c>
      <c r="C288" s="1871"/>
      <c r="D288" s="1871"/>
      <c r="E288" s="1871"/>
      <c r="F288" s="1863">
        <v>0.05</v>
      </c>
    </row>
    <row r="289" spans="1:6" ht="24.75" thickBot="1">
      <c r="A289" s="1865" t="s">
        <v>1416</v>
      </c>
      <c r="B289" s="1872" t="s">
        <v>2202</v>
      </c>
      <c r="C289" s="1868"/>
      <c r="D289" s="1868"/>
      <c r="E289" s="1868"/>
      <c r="F289" s="1873">
        <v>0.05</v>
      </c>
    </row>
    <row r="290" spans="1:6" ht="14.25" thickBot="1">
      <c r="A290" s="1857" t="s">
        <v>1420</v>
      </c>
      <c r="B290" s="1858" t="s">
        <v>2203</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2204</v>
      </c>
      <c r="C292" s="1862">
        <v>0.15</v>
      </c>
      <c r="D292" s="1862">
        <v>0.15</v>
      </c>
      <c r="E292" s="1862">
        <v>0.15</v>
      </c>
      <c r="F292" s="1863">
        <v>0.14699999999999999</v>
      </c>
    </row>
    <row r="293" spans="1:6" ht="14.25" thickBot="1">
      <c r="A293" s="1857" t="s">
        <v>1420</v>
      </c>
      <c r="B293" s="1861" t="s">
        <v>2205</v>
      </c>
      <c r="C293" s="1871"/>
      <c r="D293" s="1871"/>
      <c r="E293" s="1871"/>
      <c r="F293" s="1863">
        <v>0.1</v>
      </c>
    </row>
    <row r="294" spans="1:6" ht="14.25" thickBot="1">
      <c r="A294" s="1857" t="s">
        <v>1420</v>
      </c>
      <c r="B294" s="1861" t="s">
        <v>2206</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2207</v>
      </c>
      <c r="C296" s="1862">
        <v>0.15</v>
      </c>
      <c r="D296" s="1862">
        <v>0.15</v>
      </c>
      <c r="E296" s="1862">
        <v>0.15</v>
      </c>
      <c r="F296" s="1863">
        <v>0.15</v>
      </c>
    </row>
    <row r="297" spans="1:6" ht="14.25" thickBot="1">
      <c r="A297" s="1857" t="s">
        <v>1420</v>
      </c>
      <c r="B297" s="1861" t="s">
        <v>2208</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2209</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2210</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2211</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2212</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2213</v>
      </c>
      <c r="C310" s="1862">
        <v>0.15</v>
      </c>
      <c r="D310" s="1862">
        <v>0.15</v>
      </c>
      <c r="E310" s="1862">
        <v>0.15</v>
      </c>
      <c r="F310" s="1863">
        <v>0.13700000000000001</v>
      </c>
    </row>
    <row r="311" spans="1:6" ht="14.25" thickBot="1">
      <c r="A311" s="1857" t="s">
        <v>1420</v>
      </c>
      <c r="B311" s="1861" t="s">
        <v>2214</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2215</v>
      </c>
      <c r="C313" s="1862">
        <v>0.15</v>
      </c>
      <c r="D313" s="1862">
        <v>0.15</v>
      </c>
      <c r="E313" s="1862">
        <v>0.15</v>
      </c>
      <c r="F313" s="1863">
        <v>0.15</v>
      </c>
    </row>
    <row r="314" spans="1:6" ht="24.75" thickBot="1">
      <c r="A314" s="1857" t="s">
        <v>1420</v>
      </c>
      <c r="B314" s="1861" t="s">
        <v>2216</v>
      </c>
      <c r="C314" s="1871"/>
      <c r="D314" s="1871"/>
      <c r="E314" s="1871"/>
      <c r="F314" s="1863">
        <v>0.05</v>
      </c>
    </row>
    <row r="315" spans="1:6" ht="24.75" thickBot="1">
      <c r="A315" s="1857" t="s">
        <v>1420</v>
      </c>
      <c r="B315" s="1861" t="s">
        <v>2217</v>
      </c>
      <c r="C315" s="1871"/>
      <c r="D315" s="1871"/>
      <c r="E315" s="1871"/>
      <c r="F315" s="1863">
        <v>0.05</v>
      </c>
    </row>
    <row r="316" spans="1:6" ht="24.75" thickBot="1">
      <c r="A316" s="1865" t="s">
        <v>1420</v>
      </c>
      <c r="B316" s="1872" t="s">
        <v>2218</v>
      </c>
      <c r="C316" s="1868"/>
      <c r="D316" s="1868"/>
      <c r="E316" s="1868"/>
      <c r="F316" s="1873">
        <v>0.05</v>
      </c>
    </row>
    <row r="317" spans="1:6" ht="14.25" thickBot="1">
      <c r="A317" s="1857" t="s">
        <v>2219</v>
      </c>
      <c r="B317" s="1858" t="s">
        <v>2220</v>
      </c>
      <c r="C317" s="1859">
        <v>0.15</v>
      </c>
      <c r="D317" s="1859">
        <v>0.15</v>
      </c>
      <c r="E317" s="1859">
        <v>0.15</v>
      </c>
      <c r="F317" s="1860">
        <v>0.15</v>
      </c>
    </row>
    <row r="318" spans="1:6" ht="14.25" thickBot="1">
      <c r="A318" s="1857" t="s">
        <v>2219</v>
      </c>
      <c r="B318" s="1861" t="s">
        <v>2221</v>
      </c>
      <c r="C318" s="1862">
        <v>0.107</v>
      </c>
      <c r="D318" s="1862">
        <v>0.11</v>
      </c>
      <c r="E318" s="1862">
        <v>0.112</v>
      </c>
      <c r="F318" s="1870"/>
    </row>
    <row r="319" spans="1:6" ht="14.25" thickBot="1">
      <c r="A319" s="1857" t="s">
        <v>2219</v>
      </c>
      <c r="B319" s="1861" t="s">
        <v>2222</v>
      </c>
      <c r="C319" s="1862">
        <v>0.15</v>
      </c>
      <c r="D319" s="1862">
        <v>0.15</v>
      </c>
      <c r="E319" s="1862">
        <v>0.15</v>
      </c>
      <c r="F319" s="1863">
        <v>0.15</v>
      </c>
    </row>
    <row r="320" spans="1:6" ht="14.25" thickBot="1">
      <c r="A320" s="1857" t="s">
        <v>2219</v>
      </c>
      <c r="B320" s="1861" t="s">
        <v>1108</v>
      </c>
      <c r="C320" s="1862">
        <v>0.15</v>
      </c>
      <c r="D320" s="1862">
        <v>0.15</v>
      </c>
      <c r="E320" s="1862">
        <v>0.15</v>
      </c>
      <c r="F320" s="1870"/>
    </row>
    <row r="321" spans="1:6" ht="14.25" thickBot="1">
      <c r="A321" s="1857" t="s">
        <v>2219</v>
      </c>
      <c r="B321" s="1861" t="s">
        <v>2223</v>
      </c>
      <c r="C321" s="1862">
        <v>0.15</v>
      </c>
      <c r="D321" s="1862">
        <v>0.15</v>
      </c>
      <c r="E321" s="1862">
        <v>0.15</v>
      </c>
      <c r="F321" s="1870"/>
    </row>
    <row r="322" spans="1:6" ht="14.25" thickBot="1">
      <c r="A322" s="1857" t="s">
        <v>2219</v>
      </c>
      <c r="B322" s="1861" t="s">
        <v>2224</v>
      </c>
      <c r="C322" s="1862">
        <v>0.15</v>
      </c>
      <c r="D322" s="1862">
        <v>0.15</v>
      </c>
      <c r="E322" s="1862">
        <v>0.15</v>
      </c>
      <c r="F322" s="1863">
        <v>0.15</v>
      </c>
    </row>
    <row r="323" spans="1:6" ht="14.25" thickBot="1">
      <c r="A323" s="1857" t="s">
        <v>2219</v>
      </c>
      <c r="B323" s="1861" t="s">
        <v>2225</v>
      </c>
      <c r="C323" s="1862">
        <v>0.15</v>
      </c>
      <c r="D323" s="1862">
        <v>0.15</v>
      </c>
      <c r="E323" s="1862">
        <v>0.15</v>
      </c>
      <c r="F323" s="1870"/>
    </row>
    <row r="324" spans="1:6" ht="14.25" thickBot="1">
      <c r="A324" s="1857" t="s">
        <v>2219</v>
      </c>
      <c r="B324" s="1861" t="s">
        <v>2226</v>
      </c>
      <c r="C324" s="1862">
        <v>0.15</v>
      </c>
      <c r="D324" s="1862">
        <v>0.15</v>
      </c>
      <c r="E324" s="1862">
        <v>0.15</v>
      </c>
      <c r="F324" s="1870"/>
    </row>
    <row r="325" spans="1:6" ht="14.25" thickBot="1">
      <c r="A325" s="1857" t="s">
        <v>2219</v>
      </c>
      <c r="B325" s="1861" t="s">
        <v>2227</v>
      </c>
      <c r="C325" s="1862">
        <v>0.15</v>
      </c>
      <c r="D325" s="1862">
        <v>0.15</v>
      </c>
      <c r="E325" s="1862">
        <v>0.15</v>
      </c>
      <c r="F325" s="1863">
        <v>0.14699999999999999</v>
      </c>
    </row>
    <row r="326" spans="1:6" ht="14.25" thickBot="1">
      <c r="A326" s="1857" t="s">
        <v>2219</v>
      </c>
      <c r="B326" s="1861" t="s">
        <v>1177</v>
      </c>
      <c r="C326" s="1862">
        <v>0.15</v>
      </c>
      <c r="D326" s="1862">
        <v>0.15</v>
      </c>
      <c r="E326" s="1862">
        <v>0.15</v>
      </c>
      <c r="F326" s="1870"/>
    </row>
    <row r="327" spans="1:6" ht="14.25" thickBot="1">
      <c r="A327" s="1857" t="s">
        <v>2219</v>
      </c>
      <c r="B327" s="1861" t="s">
        <v>2228</v>
      </c>
      <c r="C327" s="1862">
        <v>0.15</v>
      </c>
      <c r="D327" s="1862">
        <v>0.15</v>
      </c>
      <c r="E327" s="1862">
        <v>0.15</v>
      </c>
      <c r="F327" s="1863">
        <v>0.15</v>
      </c>
    </row>
    <row r="328" spans="1:6" ht="14.25" thickBot="1">
      <c r="A328" s="1857" t="s">
        <v>2219</v>
      </c>
      <c r="B328" s="1861" t="s">
        <v>1197</v>
      </c>
      <c r="C328" s="1862">
        <v>0.15</v>
      </c>
      <c r="D328" s="1862">
        <v>0.15</v>
      </c>
      <c r="E328" s="1862">
        <v>0.15</v>
      </c>
      <c r="F328" s="1863">
        <v>0.14099999999999999</v>
      </c>
    </row>
    <row r="329" spans="1:6" ht="14.25" thickBot="1">
      <c r="A329" s="1857" t="s">
        <v>2219</v>
      </c>
      <c r="B329" s="1861" t="s">
        <v>1207</v>
      </c>
      <c r="C329" s="1862">
        <v>0.15</v>
      </c>
      <c r="D329" s="1862">
        <v>0.15</v>
      </c>
      <c r="E329" s="1862">
        <v>0.15</v>
      </c>
      <c r="F329" s="1863">
        <v>0.15</v>
      </c>
    </row>
    <row r="330" spans="1:6" ht="14.25" thickBot="1">
      <c r="A330" s="1857" t="s">
        <v>2219</v>
      </c>
      <c r="B330" s="1861" t="s">
        <v>1217</v>
      </c>
      <c r="C330" s="1862">
        <v>0.15</v>
      </c>
      <c r="D330" s="1862">
        <v>0.15</v>
      </c>
      <c r="E330" s="1862">
        <v>0.15</v>
      </c>
      <c r="F330" s="1870"/>
    </row>
    <row r="331" spans="1:6" ht="14.25" thickBot="1">
      <c r="A331" s="1857" t="s">
        <v>2219</v>
      </c>
      <c r="B331" s="1861" t="s">
        <v>2229</v>
      </c>
      <c r="C331" s="1862">
        <v>0.15</v>
      </c>
      <c r="D331" s="1862">
        <v>0.15</v>
      </c>
      <c r="E331" s="1862">
        <v>0.15</v>
      </c>
      <c r="F331" s="1863">
        <v>0.15</v>
      </c>
    </row>
    <row r="332" spans="1:6" ht="14.25" thickBot="1">
      <c r="A332" s="1857" t="s">
        <v>2219</v>
      </c>
      <c r="B332" s="1861" t="s">
        <v>1237</v>
      </c>
      <c r="C332" s="1862">
        <v>0.15</v>
      </c>
      <c r="D332" s="1862">
        <v>0.15</v>
      </c>
      <c r="E332" s="1862">
        <v>0.15</v>
      </c>
      <c r="F332" s="1863">
        <v>0.15</v>
      </c>
    </row>
    <row r="333" spans="1:6" ht="14.25" thickBot="1">
      <c r="A333" s="1857" t="s">
        <v>2219</v>
      </c>
      <c r="B333" s="1861" t="s">
        <v>2230</v>
      </c>
      <c r="C333" s="1862">
        <v>0.15</v>
      </c>
      <c r="D333" s="1862">
        <v>0.15</v>
      </c>
      <c r="E333" s="1862">
        <v>0.15</v>
      </c>
      <c r="F333" s="1863">
        <v>0.14099999999999999</v>
      </c>
    </row>
    <row r="334" spans="1:6" ht="14.25" thickBot="1">
      <c r="A334" s="1857" t="s">
        <v>2219</v>
      </c>
      <c r="B334" s="1861" t="s">
        <v>1257</v>
      </c>
      <c r="C334" s="1862">
        <v>0.15</v>
      </c>
      <c r="D334" s="1862">
        <v>0.15</v>
      </c>
      <c r="E334" s="1862">
        <v>0.15</v>
      </c>
      <c r="F334" s="1863">
        <v>0.15</v>
      </c>
    </row>
    <row r="335" spans="1:6" ht="14.25" thickBot="1">
      <c r="A335" s="1857" t="s">
        <v>2219</v>
      </c>
      <c r="B335" s="1861" t="s">
        <v>1267</v>
      </c>
      <c r="C335" s="1862">
        <v>0.15</v>
      </c>
      <c r="D335" s="1862">
        <v>0.15</v>
      </c>
      <c r="E335" s="1862">
        <v>0.15</v>
      </c>
      <c r="F335" s="1870"/>
    </row>
    <row r="336" spans="1:6" ht="14.25" thickBot="1">
      <c r="A336" s="1857" t="s">
        <v>2219</v>
      </c>
      <c r="B336" s="1861" t="s">
        <v>2231</v>
      </c>
      <c r="C336" s="1862">
        <v>0.15</v>
      </c>
      <c r="D336" s="1862">
        <v>0.15</v>
      </c>
      <c r="E336" s="1862">
        <v>0.15</v>
      </c>
      <c r="F336" s="1863">
        <v>0.11799999999999999</v>
      </c>
    </row>
    <row r="337" spans="1:6" ht="14.25" thickBot="1">
      <c r="A337" s="1865" t="s">
        <v>2219</v>
      </c>
      <c r="B337" s="1872" t="s">
        <v>1285</v>
      </c>
      <c r="C337" s="1868"/>
      <c r="D337" s="1868"/>
      <c r="E337" s="1868"/>
      <c r="F337" s="1873">
        <v>0.14299999999999999</v>
      </c>
    </row>
    <row r="338" spans="1:6" ht="14.25" thickBot="1">
      <c r="A338" s="1857" t="s">
        <v>2232</v>
      </c>
      <c r="B338" s="1858" t="s">
        <v>2233</v>
      </c>
      <c r="C338" s="1859">
        <v>0.15</v>
      </c>
      <c r="D338" s="1859">
        <v>0.15</v>
      </c>
      <c r="E338" s="1859">
        <v>0.15</v>
      </c>
      <c r="F338" s="1881"/>
    </row>
    <row r="339" spans="1:6" ht="14.25" thickBot="1">
      <c r="A339" s="1857" t="s">
        <v>2232</v>
      </c>
      <c r="B339" s="1861" t="s">
        <v>2234</v>
      </c>
      <c r="C339" s="1862">
        <v>0.15</v>
      </c>
      <c r="D339" s="1862">
        <v>0.15</v>
      </c>
      <c r="E339" s="1862">
        <v>0.15</v>
      </c>
      <c r="F339" s="1870"/>
    </row>
    <row r="340" spans="1:6" ht="14.25" thickBot="1">
      <c r="A340" s="1857" t="s">
        <v>2232</v>
      </c>
      <c r="B340" s="1861" t="s">
        <v>2235</v>
      </c>
      <c r="C340" s="1862">
        <v>0.15</v>
      </c>
      <c r="D340" s="1862">
        <v>0.15</v>
      </c>
      <c r="E340" s="1862">
        <v>0.15</v>
      </c>
      <c r="F340" s="1870"/>
    </row>
    <row r="341" spans="1:6" ht="14.25" thickBot="1">
      <c r="A341" s="1857" t="s">
        <v>2236</v>
      </c>
      <c r="B341" s="1861" t="s">
        <v>2237</v>
      </c>
      <c r="C341" s="1862">
        <v>0.15</v>
      </c>
      <c r="D341" s="1862">
        <v>0.15</v>
      </c>
      <c r="E341" s="1862">
        <v>0.15</v>
      </c>
      <c r="F341" s="1863">
        <v>0.15</v>
      </c>
    </row>
    <row r="342" spans="1:6" ht="14.25" thickBot="1">
      <c r="A342" s="1857" t="s">
        <v>2232</v>
      </c>
      <c r="B342" s="1861" t="s">
        <v>2238</v>
      </c>
      <c r="C342" s="1862">
        <v>0.15</v>
      </c>
      <c r="D342" s="1862">
        <v>0.15</v>
      </c>
      <c r="E342" s="1862">
        <v>0.15</v>
      </c>
      <c r="F342" s="1863">
        <v>0.15</v>
      </c>
    </row>
    <row r="343" spans="1:6" ht="14.25" thickBot="1">
      <c r="A343" s="1857" t="s">
        <v>2232</v>
      </c>
      <c r="B343" s="1861" t="s">
        <v>2239</v>
      </c>
      <c r="C343" s="1862">
        <v>0.15</v>
      </c>
      <c r="D343" s="1862">
        <v>0.15</v>
      </c>
      <c r="E343" s="1862">
        <v>0.15</v>
      </c>
      <c r="F343" s="1863">
        <v>0.15</v>
      </c>
    </row>
    <row r="344" spans="1:6" ht="14.25" thickBot="1">
      <c r="A344" s="1865" t="s">
        <v>2232</v>
      </c>
      <c r="B344" s="1872" t="s">
        <v>2240</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E32" sqref="E32: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2" t="s">
        <v>2951</v>
      </c>
      <c r="B1" s="3104"/>
      <c r="C1" s="3104"/>
      <c r="D1" s="3104"/>
      <c r="E1" s="3104"/>
      <c r="F1" s="3104"/>
    </row>
    <row r="2" spans="1:6" ht="14.25">
      <c r="A2" s="3105" t="s">
        <v>2946</v>
      </c>
      <c r="B2" s="3106" t="e">
        <f ca="1">SUMIF(B7:B14,"&lt;&gt;#ref!",B7:B14)</f>
        <v>#DIV/0!</v>
      </c>
      <c r="C2" s="3105" t="s">
        <v>2947</v>
      </c>
      <c r="D2" s="3104"/>
      <c r="E2" s="3104"/>
      <c r="F2" s="3104"/>
    </row>
    <row r="3" spans="1:6" ht="14.25">
      <c r="A3" s="3105" t="s">
        <v>2980</v>
      </c>
      <c r="B3" s="3106" t="e">
        <f ca="1">ROUND(B2*10000/E3,0)</f>
        <v>#DIV/0!</v>
      </c>
      <c r="C3" s="3105" t="s">
        <v>2081</v>
      </c>
      <c r="D3" s="3105" t="s">
        <v>2948</v>
      </c>
      <c r="E3" s="3106">
        <f ca="1">SUMIF(E7:E14,"&lt;&gt;#ref!",E7:E14)</f>
        <v>0</v>
      </c>
      <c r="F3" s="3104"/>
    </row>
    <row r="4" spans="1:6" ht="14.25">
      <c r="A4" s="3105" t="s">
        <v>2955</v>
      </c>
      <c r="B4" s="3106" t="e">
        <f ca="1">ROUND(B2*10000/E4,0)</f>
        <v>#DIV/0!</v>
      </c>
      <c r="C4" s="3105" t="s">
        <v>2081</v>
      </c>
      <c r="D4" s="3105" t="s">
        <v>2956</v>
      </c>
      <c r="E4" s="3106">
        <f ca="1">SUMIF(F7:F14,"&lt;&gt;#ref!",F7:F14)</f>
        <v>0</v>
      </c>
      <c r="F4" s="3104"/>
    </row>
    <row r="5" spans="1:6" ht="14.25">
      <c r="A5" s="3107"/>
      <c r="B5" s="1883"/>
      <c r="C5" s="1883"/>
      <c r="D5" s="1883"/>
      <c r="E5" s="1883"/>
      <c r="F5" s="3104"/>
    </row>
    <row r="6" spans="1:6" ht="28.5">
      <c r="A6" s="3108" t="s">
        <v>2952</v>
      </c>
      <c r="B6" s="3105" t="s">
        <v>2949</v>
      </c>
      <c r="C6" s="3106"/>
      <c r="D6" s="1883"/>
      <c r="E6" s="3105" t="s">
        <v>2950</v>
      </c>
      <c r="F6" s="3105" t="s">
        <v>2954</v>
      </c>
    </row>
    <row r="7" spans="1:6" ht="14.25">
      <c r="A7" s="260" t="s">
        <v>2953</v>
      </c>
      <c r="B7" s="3109" t="e">
        <f ca="1">SUMIF(INDIRECT("'"&amp;A7&amp;"'"&amp;"!A:A"),"总价",INDIRECT("'"&amp;A7&amp;"'"&amp;"!B:B"))</f>
        <v>#DIV/0!</v>
      </c>
      <c r="C7" s="3105" t="s">
        <v>2947</v>
      </c>
      <c r="D7" s="1883"/>
      <c r="E7" s="3110">
        <f ca="1">SUMIF(INDIRECT("'"&amp;A7&amp;"'"&amp;"!C:C"),"建筑面积",INDIRECT("'"&amp;A7&amp;"'"&amp;"!D:D"))</f>
        <v>0</v>
      </c>
      <c r="F7" s="3110">
        <f ca="1">SUMIF(INDIRECT("'"&amp;A7&amp;"'"&amp;"!E:E"),"土地面积",INDIRECT("'"&amp;A7&amp;"'"&amp;"!F:F"))</f>
        <v>0</v>
      </c>
    </row>
    <row r="8" spans="1:6" ht="14.25">
      <c r="A8" s="260"/>
      <c r="B8" s="3109" t="e">
        <f t="shared" ref="B8:B14" ca="1" si="0">SUMIF(INDIRECT("'"&amp;A8&amp;"'"&amp;"!A:A"),"总价",INDIRECT("'"&amp;A8&amp;"'"&amp;"!B:B"))</f>
        <v>#REF!</v>
      </c>
      <c r="C8" s="3105" t="s">
        <v>2947</v>
      </c>
      <c r="D8" s="1883"/>
      <c r="E8" s="3110" t="e">
        <f t="shared" ref="E8:E14" ca="1" si="1">SUMIF(INDIRECT("'"&amp;A8&amp;"'"&amp;"!C:C"),"建筑面积",INDIRECT("'"&amp;A8&amp;"'"&amp;"!D:D"))</f>
        <v>#REF!</v>
      </c>
      <c r="F8" s="3110" t="e">
        <f t="shared" ref="F8:F14" ca="1" si="2">SUMIF(INDIRECT("'"&amp;A8&amp;"'"&amp;"!E:E"),"土地面积",INDIRECT("'"&amp;A8&amp;"'"&amp;"!F:F"))</f>
        <v>#REF!</v>
      </c>
    </row>
    <row r="9" spans="1:6" ht="14.25">
      <c r="A9" s="260"/>
      <c r="B9" s="3109" t="e">
        <f t="shared" ca="1" si="0"/>
        <v>#REF!</v>
      </c>
      <c r="C9" s="3105" t="s">
        <v>2947</v>
      </c>
      <c r="D9" s="1883"/>
      <c r="E9" s="3110" t="e">
        <f t="shared" ca="1" si="1"/>
        <v>#REF!</v>
      </c>
      <c r="F9" s="3110" t="e">
        <f t="shared" ca="1" si="2"/>
        <v>#REF!</v>
      </c>
    </row>
    <row r="10" spans="1:6" ht="14.25">
      <c r="A10" s="260"/>
      <c r="B10" s="3109" t="e">
        <f t="shared" ca="1" si="0"/>
        <v>#REF!</v>
      </c>
      <c r="C10" s="3105" t="s">
        <v>2947</v>
      </c>
      <c r="D10" s="1883"/>
      <c r="E10" s="3110" t="e">
        <f t="shared" ca="1" si="1"/>
        <v>#REF!</v>
      </c>
      <c r="F10" s="3110" t="e">
        <f t="shared" ca="1" si="2"/>
        <v>#REF!</v>
      </c>
    </row>
    <row r="11" spans="1:6" ht="14.25">
      <c r="A11" s="260"/>
      <c r="B11" s="3109" t="e">
        <f t="shared" ca="1" si="0"/>
        <v>#REF!</v>
      </c>
      <c r="C11" s="3105" t="s">
        <v>2947</v>
      </c>
      <c r="D11" s="1883"/>
      <c r="E11" s="3110" t="e">
        <f t="shared" ca="1" si="1"/>
        <v>#REF!</v>
      </c>
      <c r="F11" s="3110" t="e">
        <f t="shared" ca="1" si="2"/>
        <v>#REF!</v>
      </c>
    </row>
    <row r="12" spans="1:6" ht="14.25">
      <c r="A12" s="260"/>
      <c r="B12" s="3109" t="e">
        <f t="shared" ca="1" si="0"/>
        <v>#REF!</v>
      </c>
      <c r="C12" s="3105" t="s">
        <v>2947</v>
      </c>
      <c r="D12" s="1883"/>
      <c r="E12" s="3110" t="e">
        <f t="shared" ca="1" si="1"/>
        <v>#REF!</v>
      </c>
      <c r="F12" s="3110" t="e">
        <f t="shared" ca="1" si="2"/>
        <v>#REF!</v>
      </c>
    </row>
    <row r="13" spans="1:6" ht="14.25">
      <c r="A13" s="260"/>
      <c r="B13" s="3109" t="e">
        <f t="shared" ca="1" si="0"/>
        <v>#REF!</v>
      </c>
      <c r="C13" s="3105" t="s">
        <v>2947</v>
      </c>
      <c r="D13" s="1883"/>
      <c r="E13" s="3110" t="e">
        <f t="shared" ca="1" si="1"/>
        <v>#REF!</v>
      </c>
      <c r="F13" s="3110" t="e">
        <f t="shared" ca="1" si="2"/>
        <v>#REF!</v>
      </c>
    </row>
    <row r="14" spans="1:6" ht="14.25">
      <c r="A14" s="3103"/>
      <c r="B14" s="3109" t="e">
        <f t="shared" ca="1" si="0"/>
        <v>#REF!</v>
      </c>
      <c r="C14" s="3105" t="s">
        <v>2947</v>
      </c>
      <c r="D14" s="1883"/>
      <c r="E14" s="3110" t="e">
        <f t="shared" ca="1" si="1"/>
        <v>#REF!</v>
      </c>
      <c r="F14" s="311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E32" sqref="E32:G3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387" t="s">
        <v>2377</v>
      </c>
      <c r="F1" s="2388">
        <f ca="1">J54</f>
        <v>-3</v>
      </c>
      <c r="G1" s="774">
        <f>MATCH(C1,'数据-取费表'!A6:A16,0)+5</f>
        <v>8</v>
      </c>
      <c r="H1" s="1350"/>
      <c r="I1" s="2051"/>
      <c r="J1" s="2051"/>
      <c r="K1" s="2052"/>
      <c r="L1" s="2051"/>
      <c r="M1" s="2051"/>
      <c r="N1" s="2053"/>
      <c r="O1" s="2053"/>
      <c r="P1" s="2053"/>
      <c r="Q1" s="2053"/>
      <c r="R1" s="2053"/>
      <c r="S1" s="2053"/>
      <c r="T1" s="2053"/>
      <c r="U1" s="2053"/>
      <c r="V1" s="2053"/>
      <c r="W1" s="2053"/>
      <c r="X1" s="2053"/>
      <c r="Y1" s="2053"/>
    </row>
    <row r="2" spans="1:25" ht="18" customHeight="1">
      <c r="A2" s="1645" t="s">
        <v>629</v>
      </c>
      <c r="B2" s="775">
        <f ca="1">IF(ISERROR(C45+J31),0,C45+J31)</f>
        <v>0</v>
      </c>
      <c r="C2" s="1351"/>
      <c r="D2" s="2055"/>
      <c r="E2" s="2056"/>
      <c r="F2" s="2056"/>
      <c r="G2" s="1591"/>
      <c r="H2" s="1363"/>
      <c r="I2" s="2057"/>
      <c r="J2" s="2057"/>
      <c r="K2" s="2058"/>
      <c r="L2" s="2057"/>
      <c r="M2" s="2057"/>
    </row>
    <row r="3" spans="1:25" ht="18" customHeight="1">
      <c r="A3" s="1646" t="s">
        <v>1687</v>
      </c>
      <c r="B3" s="1392">
        <f ca="1">ROUND(B2*10000/'数据-汇总表'!E3,0)</f>
        <v>0</v>
      </c>
      <c r="C3" s="1351"/>
      <c r="D3" s="2055"/>
      <c r="E3" s="2056"/>
      <c r="F3" s="2056"/>
      <c r="G3" s="1591"/>
      <c r="H3" s="776" t="s">
        <v>695</v>
      </c>
      <c r="I3" s="2057"/>
      <c r="J3" s="2057"/>
      <c r="K3" s="2058"/>
      <c r="L3" s="2057"/>
      <c r="M3" s="2057"/>
    </row>
    <row r="4" spans="1:25" ht="18" customHeight="1">
      <c r="A4" s="1647" t="s">
        <v>696</v>
      </c>
      <c r="B4" s="1352">
        <f ca="1">ROUND(B2*10000/'数据-汇总表'!D3,0)</f>
        <v>0</v>
      </c>
      <c r="C4" s="428"/>
      <c r="D4" s="2055"/>
      <c r="E4" s="2056"/>
      <c r="F4" s="2056"/>
      <c r="G4" s="1591"/>
      <c r="H4" s="776"/>
      <c r="I4" s="2057"/>
      <c r="J4" s="2057"/>
      <c r="K4" s="2058"/>
      <c r="L4" s="2057"/>
      <c r="M4" s="2057"/>
    </row>
    <row r="5" spans="1:25" ht="18" customHeight="1" thickBot="1">
      <c r="A5" s="1648"/>
      <c r="B5" s="430">
        <f ca="1">ROUND(B2/('数据-汇总表'!D3/666.67),0)</f>
        <v>0</v>
      </c>
      <c r="C5" s="431" t="s">
        <v>697</v>
      </c>
      <c r="D5" s="2055"/>
      <c r="E5" s="2056"/>
      <c r="F5" s="2056"/>
      <c r="G5" s="1591"/>
      <c r="H5" s="776"/>
      <c r="I5" s="2057"/>
      <c r="J5" s="2057"/>
      <c r="K5" s="2058"/>
      <c r="L5" s="2057"/>
      <c r="M5" s="2057"/>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2461</v>
      </c>
      <c r="C7" s="53">
        <f ca="1">C8+C12+C14</f>
        <v>0</v>
      </c>
      <c r="D7" s="2496" t="s">
        <v>2464</v>
      </c>
      <c r="E7" s="2490"/>
      <c r="F7" s="2491"/>
      <c r="G7" s="1593"/>
      <c r="H7" s="781">
        <v>1</v>
      </c>
      <c r="I7" s="782" t="s">
        <v>2461</v>
      </c>
      <c r="J7" s="53">
        <f ca="1">J8+J12+J14</f>
        <v>0</v>
      </c>
      <c r="K7" s="2496" t="s">
        <v>2464</v>
      </c>
      <c r="L7" s="2490"/>
      <c r="M7" s="2491"/>
    </row>
    <row r="8" spans="1:25" ht="18" customHeight="1">
      <c r="A8" s="1832" t="s">
        <v>1825</v>
      </c>
      <c r="B8" s="3439" t="s">
        <v>2466</v>
      </c>
      <c r="C8" s="1827">
        <f ca="1">ROUND(F8*F10*F9*(1-F11)/10000,0)</f>
        <v>0</v>
      </c>
      <c r="D8" s="1824" t="s">
        <v>2537</v>
      </c>
      <c r="E8" s="61" t="s">
        <v>637</v>
      </c>
      <c r="F8" s="785">
        <f ca="1">INDIRECT("'数据-取费表'!u"&amp;$G$1)</f>
        <v>0</v>
      </c>
      <c r="G8" s="1593"/>
      <c r="H8" s="2504" t="s">
        <v>1825</v>
      </c>
      <c r="I8" s="3439" t="s">
        <v>2466</v>
      </c>
      <c r="J8" s="783">
        <f ca="1">ROUND(M8*M10*M9*(1-M11)/10000,0)</f>
        <v>0</v>
      </c>
      <c r="K8" s="341" t="s">
        <v>2537</v>
      </c>
      <c r="L8" s="784" t="s">
        <v>1739</v>
      </c>
      <c r="M8" s="785">
        <f ca="1">INDIRECT("'数据-取费表'!z"&amp;$G$1)</f>
        <v>0</v>
      </c>
    </row>
    <row r="9" spans="1:25" ht="18" customHeight="1">
      <c r="A9" s="2500"/>
      <c r="B9" s="3440"/>
      <c r="C9" s="1828"/>
      <c r="D9" s="1825"/>
      <c r="E9" s="61" t="s">
        <v>638</v>
      </c>
      <c r="F9" s="785">
        <f ca="1">IF(INDIRECT("'数据-取费表'!ah"&amp;$G$1)="",INDIRECT("'数据-取费表'!k"&amp;$G$1),INDIRECT("'数据-取费表'!ah"&amp;$G$1))</f>
        <v>0</v>
      </c>
      <c r="G9" s="1593"/>
      <c r="H9" s="2489"/>
      <c r="I9" s="3440"/>
      <c r="J9" s="788"/>
      <c r="K9" s="789"/>
      <c r="L9" s="784" t="s">
        <v>1740</v>
      </c>
      <c r="M9" s="785">
        <f ca="1">F9</f>
        <v>0</v>
      </c>
    </row>
    <row r="10" spans="1:25" ht="18" customHeight="1">
      <c r="A10" s="2493"/>
      <c r="B10" s="3441"/>
      <c r="C10" s="1828"/>
      <c r="D10" s="1825"/>
      <c r="E10" s="61" t="s">
        <v>639</v>
      </c>
      <c r="F10" s="785">
        <f ca="1">INDIRECT("'数据-取费表'!ai"&amp;$G$1)</f>
        <v>0</v>
      </c>
      <c r="G10" s="1593"/>
      <c r="H10" s="2489"/>
      <c r="I10" s="3441"/>
      <c r="J10" s="788"/>
      <c r="K10" s="789"/>
      <c r="L10" s="784" t="s">
        <v>1741</v>
      </c>
      <c r="M10" s="785">
        <f ca="1">INDIRECT("'数据-取费表'!ai"&amp;$G$1)</f>
        <v>0</v>
      </c>
    </row>
    <row r="11" spans="1:25" ht="18" customHeight="1">
      <c r="A11" s="786"/>
      <c r="B11" s="3442"/>
      <c r="C11" s="1828"/>
      <c r="D11" s="1825"/>
      <c r="E11" s="61" t="s">
        <v>640</v>
      </c>
      <c r="F11" s="794">
        <f ca="1">INDIRECT("'数据-取费表'!w"&amp;$G$1)</f>
        <v>0</v>
      </c>
      <c r="G11" s="1593"/>
      <c r="H11" s="2505"/>
      <c r="I11" s="3441"/>
      <c r="J11" s="788"/>
      <c r="K11" s="789"/>
      <c r="L11" s="795" t="s">
        <v>1742</v>
      </c>
      <c r="M11" s="796">
        <f ca="1">INDIRECT("'数据-取费表'!ab"&amp;$G$1)</f>
        <v>0</v>
      </c>
    </row>
    <row r="12" spans="1:25" ht="18" customHeight="1">
      <c r="A12" s="1832" t="s">
        <v>1826</v>
      </c>
      <c r="B12" s="2494" t="s">
        <v>2462</v>
      </c>
      <c r="C12" s="799">
        <f ca="1">ROUND(IF(F12="押一",C8/12*F13,IF(F12="押二",C8/12*2*F13,IF(F12="押三",C8/12*3*F13,C13*F13))),0)</f>
        <v>0</v>
      </c>
      <c r="D12" s="2501" t="s">
        <v>2976</v>
      </c>
      <c r="E12" s="2498" t="s">
        <v>2467</v>
      </c>
      <c r="F12" s="2621"/>
      <c r="G12" s="1593"/>
      <c r="H12" s="2561" t="s">
        <v>1826</v>
      </c>
      <c r="I12" s="2566" t="s">
        <v>2462</v>
      </c>
      <c r="J12" s="783">
        <f ca="1">ROUND(IF(M12="押一",J8/12*M13,IF(M12="押二",J8/12*2*M13,IF(M12="押三",J8/12*3*M13,J13*M13))),0)</f>
        <v>0</v>
      </c>
      <c r="K12" s="2501" t="s">
        <v>2976</v>
      </c>
      <c r="L12" s="2498" t="s">
        <v>2467</v>
      </c>
      <c r="M12" s="2621"/>
    </row>
    <row r="13" spans="1:25" ht="18" customHeight="1">
      <c r="A13" s="790"/>
      <c r="B13" s="2495" t="s">
        <v>2576</v>
      </c>
      <c r="C13" s="2499"/>
      <c r="D13" s="789"/>
      <c r="E13" s="2498" t="s">
        <v>2459</v>
      </c>
      <c r="F13" s="796">
        <f ca="1">'数据-取费表'!B39</f>
        <v>1.4999999999999999E-2</v>
      </c>
      <c r="G13" s="1593"/>
      <c r="H13" s="2562"/>
      <c r="I13" s="2495" t="s">
        <v>2576</v>
      </c>
      <c r="J13" s="2499"/>
      <c r="K13" s="2563"/>
      <c r="L13" s="2498" t="s">
        <v>2459</v>
      </c>
      <c r="M13" s="2492">
        <f ca="1">'数据-取费表'!B39</f>
        <v>1.4999999999999999E-2</v>
      </c>
    </row>
    <row r="14" spans="1:25" ht="18" customHeight="1" thickBot="1">
      <c r="A14" s="2537" t="s">
        <v>2470</v>
      </c>
      <c r="B14" s="2538" t="s">
        <v>2463</v>
      </c>
      <c r="C14" s="2539"/>
      <c r="D14" s="2540"/>
      <c r="E14" s="2541"/>
      <c r="F14" s="2542"/>
      <c r="G14" s="1593"/>
      <c r="H14" s="2551" t="s">
        <v>2470</v>
      </c>
      <c r="I14" s="2564" t="s">
        <v>2463</v>
      </c>
      <c r="J14" s="2565"/>
      <c r="K14" s="2540"/>
      <c r="L14" s="2541"/>
      <c r="M14" s="2554"/>
    </row>
    <row r="15" spans="1:25" ht="18" customHeight="1" thickTop="1">
      <c r="A15" s="1831" t="s">
        <v>1875</v>
      </c>
      <c r="B15" s="1829" t="s">
        <v>641</v>
      </c>
      <c r="C15" s="792">
        <f ca="1">ROUND(C31*F15,0)</f>
        <v>0</v>
      </c>
      <c r="D15" s="1836" t="s">
        <v>642</v>
      </c>
      <c r="E15" s="795" t="s">
        <v>643</v>
      </c>
      <c r="F15" s="800">
        <f ca="1">INDIRECT("'数据-取费表'!y"&amp;$G$1)</f>
        <v>0</v>
      </c>
      <c r="G15" s="1593"/>
      <c r="H15" s="1831" t="s">
        <v>1827</v>
      </c>
      <c r="I15" s="1829" t="s">
        <v>644</v>
      </c>
      <c r="J15" s="1821">
        <f ca="1">ROUND(J16*J17,0)</f>
        <v>0</v>
      </c>
      <c r="K15" s="1823" t="s">
        <v>642</v>
      </c>
      <c r="L15" s="801"/>
      <c r="M15" s="802"/>
    </row>
    <row r="16" spans="1:25" ht="18" customHeight="1">
      <c r="A16" s="803" t="s">
        <v>1876</v>
      </c>
      <c r="B16" s="784" t="s">
        <v>645</v>
      </c>
      <c r="C16" s="804">
        <f ca="1">INDIRECT("'数据-取费表'!m"&amp;$G$1)+INDIRECT("'数据-取费表'!t"&amp;$G$1)</f>
        <v>0</v>
      </c>
      <c r="D16" s="1979" t="s">
        <v>646</v>
      </c>
      <c r="E16" s="1980"/>
      <c r="F16" s="805"/>
      <c r="G16" s="1593"/>
      <c r="H16" s="803" t="s">
        <v>2072</v>
      </c>
      <c r="I16" s="2231" t="s">
        <v>2828</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0.03</v>
      </c>
      <c r="G17" s="1594"/>
      <c r="H17" s="803" t="s">
        <v>2073</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2072</v>
      </c>
      <c r="I19" s="784" t="s">
        <v>656</v>
      </c>
      <c r="J19" s="53">
        <f ca="1">ROUND(IF(项目基本情况!B11="自然人",J7*M19,J20+J21+J22),0)</f>
        <v>0</v>
      </c>
      <c r="K19" s="1979" t="s">
        <v>657</v>
      </c>
      <c r="L19" s="1977" t="s">
        <v>658</v>
      </c>
      <c r="M19" s="810">
        <f ca="1">IF(项目基本情况!B11="企业","",IF(INDIRECT("'数据-取费表'!c"&amp;$G$1)="住宅",5%,IF(M8*M9*M10/12/(1+'数据-取费表'!C42)&gt;20000,12%,7%)))</f>
        <v>7.0000000000000007E-2</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7" t="s">
        <v>661</v>
      </c>
      <c r="L20" s="784" t="s">
        <v>649</v>
      </c>
      <c r="M20" s="809">
        <f>'数据-取费表'!B41</f>
        <v>5.6000000000000001E-2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3"/>
      <c r="H21" s="1832"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4"/>
      <c r="H22" s="1834" t="s">
        <v>1851</v>
      </c>
      <c r="I22" s="1824" t="s">
        <v>668</v>
      </c>
      <c r="J22" s="54">
        <f ca="1">ROUND(M22*M23/10000,0)</f>
        <v>0</v>
      </c>
      <c r="K22" s="814" t="s">
        <v>669</v>
      </c>
      <c r="L22" s="784" t="s">
        <v>670</v>
      </c>
      <c r="M22" s="640">
        <f>'数据-取费表'!B52</f>
        <v>18</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0.02</v>
      </c>
      <c r="G23" s="1594"/>
      <c r="H23" s="1835"/>
      <c r="I23" s="1826"/>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72" t="str">
        <f>IF(F25&lt;=1,"单利计息。","复利计息。")&amp;"建造成本、管理费用、销售费用产生的利息。"</f>
        <v>复利计息。建造成本、管理费用、销售费用产生的利息。</v>
      </c>
      <c r="E24" s="1982"/>
      <c r="F24" s="56"/>
      <c r="G24" s="1593"/>
      <c r="H24" s="1833" t="s">
        <v>2073</v>
      </c>
      <c r="I24" s="784" t="s">
        <v>676</v>
      </c>
      <c r="J24" s="53">
        <f ca="1">ROUND(J16*M24,0)</f>
        <v>0</v>
      </c>
      <c r="K24" s="1977" t="s">
        <v>677</v>
      </c>
      <c r="L24" s="784" t="s">
        <v>649</v>
      </c>
      <c r="M24" s="817">
        <f ca="1">INDIRECT("'数据-取费表'!Ak"&amp;$G$1)</f>
        <v>0</v>
      </c>
    </row>
    <row r="25" spans="1:25" s="2064" customFormat="1" ht="18" customHeight="1">
      <c r="A25" s="803" t="s">
        <v>1876</v>
      </c>
      <c r="B25" s="784" t="s">
        <v>2440</v>
      </c>
      <c r="C25" s="53">
        <f ca="1">ROUND(IF('数据-取费表'!B22&lt;=1,(C21+C22)*F26*F25/2,(C21+C22)*(POWER((1+F26),F25/2)-1)),0)</f>
        <v>0</v>
      </c>
      <c r="D25" s="2571" t="str">
        <f>IF(F25&lt;=1,"(建造成本+管理费用)×利率×(建设周期÷2)","(建造成本+管理费用)×((1+利率)^(建设周期÷2)-1)")</f>
        <v>(建造成本+管理费用)×((1+利率)^(建设周期÷2)-1)</v>
      </c>
      <c r="E25" s="784" t="s">
        <v>678</v>
      </c>
      <c r="F25" s="640">
        <f>'数据-取费表'!B20</f>
        <v>3</v>
      </c>
      <c r="G25" s="1594"/>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1.4E-3</v>
      </c>
      <c r="D26" s="257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3"/>
      <c r="H27" s="797" t="s">
        <v>1829</v>
      </c>
      <c r="I27" s="3011" t="s">
        <v>2825</v>
      </c>
      <c r="J27" s="799">
        <f ca="1">J7-J18</f>
        <v>0</v>
      </c>
      <c r="K27" s="1979" t="s">
        <v>700</v>
      </c>
      <c r="L27" s="1981"/>
      <c r="M27" s="820"/>
    </row>
    <row r="28" spans="1:25" ht="18" customHeight="1">
      <c r="A28" s="803" t="s">
        <v>1876</v>
      </c>
      <c r="B28" s="784" t="s">
        <v>2441</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1884</v>
      </c>
      <c r="B31" s="2541" t="s">
        <v>2826</v>
      </c>
      <c r="C31" s="2544">
        <f ca="1">ROUND((C21+C22+C25+C28)/(1-F23-C26-C29-C30),0)</f>
        <v>0</v>
      </c>
      <c r="D31" s="2545"/>
      <c r="E31" s="2546"/>
      <c r="F31" s="2547"/>
      <c r="G31" s="1594"/>
      <c r="H31" s="823" t="s">
        <v>1873</v>
      </c>
      <c r="I31" s="3012" t="s">
        <v>2827</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31" t="s">
        <v>7</v>
      </c>
      <c r="B32" s="1829" t="s">
        <v>689</v>
      </c>
      <c r="C32" s="792">
        <f ca="1">ROUND(C33+C38+C39+C40,0)</f>
        <v>0</v>
      </c>
      <c r="D32" s="1823" t="s">
        <v>652</v>
      </c>
      <c r="E32" s="2487"/>
      <c r="F32" s="2491"/>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f ca="1">IF(项目基本情况!B11="企业","",IF(INDIRECT("'数据-取费表'!c"&amp;$G$1)="住宅",5%,IF(F8*F9*F10/12/(1+'数据-取费表'!C42)&gt;20000,12%,7%)))</f>
        <v>7.0000000000000007E-2</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5.6000000000000001E-2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18</v>
      </c>
      <c r="G36" s="2062"/>
      <c r="H36" s="2065"/>
      <c r="I36" s="3438"/>
      <c r="J36" s="2079"/>
      <c r="K36" s="2080"/>
      <c r="L36" s="2079"/>
      <c r="M36" s="2079"/>
    </row>
    <row r="37" spans="1:18" ht="18" customHeight="1">
      <c r="A37" s="815"/>
      <c r="B37" s="793"/>
      <c r="C37" s="69"/>
      <c r="D37" s="816"/>
      <c r="E37" s="784" t="s">
        <v>674</v>
      </c>
      <c r="F37" s="785">
        <f ca="1">INDIRECT("'数据-取费表'!r"&amp;$G$1)</f>
        <v>0</v>
      </c>
      <c r="G37" s="2062"/>
      <c r="H37" s="2065"/>
      <c r="I37" s="3438"/>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60" t="s">
        <v>1880</v>
      </c>
      <c r="B40" s="2546" t="s">
        <v>666</v>
      </c>
      <c r="C40" s="2544">
        <f ca="1">ROUND(C7*F40,1)</f>
        <v>0</v>
      </c>
      <c r="D40" s="2545" t="s">
        <v>683</v>
      </c>
      <c r="E40" s="2546" t="s">
        <v>649</v>
      </c>
      <c r="F40" s="2542">
        <f ca="1">INDIRECT("'数据-取费表'!Am"&amp;$G$1)</f>
        <v>0</v>
      </c>
      <c r="G40" s="2062"/>
      <c r="H40" s="2077"/>
      <c r="I40" s="2081"/>
      <c r="J40" s="1988"/>
      <c r="K40" s="2083"/>
      <c r="L40" s="2077"/>
      <c r="M40" s="2077"/>
    </row>
    <row r="41" spans="1:18" ht="18" customHeight="1" thickTop="1">
      <c r="A41" s="1831">
        <v>4</v>
      </c>
      <c r="B41" s="1829"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121" t="s">
        <v>2964</v>
      </c>
      <c r="F43" s="3122">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37">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123" t="s">
        <v>2967</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2346</v>
      </c>
      <c r="J47" s="2379"/>
      <c r="K47" s="2380"/>
      <c r="L47" s="3159" t="str">
        <f ca="1">IF(M48="住宅",0,IF(L49&gt;J52,L61,J61))</f>
        <v>0</v>
      </c>
      <c r="O47" s="2394" t="s">
        <v>2413</v>
      </c>
      <c r="P47" s="1593"/>
      <c r="Q47" s="1605"/>
      <c r="R47" s="1593"/>
    </row>
    <row r="48" spans="1:18" s="2059" customFormat="1" ht="18" customHeight="1" thickBot="1">
      <c r="A48" s="2084"/>
      <c r="C48" s="2087"/>
      <c r="D48" s="2088"/>
      <c r="E48" s="2088"/>
      <c r="F48" s="2089"/>
      <c r="G48" s="2090"/>
      <c r="I48" s="3149" t="s">
        <v>2347</v>
      </c>
      <c r="J48" s="2381"/>
      <c r="K48" s="3156" t="s">
        <v>2352</v>
      </c>
      <c r="L48" s="3160">
        <f ca="1">INDIRECT("'数据-取费表'!d"&amp;$G$1)</f>
        <v>0</v>
      </c>
      <c r="M48" s="3120" t="str">
        <f>IF(ISNUMBER(FIND("住宅",C1)),"住宅","非住宅")</f>
        <v>非住宅</v>
      </c>
      <c r="O48" s="2395" t="s">
        <v>2378</v>
      </c>
      <c r="P48" s="2396" t="s">
        <v>2379</v>
      </c>
      <c r="Q48" s="2397" t="s">
        <v>2380</v>
      </c>
      <c r="R48" s="2396" t="s">
        <v>2381</v>
      </c>
    </row>
    <row r="49" spans="1:18" s="2059" customFormat="1" ht="18" customHeight="1" thickBot="1">
      <c r="A49" s="2084"/>
      <c r="D49" s="2091"/>
      <c r="E49" s="2092"/>
      <c r="F49" s="2089"/>
      <c r="G49" s="2090"/>
      <c r="H49" s="2093"/>
      <c r="I49" s="3125" t="s">
        <v>2348</v>
      </c>
      <c r="J49" s="2382"/>
      <c r="K49" s="3157" t="s">
        <v>2354</v>
      </c>
      <c r="L49" s="1910">
        <f ca="1">INDIRECT("'数据-取费表'!f"&amp;$G$1)</f>
        <v>0</v>
      </c>
      <c r="O49" s="2398" t="s">
        <v>2382</v>
      </c>
      <c r="P49" s="2399" t="s">
        <v>2408</v>
      </c>
      <c r="Q49" s="2400">
        <f ca="1">C41+J31</f>
        <v>0</v>
      </c>
      <c r="R49" s="2399" t="s">
        <v>2383</v>
      </c>
    </row>
    <row r="50" spans="1:18" s="2059" customFormat="1" ht="18" customHeight="1" thickBot="1">
      <c r="A50" s="2084"/>
      <c r="D50" s="2094"/>
      <c r="E50" s="2094"/>
      <c r="F50" s="2088"/>
      <c r="G50" s="2095"/>
      <c r="H50" s="2093"/>
      <c r="I50" s="3125" t="s">
        <v>2349</v>
      </c>
      <c r="J50" s="2383"/>
      <c r="K50" s="3158" t="s">
        <v>2355</v>
      </c>
      <c r="L50" s="2384"/>
      <c r="O50" s="2398" t="s">
        <v>2384</v>
      </c>
      <c r="P50" s="2399" t="s">
        <v>2409</v>
      </c>
      <c r="Q50" s="2400" t="str">
        <f ca="1">J61</f>
        <v>0</v>
      </c>
      <c r="R50" s="2399" t="s">
        <v>2385</v>
      </c>
    </row>
    <row r="51" spans="1:18" s="2059" customFormat="1" ht="18" customHeight="1" thickBot="1">
      <c r="A51" s="2096"/>
      <c r="D51" s="2094"/>
      <c r="E51" s="2094"/>
      <c r="F51" s="2085"/>
      <c r="H51" s="2093"/>
      <c r="I51" s="3125" t="s">
        <v>2350</v>
      </c>
      <c r="J51" s="3153">
        <f>SUMPRODUCT((I64:I66=J48)*(J63:L63=J49)*(J64:L66))</f>
        <v>0</v>
      </c>
      <c r="K51" s="3158" t="s">
        <v>2356</v>
      </c>
      <c r="L51" s="2384"/>
      <c r="O51" s="2401" t="s">
        <v>2386</v>
      </c>
      <c r="P51" s="2399" t="s">
        <v>2410</v>
      </c>
      <c r="Q51" s="2400">
        <f ca="1">C31</f>
        <v>0</v>
      </c>
      <c r="R51" s="2399" t="s">
        <v>2383</v>
      </c>
    </row>
    <row r="52" spans="1:18" s="2059" customFormat="1" ht="18" customHeight="1" thickBot="1">
      <c r="A52" s="2096"/>
      <c r="F52" s="2085"/>
      <c r="I52" s="3150" t="s">
        <v>2351</v>
      </c>
      <c r="J52" s="3154">
        <f>IF(J50="",J51,J50+J51-YEAR('数据-取费表'!B3))</f>
        <v>0</v>
      </c>
      <c r="K52" s="3125" t="s">
        <v>2357</v>
      </c>
      <c r="L52" s="3161">
        <f ca="1">ROUND(-PV(INDIRECT("'数据-取费表'!h"&amp;$G$1),L49,(C40-C14*J36),0),0)</f>
        <v>0</v>
      </c>
      <c r="O52" s="2401" t="s">
        <v>2387</v>
      </c>
      <c r="P52" s="2399" t="s">
        <v>2388</v>
      </c>
      <c r="Q52" s="2402" t="e">
        <f ca="1">J59</f>
        <v>#VALUE!</v>
      </c>
      <c r="R52" s="2403"/>
    </row>
    <row r="53" spans="1:18" s="2059" customFormat="1" ht="18" customHeight="1" thickBot="1">
      <c r="A53" s="2096"/>
      <c r="F53" s="2085"/>
      <c r="I53" s="3151" t="s">
        <v>2424</v>
      </c>
      <c r="J53" s="2385"/>
      <c r="K53" s="3151" t="s">
        <v>2423</v>
      </c>
      <c r="L53" s="2385"/>
      <c r="O53" s="2401" t="s">
        <v>2389</v>
      </c>
      <c r="P53" s="2399" t="s">
        <v>2390</v>
      </c>
      <c r="Q53" s="2402">
        <f>J53</f>
        <v>0</v>
      </c>
      <c r="R53" s="2403"/>
    </row>
    <row r="54" spans="1:18" s="2059" customFormat="1" ht="29.25" thickBot="1">
      <c r="A54" s="2096"/>
      <c r="I54" s="3152" t="s">
        <v>2981</v>
      </c>
      <c r="J54" s="3155">
        <f ca="1">IF(M48="住宅",MAX(J52,L49-'数据-取费表'!B20),MIN(J52,L49-'数据-取费表'!B20))</f>
        <v>-3</v>
      </c>
      <c r="K54" s="3443"/>
      <c r="L54" s="3444"/>
      <c r="O54" s="2401" t="s">
        <v>2391</v>
      </c>
      <c r="P54" s="2399" t="s">
        <v>2392</v>
      </c>
      <c r="Q54" s="2400">
        <f ca="1">J54</f>
        <v>-3</v>
      </c>
      <c r="R54" s="2399" t="s">
        <v>2393</v>
      </c>
    </row>
    <row r="55" spans="1:18" s="2059" customFormat="1" ht="18" customHeight="1" thickBot="1">
      <c r="A55" s="2096"/>
      <c r="I55" s="31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2"/>
      <c r="K55" s="3163"/>
      <c r="O55" s="2398" t="s">
        <v>2394</v>
      </c>
      <c r="P55" s="2399" t="s">
        <v>2411</v>
      </c>
      <c r="Q55" s="2400">
        <f ca="1">Q49+Q50</f>
        <v>0</v>
      </c>
      <c r="R55" s="2403" t="s">
        <v>2395</v>
      </c>
    </row>
    <row r="56" spans="1:18" s="2059" customFormat="1" ht="16.5" thickBot="1">
      <c r="A56" s="2096"/>
      <c r="B56" s="2097"/>
      <c r="C56" s="2097"/>
      <c r="I56" s="3164" t="s">
        <v>2358</v>
      </c>
      <c r="J56" s="3100" t="e">
        <f ca="1">ROUND(IF(J48="钢混",J58/J51,1-(1-2%)*(J51-J58)/J51),3)</f>
        <v>#VALUE!</v>
      </c>
      <c r="K56" s="3165" t="s">
        <v>2359</v>
      </c>
      <c r="L56" s="2386"/>
      <c r="O56" s="2404" t="s">
        <v>2414</v>
      </c>
      <c r="P56" s="1593"/>
      <c r="Q56" s="1605"/>
      <c r="R56" s="1593"/>
    </row>
    <row r="57" spans="1:18" s="2059" customFormat="1" ht="43.5" thickBot="1">
      <c r="A57" s="2096"/>
      <c r="B57" s="2097"/>
      <c r="C57" s="2097"/>
      <c r="I57" s="3166" t="s">
        <v>2360</v>
      </c>
      <c r="J57" s="3176" t="s">
        <v>1679</v>
      </c>
      <c r="K57" s="3125" t="s">
        <v>2365</v>
      </c>
      <c r="L57" s="1910">
        <f ca="1">IF(L49&lt;J52,"——",L49-J52)</f>
        <v>0</v>
      </c>
      <c r="O57" s="2395" t="s">
        <v>2378</v>
      </c>
      <c r="P57" s="2396" t="s">
        <v>2379</v>
      </c>
      <c r="Q57" s="2397" t="s">
        <v>2380</v>
      </c>
      <c r="R57" s="2396" t="s">
        <v>2381</v>
      </c>
    </row>
    <row r="58" spans="1:18" s="2059" customFormat="1" ht="29.25" thickBot="1">
      <c r="A58" s="2096"/>
      <c r="B58" s="2097"/>
      <c r="C58" s="2097"/>
      <c r="I58" s="3167" t="s">
        <v>2361</v>
      </c>
      <c r="J58" s="3168" t="str">
        <f ca="1">IF(OR(M48="住宅",J52&lt;L49,J57="是"),"——",J52-L49)</f>
        <v>——</v>
      </c>
      <c r="K58" s="3125" t="s">
        <v>2366</v>
      </c>
      <c r="L58" s="1910">
        <f ca="1">IF(L49&lt;J52,"——",IF(L56="比较法",L50,IF(L56="基准地价",L51,L52)))</f>
        <v>0</v>
      </c>
      <c r="O58" s="2398" t="s">
        <v>2382</v>
      </c>
      <c r="P58" s="2399" t="s">
        <v>2408</v>
      </c>
      <c r="Q58" s="2400">
        <f ca="1">C41+J31</f>
        <v>0</v>
      </c>
      <c r="R58" s="2399" t="s">
        <v>2383</v>
      </c>
    </row>
    <row r="59" spans="1:18" s="2059" customFormat="1" ht="29.25" thickBot="1">
      <c r="A59" s="2096"/>
      <c r="B59" s="2097"/>
      <c r="C59" s="2097"/>
      <c r="I59" s="3167" t="s">
        <v>2362</v>
      </c>
      <c r="J59" s="3101" t="e">
        <f ca="1">IF(J56&lt;0.4,0.4,J56)</f>
        <v>#VALUE!</v>
      </c>
      <c r="K59" s="3125" t="s">
        <v>2367</v>
      </c>
      <c r="L59" s="1910">
        <f ca="1">IF(ISERROR(POWER(1+L53,L48-L49)*(POWER(1+L53,L49)-1)/(POWER(1+L53,L48)-1)),0,POWER(1+L53,L48-L49)*(POWER(1+L53,L49)-1)/(POWER(1+L53,L48)-1))</f>
        <v>0</v>
      </c>
      <c r="O59" s="2398" t="s">
        <v>2384</v>
      </c>
      <c r="P59" s="2399" t="s">
        <v>2415</v>
      </c>
      <c r="Q59" s="2400" t="e">
        <f ca="1">L61</f>
        <v>#DIV/0!</v>
      </c>
      <c r="R59" s="2403" t="s">
        <v>2417</v>
      </c>
    </row>
    <row r="60" spans="1:18" s="2059" customFormat="1" ht="29.25" thickBot="1">
      <c r="A60" s="2096"/>
      <c r="B60" s="2097"/>
      <c r="C60" s="2097"/>
      <c r="I60" s="3167" t="s">
        <v>2363</v>
      </c>
      <c r="J60" s="3168" t="str">
        <f ca="1">IF(OR(M48="住宅",J52&lt;L49,J57="是"),"——",ROUND(C30*J59,0))</f>
        <v>——</v>
      </c>
      <c r="K60" s="3125" t="s">
        <v>2368</v>
      </c>
      <c r="L60" s="1910">
        <f ca="1">IF(ISERROR(POWER(1+L53,L48-J52)*(POWER(1+L53,J52)-1)/(POWER(1+L53,L48)-1)),0,POWER(1+L53,L48-J52)*(POWER(1+L53,J52)-1)/(POWER(1+L53,L48)-1))</f>
        <v>0</v>
      </c>
      <c r="O60" s="2401" t="s">
        <v>2386</v>
      </c>
      <c r="P60" s="2399" t="s">
        <v>2416</v>
      </c>
      <c r="Q60" s="2400">
        <f>IF(L56="比较法",L50,IF(L56="基准地价",L51,0))</f>
        <v>0</v>
      </c>
      <c r="R60" s="2399" t="s">
        <v>2383</v>
      </c>
    </row>
    <row r="61" spans="1:18" s="2059" customFormat="1" ht="15.75" thickBot="1">
      <c r="A61" s="2096"/>
      <c r="B61" s="2097"/>
      <c r="C61" s="2097"/>
      <c r="I61" s="3169" t="s">
        <v>2364</v>
      </c>
      <c r="J61" s="3170" t="str">
        <f ca="1">IF(OR(M48="住宅",J52&lt;L49,J57="是"),"0",ROUND(J60/(1+J53)^J54,0))</f>
        <v>0</v>
      </c>
      <c r="K61" s="3171" t="s">
        <v>2369</v>
      </c>
      <c r="L61" s="3170" t="e">
        <f ca="1">IF(OR(M48="住宅",L49&lt;J52),0,ROUND(L58*(L59/L60-1),0))</f>
        <v>#DIV/0!</v>
      </c>
      <c r="O61" s="2401" t="s">
        <v>2387</v>
      </c>
      <c r="P61" s="2399" t="s">
        <v>2396</v>
      </c>
      <c r="Q61" s="2402">
        <f>L53</f>
        <v>0</v>
      </c>
      <c r="R61" s="2403"/>
    </row>
    <row r="62" spans="1:18" s="2059" customFormat="1" ht="20.25" thickBot="1">
      <c r="A62" s="2096"/>
      <c r="B62" s="2097"/>
      <c r="C62" s="2097"/>
      <c r="K62" s="2086"/>
      <c r="O62" s="2401" t="s">
        <v>2389</v>
      </c>
      <c r="P62" s="2399" t="s">
        <v>2397</v>
      </c>
      <c r="Q62" s="2400">
        <f ca="1">L59</f>
        <v>0</v>
      </c>
      <c r="R62" s="2403" t="s">
        <v>2398</v>
      </c>
    </row>
    <row r="63" spans="1:18" s="2059" customFormat="1" ht="20.25" thickBot="1">
      <c r="A63" s="2096"/>
      <c r="B63" s="2097"/>
      <c r="C63" s="2097"/>
      <c r="I63" s="3172" t="s">
        <v>2370</v>
      </c>
      <c r="J63" s="3173" t="s">
        <v>2371</v>
      </c>
      <c r="K63" s="3173" t="s">
        <v>2372</v>
      </c>
      <c r="L63" s="3173" t="s">
        <v>2353</v>
      </c>
      <c r="M63" s="3174" t="s">
        <v>2944</v>
      </c>
      <c r="O63" s="2401" t="s">
        <v>2391</v>
      </c>
      <c r="P63" s="2399" t="s">
        <v>2399</v>
      </c>
      <c r="Q63" s="2400">
        <f ca="1">L60</f>
        <v>0</v>
      </c>
      <c r="R63" s="2403" t="s">
        <v>2400</v>
      </c>
    </row>
    <row r="64" spans="1:18" s="2059" customFormat="1" ht="15.75" thickBot="1">
      <c r="A64" s="2096"/>
      <c r="B64" s="2097"/>
      <c r="C64" s="2097"/>
      <c r="I64" s="3172" t="s">
        <v>2373</v>
      </c>
      <c r="J64" s="3173">
        <v>70</v>
      </c>
      <c r="K64" s="3173">
        <v>50</v>
      </c>
      <c r="L64" s="3173">
        <v>80</v>
      </c>
      <c r="M64" s="3175">
        <v>0.02</v>
      </c>
      <c r="O64" s="2398" t="s">
        <v>2394</v>
      </c>
      <c r="P64" s="2399" t="s">
        <v>2411</v>
      </c>
      <c r="Q64" s="2400" t="e">
        <f ca="1">Q58+Q59</f>
        <v>#DIV/0!</v>
      </c>
      <c r="R64" s="2403" t="s">
        <v>2395</v>
      </c>
    </row>
    <row r="65" spans="1:18" s="2059" customFormat="1" ht="16.5" thickBot="1">
      <c r="A65" s="2096"/>
      <c r="B65" s="2097"/>
      <c r="C65" s="2097"/>
      <c r="I65" s="3172" t="s">
        <v>2374</v>
      </c>
      <c r="J65" s="3173">
        <v>50</v>
      </c>
      <c r="K65" s="3173">
        <v>35</v>
      </c>
      <c r="L65" s="3173">
        <v>60</v>
      </c>
      <c r="M65" s="846">
        <v>0</v>
      </c>
      <c r="O65" s="2404" t="s">
        <v>2418</v>
      </c>
      <c r="P65" s="1593"/>
      <c r="Q65" s="1605"/>
      <c r="R65" s="1593"/>
    </row>
    <row r="66" spans="1:18" s="2059" customFormat="1" ht="15.75" thickBot="1">
      <c r="A66" s="2096"/>
      <c r="B66" s="2097"/>
      <c r="C66" s="2097"/>
      <c r="I66" s="3172" t="s">
        <v>2375</v>
      </c>
      <c r="J66" s="3173">
        <v>40</v>
      </c>
      <c r="K66" s="3173">
        <v>30</v>
      </c>
      <c r="L66" s="3173">
        <v>50</v>
      </c>
      <c r="M66" s="3175">
        <v>0.02</v>
      </c>
      <c r="O66" s="2395" t="s">
        <v>2378</v>
      </c>
      <c r="P66" s="2396" t="s">
        <v>2379</v>
      </c>
      <c r="Q66" s="2397" t="s">
        <v>2380</v>
      </c>
      <c r="R66" s="2396" t="s">
        <v>2381</v>
      </c>
    </row>
    <row r="67" spans="1:18" s="2059" customFormat="1" ht="15.75" thickBot="1">
      <c r="A67" s="2096"/>
      <c r="B67" s="2097"/>
      <c r="C67" s="2097"/>
      <c r="K67" s="2086"/>
      <c r="O67" s="2398" t="s">
        <v>2382</v>
      </c>
      <c r="P67" s="2399" t="s">
        <v>2408</v>
      </c>
      <c r="Q67" s="2400">
        <f ca="1">C41+J31</f>
        <v>0</v>
      </c>
      <c r="R67" s="2399" t="s">
        <v>2383</v>
      </c>
    </row>
    <row r="68" spans="1:18" s="2059" customFormat="1" ht="20.25" thickBot="1">
      <c r="A68" s="2096"/>
      <c r="B68" s="2097"/>
      <c r="C68" s="2097"/>
      <c r="K68" s="2086"/>
      <c r="O68" s="2398" t="s">
        <v>2384</v>
      </c>
      <c r="P68" s="2399" t="s">
        <v>2415</v>
      </c>
      <c r="Q68" s="2400" t="e">
        <f ca="1">L61</f>
        <v>#DIV/0!</v>
      </c>
      <c r="R68" s="2403" t="s">
        <v>2417</v>
      </c>
    </row>
    <row r="69" spans="1:18" s="2059" customFormat="1" ht="21.75" thickBot="1">
      <c r="A69" s="2096"/>
      <c r="B69" s="2097"/>
      <c r="C69" s="2097"/>
      <c r="K69" s="2086"/>
      <c r="O69" s="2401" t="s">
        <v>2386</v>
      </c>
      <c r="P69" s="2399" t="s">
        <v>2416</v>
      </c>
      <c r="Q69" s="2405">
        <f ca="1">L52</f>
        <v>0</v>
      </c>
      <c r="R69" s="2406" t="s">
        <v>2419</v>
      </c>
    </row>
    <row r="70" spans="1:18" s="2059" customFormat="1" ht="20.25" thickBot="1">
      <c r="A70" s="2096"/>
      <c r="B70" s="2097"/>
      <c r="C70" s="2097"/>
      <c r="K70" s="2086"/>
      <c r="O70" s="2401" t="s">
        <v>2387</v>
      </c>
      <c r="P70" s="2407" t="s">
        <v>2401</v>
      </c>
      <c r="Q70" s="2400">
        <f ca="1">ROUND(Q71-Q72*Q73,0)</f>
        <v>0</v>
      </c>
      <c r="R70" s="2403"/>
    </row>
    <row r="71" spans="1:18" s="2059" customFormat="1" ht="15.75" thickBot="1">
      <c r="A71" s="2096"/>
      <c r="B71" s="2097"/>
      <c r="C71" s="2097"/>
      <c r="K71" s="2086"/>
      <c r="O71" s="2401" t="s">
        <v>2402</v>
      </c>
      <c r="P71" s="2407" t="s">
        <v>2403</v>
      </c>
      <c r="Q71" s="2400">
        <f ca="1">C42</f>
        <v>0</v>
      </c>
      <c r="R71" s="2399" t="s">
        <v>2383</v>
      </c>
    </row>
    <row r="72" spans="1:18" s="2059" customFormat="1" ht="15.75" thickBot="1">
      <c r="A72" s="2096"/>
      <c r="B72" s="2097"/>
      <c r="C72" s="2097"/>
      <c r="K72" s="2086"/>
      <c r="O72" s="2401" t="s">
        <v>2404</v>
      </c>
      <c r="P72" s="2407" t="s">
        <v>2405</v>
      </c>
      <c r="Q72" s="2400">
        <f ca="1">C15</f>
        <v>0</v>
      </c>
      <c r="R72" s="2399" t="s">
        <v>2383</v>
      </c>
    </row>
    <row r="73" spans="1:18" s="2059" customFormat="1" ht="15.75" thickBot="1">
      <c r="A73" s="2096"/>
      <c r="B73" s="2097"/>
      <c r="C73" s="2097"/>
      <c r="K73" s="2086"/>
      <c r="O73" s="2401" t="s">
        <v>2406</v>
      </c>
      <c r="P73" s="2407" t="s">
        <v>2407</v>
      </c>
      <c r="Q73" s="2402">
        <f ca="1">F43</f>
        <v>0</v>
      </c>
      <c r="R73" s="2403"/>
    </row>
    <row r="74" spans="1:18" s="2059" customFormat="1" ht="15.75" thickBot="1">
      <c r="A74" s="2096"/>
      <c r="B74" s="2097"/>
      <c r="C74" s="2097"/>
      <c r="K74" s="2086"/>
      <c r="O74" s="2401" t="s">
        <v>2389</v>
      </c>
      <c r="P74" s="2399" t="s">
        <v>2396</v>
      </c>
      <c r="Q74" s="2402">
        <f>L53</f>
        <v>0</v>
      </c>
      <c r="R74" s="2403"/>
    </row>
    <row r="75" spans="1:18" s="2059" customFormat="1" ht="20.25" thickBot="1">
      <c r="A75" s="2096"/>
      <c r="B75" s="2097"/>
      <c r="C75" s="2097"/>
      <c r="K75" s="2086"/>
      <c r="O75" s="2401" t="s">
        <v>2391</v>
      </c>
      <c r="P75" s="2399" t="s">
        <v>2397</v>
      </c>
      <c r="Q75" s="2400">
        <f ca="1">L59</f>
        <v>0</v>
      </c>
      <c r="R75" s="2403" t="s">
        <v>2398</v>
      </c>
    </row>
    <row r="76" spans="1:18" s="2059" customFormat="1" ht="20.25" thickBot="1">
      <c r="A76" s="2096"/>
      <c r="B76" s="2097"/>
      <c r="C76" s="2097"/>
      <c r="K76" s="2086"/>
      <c r="O76" s="2401" t="s">
        <v>2420</v>
      </c>
      <c r="P76" s="2399" t="s">
        <v>2399</v>
      </c>
      <c r="Q76" s="2400">
        <f ca="1">L60</f>
        <v>0</v>
      </c>
      <c r="R76" s="2403" t="s">
        <v>2400</v>
      </c>
    </row>
    <row r="77" spans="1:18" s="2059" customFormat="1" ht="15.75" thickBot="1">
      <c r="A77" s="2096"/>
      <c r="B77" s="2097"/>
      <c r="C77" s="2097"/>
      <c r="K77" s="2086"/>
      <c r="O77" s="2398" t="s">
        <v>2394</v>
      </c>
      <c r="P77" s="2399" t="s">
        <v>2411</v>
      </c>
      <c r="Q77" s="2400" t="e">
        <f ca="1">Q67+Q68</f>
        <v>#DIV/0!</v>
      </c>
      <c r="R77" s="2403" t="s">
        <v>2395</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E32" sqref="E32:G32"/>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51" t="s">
        <v>2579</v>
      </c>
      <c r="C1" s="3451"/>
      <c r="D1" s="3451"/>
      <c r="E1" s="3451"/>
      <c r="F1" s="3451"/>
      <c r="G1" s="3450" t="s">
        <v>2580</v>
      </c>
      <c r="H1" s="3450"/>
      <c r="I1" s="3450"/>
      <c r="J1" s="3450"/>
      <c r="K1" s="3450"/>
      <c r="L1" s="3450"/>
      <c r="N1" s="3450" t="s">
        <v>2581</v>
      </c>
      <c r="O1" s="3450"/>
      <c r="P1" s="3450"/>
      <c r="Q1" s="3450"/>
      <c r="R1" s="2654"/>
      <c r="S1" s="3450" t="s">
        <v>2582</v>
      </c>
      <c r="T1" s="3450"/>
      <c r="U1" s="3450"/>
      <c r="V1" s="3450"/>
      <c r="X1" s="3449" t="s">
        <v>2642</v>
      </c>
      <c r="Y1" s="3450"/>
      <c r="Z1" s="3450"/>
      <c r="AA1" s="3450"/>
      <c r="AB1" s="3450"/>
      <c r="AD1" s="3449" t="s">
        <v>2646</v>
      </c>
      <c r="AE1" s="3450"/>
      <c r="AF1" s="3450"/>
      <c r="AG1" s="3450"/>
      <c r="AH1" s="3450"/>
    </row>
    <row r="2" spans="1:34" s="2756" customFormat="1" ht="14.25" thickBot="1">
      <c r="B2" s="2764" t="s">
        <v>2583</v>
      </c>
      <c r="C2" s="2764" t="s">
        <v>2644</v>
      </c>
      <c r="D2" s="2757" t="s">
        <v>1645</v>
      </c>
      <c r="E2" s="2757" t="s">
        <v>1952</v>
      </c>
      <c r="F2" s="2764" t="s">
        <v>2645</v>
      </c>
      <c r="G2" s="2760"/>
      <c r="H2" s="2759"/>
      <c r="I2" s="2764" t="s">
        <v>2958</v>
      </c>
      <c r="J2" s="2757" t="s">
        <v>2960</v>
      </c>
      <c r="K2" s="2757" t="s">
        <v>2961</v>
      </c>
      <c r="L2" s="2764" t="s">
        <v>2962</v>
      </c>
      <c r="N2" s="2764" t="s">
        <v>2583</v>
      </c>
      <c r="O2" s="2757" t="s">
        <v>2959</v>
      </c>
      <c r="P2" s="2757" t="s">
        <v>1952</v>
      </c>
      <c r="Q2" s="2764" t="s">
        <v>2645</v>
      </c>
      <c r="R2" s="2758"/>
      <c r="S2" s="2764" t="s">
        <v>2583</v>
      </c>
      <c r="T2" s="2757" t="s">
        <v>2959</v>
      </c>
      <c r="U2" s="2757" t="s">
        <v>1952</v>
      </c>
      <c r="V2" s="2764" t="s">
        <v>2645</v>
      </c>
      <c r="X2" s="2764" t="s">
        <v>2583</v>
      </c>
      <c r="Y2" s="2764" t="s">
        <v>2644</v>
      </c>
      <c r="Z2" s="2757" t="s">
        <v>1645</v>
      </c>
      <c r="AA2" s="2757" t="s">
        <v>1952</v>
      </c>
      <c r="AB2" s="2764" t="s">
        <v>2645</v>
      </c>
      <c r="AD2" s="2764" t="s">
        <v>2583</v>
      </c>
      <c r="AE2" s="2764" t="s">
        <v>2644</v>
      </c>
      <c r="AF2" s="2757" t="s">
        <v>1645</v>
      </c>
      <c r="AG2" s="2757" t="s">
        <v>1952</v>
      </c>
      <c r="AH2" s="2764" t="s">
        <v>2645</v>
      </c>
    </row>
    <row r="3" spans="1:34" s="3133" customFormat="1" ht="14.25">
      <c r="A3" s="3145" t="s">
        <v>2971</v>
      </c>
      <c r="B3" s="3134"/>
      <c r="C3" s="3134"/>
      <c r="D3" s="3135"/>
      <c r="E3" s="3135"/>
      <c r="F3" s="3134"/>
      <c r="G3" s="3136"/>
      <c r="H3" s="3137"/>
      <c r="I3" s="3144">
        <f>ROUND(AVERAGE($I8:$I23),2)</f>
        <v>2.4500000000000002</v>
      </c>
      <c r="J3" s="3144">
        <f>ROUND(AVERAGE($J8:$J23),2)</f>
        <v>1.65</v>
      </c>
      <c r="K3" s="3144">
        <f>ROUND(AVERAGE($K8:$K23),2)</f>
        <v>2.71</v>
      </c>
      <c r="L3" s="3144">
        <f>ROUND(AVERAGE($L8:$L23),2)</f>
        <v>1.39</v>
      </c>
      <c r="N3" s="3136"/>
      <c r="O3" s="3138"/>
      <c r="P3" s="3138"/>
      <c r="Q3" s="3138"/>
      <c r="R3" s="3138"/>
      <c r="S3" s="3136"/>
      <c r="T3" s="3138"/>
      <c r="U3" s="3138"/>
      <c r="V3" s="3138"/>
      <c r="W3" s="3141"/>
      <c r="X3" s="3139">
        <f>ROUND(SUMPRODUCT(PRODUCT(1+N3:N$22)),4)</f>
        <v>1.4733000000000001</v>
      </c>
      <c r="Y3" s="3139">
        <f>ROUND(SUMPRODUCT(PRODUCT(1+O3:O$22)),4)</f>
        <v>1.3052999999999999</v>
      </c>
      <c r="Z3" s="3139">
        <f t="shared" ref="Z3:Z20" si="0">Y3</f>
        <v>1.3052999999999999</v>
      </c>
      <c r="AA3" s="3139">
        <f>ROUND(SUMPRODUCT(PRODUCT(1+P3:P$22)),4)</f>
        <v>1.5306999999999999</v>
      </c>
      <c r="AB3" s="3139">
        <f>ROUND(SUMPRODUCT(PRODUCT(1+Q3:Q$22)),4)</f>
        <v>1.2863</v>
      </c>
      <c r="AD3" s="3140">
        <f>ROUND(AVERAGE(I3:I$23)/100,4)</f>
        <v>2.24E-2</v>
      </c>
      <c r="AE3" s="3140">
        <f>ROUND(AVERAGE(J3:J$23)/100,4)</f>
        <v>1.54E-2</v>
      </c>
      <c r="AF3" s="3140">
        <f t="shared" ref="AF3:AF21" si="1">AE3</f>
        <v>1.54E-2</v>
      </c>
      <c r="AG3" s="3140">
        <f>ROUND(AVERAGE(K3:K$23)/100,4)</f>
        <v>2.47E-2</v>
      </c>
      <c r="AH3" s="3140">
        <f>ROUND(AVERAGE(L3:L$23)/100,4)</f>
        <v>1.41E-2</v>
      </c>
    </row>
    <row r="4" spans="1:34" s="2749" customFormat="1" ht="14.25">
      <c r="B4" s="2750"/>
      <c r="C4" s="2750"/>
      <c r="D4" s="2751"/>
      <c r="E4" s="2751"/>
      <c r="F4" s="2750"/>
      <c r="G4" s="2755"/>
      <c r="H4" s="2752"/>
      <c r="I4" s="3126"/>
      <c r="J4" s="3126"/>
      <c r="K4" s="3126"/>
      <c r="L4" s="3126"/>
      <c r="N4" s="2755"/>
      <c r="O4" s="2753"/>
      <c r="P4" s="2753"/>
      <c r="Q4" s="2753"/>
      <c r="R4" s="2753"/>
      <c r="S4" s="2755"/>
      <c r="T4" s="2753"/>
      <c r="U4" s="2753"/>
      <c r="V4" s="2753"/>
      <c r="W4" s="3142"/>
      <c r="X4" s="2754"/>
      <c r="Y4" s="2754"/>
      <c r="Z4" s="2754"/>
      <c r="AA4" s="2754"/>
      <c r="AB4" s="2754"/>
      <c r="AD4" s="2674"/>
      <c r="AE4" s="2674"/>
      <c r="AF4" s="2674"/>
      <c r="AG4" s="2674"/>
      <c r="AH4" s="2674"/>
    </row>
    <row r="5" spans="1:34" s="3114" customFormat="1">
      <c r="A5" s="3112" t="s">
        <v>2982</v>
      </c>
      <c r="B5" s="2795">
        <f>B6*(1+N5)</f>
        <v>453.11529869999993</v>
      </c>
      <c r="C5" s="2795">
        <f t="shared" ref="C5" si="2">C6*(1+O5)</f>
        <v>336.47787264000004</v>
      </c>
      <c r="D5" s="2795">
        <f t="shared" ref="D5" si="3">C5</f>
        <v>336.47787264000004</v>
      </c>
      <c r="E5" s="2795">
        <f t="shared" ref="E5" si="4">E6*(1+P5)</f>
        <v>647.35186823999993</v>
      </c>
      <c r="F5" s="2795">
        <f t="shared" ref="F5" si="5">F6*(1+Q5)</f>
        <v>295.73229452000004</v>
      </c>
      <c r="G5" s="2755">
        <v>2018</v>
      </c>
      <c r="H5" s="3113">
        <v>3</v>
      </c>
      <c r="I5" s="3127">
        <v>1.49</v>
      </c>
      <c r="J5" s="3127">
        <v>0.96</v>
      </c>
      <c r="K5" s="3127">
        <v>1.58</v>
      </c>
      <c r="L5" s="3127">
        <v>2.44</v>
      </c>
      <c r="N5" s="2762">
        <f t="shared" ref="N5" si="6">I5/100</f>
        <v>1.49E-2</v>
      </c>
      <c r="O5" s="2762">
        <f t="shared" ref="O5" si="7">J5/100</f>
        <v>9.5999999999999992E-3</v>
      </c>
      <c r="P5" s="2762">
        <f t="shared" ref="P5" si="8">K5/100</f>
        <v>1.5800000000000002E-2</v>
      </c>
      <c r="Q5" s="2762">
        <f t="shared" ref="Q5" si="9">L5/100</f>
        <v>2.4399999999999998E-2</v>
      </c>
      <c r="R5" s="3115"/>
      <c r="S5" s="3116"/>
      <c r="T5" s="3115"/>
      <c r="U5" s="3115"/>
      <c r="V5" s="3115"/>
      <c r="W5" s="3143" t="s">
        <v>2972</v>
      </c>
      <c r="X5" s="3117">
        <f>ROUND(SUMPRODUCT(PRODUCT(1+N5:N$22)),4)</f>
        <v>1.4733000000000001</v>
      </c>
      <c r="Y5" s="3117">
        <f>ROUND(SUMPRODUCT(PRODUCT(1+O5:O$22)),4)</f>
        <v>1.3052999999999999</v>
      </c>
      <c r="Z5" s="3117">
        <f t="shared" ref="Z5" si="10">Y5</f>
        <v>1.3052999999999999</v>
      </c>
      <c r="AA5" s="3117">
        <f>ROUND(SUMPRODUCT(PRODUCT(1+P5:P$22)),4)</f>
        <v>1.5306999999999999</v>
      </c>
      <c r="AB5" s="3117">
        <f>ROUND(SUMPRODUCT(PRODUCT(1+Q5:Q$22)),4)</f>
        <v>1.2863</v>
      </c>
      <c r="AD5" s="3118">
        <f>ROUND(AVERAGE(I5:I$23)/100,4)</f>
        <v>2.23E-2</v>
      </c>
      <c r="AE5" s="3118">
        <f>ROUND(AVERAGE(J5:J$23)/100,4)</f>
        <v>1.54E-2</v>
      </c>
      <c r="AF5" s="3118">
        <f t="shared" ref="AF5" si="11">AE5</f>
        <v>1.54E-2</v>
      </c>
      <c r="AG5" s="3118">
        <f>ROUND(AVERAGE(K5:K$23)/100,4)</f>
        <v>2.4500000000000001E-2</v>
      </c>
      <c r="AH5" s="3118">
        <f>ROUND(AVERAGE(L5:L$23)/100,4)</f>
        <v>1.41E-2</v>
      </c>
    </row>
    <row r="6" spans="1:34" s="2761" customFormat="1" ht="13.5" thickBot="1">
      <c r="A6" s="2655" t="s">
        <v>2983</v>
      </c>
      <c r="B6" s="2669">
        <f>B7*(1+N6)</f>
        <v>446.46299999999997</v>
      </c>
      <c r="C6" s="2669">
        <f t="shared" ref="C6" si="12">C7*(1+O6)</f>
        <v>333.27840000000003</v>
      </c>
      <c r="D6" s="2669">
        <f t="shared" ref="D6" si="13">C6</f>
        <v>333.27840000000003</v>
      </c>
      <c r="E6" s="2669">
        <f t="shared" ref="E6" si="14">E7*(1+P6)</f>
        <v>637.28279999999995</v>
      </c>
      <c r="F6" s="2669">
        <f t="shared" ref="F6" si="15">F7*(1+Q6)</f>
        <v>288.68830000000003</v>
      </c>
      <c r="G6" s="3132"/>
      <c r="H6" s="2659">
        <v>2</v>
      </c>
      <c r="I6" s="2659">
        <v>0</v>
      </c>
      <c r="J6" s="2659">
        <v>0</v>
      </c>
      <c r="K6" s="2659">
        <v>0</v>
      </c>
      <c r="L6" s="2670">
        <v>0</v>
      </c>
      <c r="M6" s="2663"/>
      <c r="N6" s="2664">
        <f t="shared" ref="N6" si="16">I6/100</f>
        <v>0</v>
      </c>
      <c r="O6" s="2665">
        <f t="shared" ref="O6" si="17">J6/100</f>
        <v>0</v>
      </c>
      <c r="P6" s="2665">
        <f t="shared" ref="P6" si="18">K6/100</f>
        <v>0</v>
      </c>
      <c r="Q6" s="2665">
        <f t="shared" ref="Q6" si="19">L6/100</f>
        <v>0</v>
      </c>
      <c r="R6" s="2666"/>
      <c r="S6" s="2672"/>
      <c r="T6" s="2673"/>
      <c r="U6" s="2673"/>
      <c r="V6" s="2673"/>
      <c r="W6" s="2663"/>
      <c r="X6" s="2754">
        <f>ROUND(SUMPRODUCT(PRODUCT(1+N6:N$22)),4)</f>
        <v>1.4517</v>
      </c>
      <c r="Y6" s="2754">
        <f>ROUND(SUMPRODUCT(PRODUCT(1+O6:O$22)),4)</f>
        <v>1.2928999999999999</v>
      </c>
      <c r="Z6" s="2754">
        <f t="shared" ref="Z6" si="20">Y6</f>
        <v>1.2928999999999999</v>
      </c>
      <c r="AA6" s="2754">
        <f>ROUND(SUMPRODUCT(PRODUCT(1+P6:P$22)),4)</f>
        <v>1.5068999999999999</v>
      </c>
      <c r="AB6" s="2754">
        <f>ROUND(SUMPRODUCT(PRODUCT(1+Q6:Q$22)),4)</f>
        <v>1.2557</v>
      </c>
      <c r="AC6" s="2663"/>
      <c r="AD6" s="2674">
        <f>ROUND(AVERAGE(I6:I$23)/100,4)</f>
        <v>2.2700000000000001E-2</v>
      </c>
      <c r="AE6" s="2674">
        <f>ROUND(AVERAGE(J6:J$23)/100,4)</f>
        <v>1.5699999999999999E-2</v>
      </c>
      <c r="AF6" s="2674">
        <f t="shared" ref="AF6" si="21">AE6</f>
        <v>1.5699999999999999E-2</v>
      </c>
      <c r="AG6" s="2674">
        <f>ROUND(AVERAGE(K6:K$23)/100,4)</f>
        <v>2.5000000000000001E-2</v>
      </c>
      <c r="AH6" s="2674">
        <f>ROUND(AVERAGE(L6:L$23)/100,4)</f>
        <v>1.35E-2</v>
      </c>
    </row>
    <row r="7" spans="1:34" s="2761" customFormat="1" ht="13.5" thickBot="1">
      <c r="A7" s="2655" t="s">
        <v>2978</v>
      </c>
      <c r="B7" s="2669">
        <f>B8*(1+N7)</f>
        <v>446.46299999999997</v>
      </c>
      <c r="C7" s="2669">
        <f t="shared" ref="C7" si="22">C8*(1+O7)</f>
        <v>333.27840000000003</v>
      </c>
      <c r="D7" s="2669">
        <f t="shared" ref="D7:D12" si="23">C7</f>
        <v>333.27840000000003</v>
      </c>
      <c r="E7" s="2669">
        <f t="shared" ref="E7" si="24">E8*(1+P7)</f>
        <v>637.28279999999995</v>
      </c>
      <c r="F7" s="2669">
        <f t="shared" ref="F7" si="25">F8*(1+Q7)</f>
        <v>288.68830000000003</v>
      </c>
      <c r="G7" s="3132"/>
      <c r="H7" s="2659">
        <v>1</v>
      </c>
      <c r="I7" s="2659">
        <v>1.7</v>
      </c>
      <c r="J7" s="2659">
        <v>1.92</v>
      </c>
      <c r="K7" s="2659">
        <v>1.64</v>
      </c>
      <c r="L7" s="2670">
        <v>2.0099999999999998</v>
      </c>
      <c r="M7" s="2663"/>
      <c r="N7" s="2664">
        <f t="shared" ref="N7:N12" si="26">I7/100</f>
        <v>1.7000000000000001E-2</v>
      </c>
      <c r="O7" s="2665">
        <f t="shared" ref="O7" si="27">J7/100</f>
        <v>1.9199999999999998E-2</v>
      </c>
      <c r="P7" s="2665">
        <f t="shared" ref="P7" si="28">K7/100</f>
        <v>1.6399999999999998E-2</v>
      </c>
      <c r="Q7" s="2665">
        <f t="shared" ref="Q7" si="29">L7/100</f>
        <v>2.0099999999999996E-2</v>
      </c>
      <c r="R7" s="2666"/>
      <c r="S7" s="2672">
        <f>B7/B8-1</f>
        <v>1.6999999999999904E-2</v>
      </c>
      <c r="T7" s="2673">
        <f>C7/C8-1</f>
        <v>1.9200000000000106E-2</v>
      </c>
      <c r="U7" s="2673">
        <f>E7/E8-1</f>
        <v>1.639999999999997E-2</v>
      </c>
      <c r="V7" s="2673">
        <f>F7/F8-1</f>
        <v>2.0100000000000007E-2</v>
      </c>
      <c r="W7" s="2663"/>
      <c r="X7" s="2754">
        <f>ROUND(SUMPRODUCT(PRODUCT(1+N7:N$22)),4)</f>
        <v>1.4517</v>
      </c>
      <c r="Y7" s="2754">
        <f>ROUND(SUMPRODUCT(PRODUCT(1+O7:O$22)),4)</f>
        <v>1.2928999999999999</v>
      </c>
      <c r="Z7" s="2754">
        <f t="shared" ref="Z7" si="30">Y7</f>
        <v>1.2928999999999999</v>
      </c>
      <c r="AA7" s="2754">
        <f>ROUND(SUMPRODUCT(PRODUCT(1+P7:P$22)),4)</f>
        <v>1.5068999999999999</v>
      </c>
      <c r="AB7" s="2754">
        <f>ROUND(SUMPRODUCT(PRODUCT(1+Q7:Q$22)),4)</f>
        <v>1.2557</v>
      </c>
      <c r="AC7" s="2663"/>
      <c r="AD7" s="2674">
        <f>ROUND(AVERAGE(I7:I$23)/100,4)</f>
        <v>2.4E-2</v>
      </c>
      <c r="AE7" s="2674">
        <f>ROUND(AVERAGE(J7:J$23)/100,4)</f>
        <v>1.66E-2</v>
      </c>
      <c r="AF7" s="2674">
        <f t="shared" ref="AF7" si="31">AE7</f>
        <v>1.66E-2</v>
      </c>
      <c r="AG7" s="2674">
        <f>ROUND(AVERAGE(K7:K$23)/100,4)</f>
        <v>2.6499999999999999E-2</v>
      </c>
      <c r="AH7" s="2674">
        <f>ROUND(AVERAGE(L7:L$23)/100,4)</f>
        <v>1.43E-2</v>
      </c>
    </row>
    <row r="8" spans="1:34">
      <c r="A8" s="2655" t="s">
        <v>2969</v>
      </c>
      <c r="B8" s="3147">
        <v>439</v>
      </c>
      <c r="C8" s="3147">
        <v>327</v>
      </c>
      <c r="D8" s="3147">
        <f t="shared" si="23"/>
        <v>327</v>
      </c>
      <c r="E8" s="3147">
        <v>627</v>
      </c>
      <c r="F8" s="3148">
        <v>283</v>
      </c>
      <c r="G8" s="3130">
        <v>2017</v>
      </c>
      <c r="H8" s="2656">
        <v>4</v>
      </c>
      <c r="I8" s="2656">
        <v>1.71</v>
      </c>
      <c r="J8" s="2656">
        <v>1.78</v>
      </c>
      <c r="K8" s="2656">
        <v>1.71</v>
      </c>
      <c r="L8" s="2657">
        <v>1.43</v>
      </c>
      <c r="N8" s="2664">
        <f t="shared" si="26"/>
        <v>1.7100000000000001E-2</v>
      </c>
      <c r="O8" s="2665">
        <f t="shared" ref="O8" si="32">J8/100</f>
        <v>1.78E-2</v>
      </c>
      <c r="P8" s="2665">
        <f t="shared" ref="P8" si="33">K8/100</f>
        <v>1.7100000000000001E-2</v>
      </c>
      <c r="Q8" s="2665">
        <f t="shared" ref="Q8" si="34">L8/100</f>
        <v>1.43E-2</v>
      </c>
      <c r="R8" s="2666"/>
      <c r="S8" s="2667"/>
      <c r="T8" s="2668"/>
      <c r="U8" s="2668"/>
      <c r="V8" s="2668"/>
      <c r="X8" s="2754">
        <f>ROUND(SUMPRODUCT(PRODUCT(1+N8:N$22)),4)</f>
        <v>1.4274</v>
      </c>
      <c r="Y8" s="2754">
        <f>ROUND(SUMPRODUCT(PRODUCT(1+O8:O$22)),4)</f>
        <v>1.2685</v>
      </c>
      <c r="Z8" s="2754">
        <f t="shared" si="0"/>
        <v>1.2685</v>
      </c>
      <c r="AA8" s="2754">
        <f>ROUND(SUMPRODUCT(PRODUCT(1+P8:P$22)),4)</f>
        <v>1.4825999999999999</v>
      </c>
      <c r="AB8" s="2754">
        <f>ROUND(SUMPRODUCT(PRODUCT(1+Q8:Q$22)),4)</f>
        <v>1.2309000000000001</v>
      </c>
      <c r="AD8" s="2674">
        <f>ROUND(AVERAGE(I8:I$23)/100,4)</f>
        <v>2.4500000000000001E-2</v>
      </c>
      <c r="AE8" s="2674">
        <f>ROUND(AVERAGE(J8:J$23)/100,4)</f>
        <v>1.6500000000000001E-2</v>
      </c>
      <c r="AF8" s="2674">
        <f t="shared" si="1"/>
        <v>1.6500000000000001E-2</v>
      </c>
      <c r="AG8" s="2674">
        <f>ROUND(AVERAGE(K8:K$23)/100,4)</f>
        <v>2.7099999999999999E-2</v>
      </c>
      <c r="AH8" s="2674">
        <f>ROUND(AVERAGE(L8:L$23)/100,4)</f>
        <v>1.3899999999999999E-2</v>
      </c>
    </row>
    <row r="9" spans="1:34" s="2761" customFormat="1" ht="13.5" thickBot="1">
      <c r="A9" s="2655" t="s">
        <v>2973</v>
      </c>
      <c r="B9" s="2669">
        <f t="shared" ref="B9:C11" si="35">B10*(1+N9)</f>
        <v>431.80730811680002</v>
      </c>
      <c r="C9" s="2669">
        <f t="shared" si="35"/>
        <v>320.57880516480003</v>
      </c>
      <c r="D9" s="2669">
        <f t="shared" si="23"/>
        <v>320.57880516480003</v>
      </c>
      <c r="E9" s="2669">
        <f t="shared" ref="E9:F11" si="36">E10*(1+P9)</f>
        <v>615.96110553196797</v>
      </c>
      <c r="F9" s="2669">
        <f t="shared" si="36"/>
        <v>279.46777300108801</v>
      </c>
      <c r="G9" s="3132"/>
      <c r="H9" s="2659">
        <v>3</v>
      </c>
      <c r="I9" s="2659">
        <v>2.98</v>
      </c>
      <c r="J9" s="2659">
        <v>2.11</v>
      </c>
      <c r="K9" s="2659">
        <v>3.24</v>
      </c>
      <c r="L9" s="2670">
        <v>1.72</v>
      </c>
      <c r="M9" s="2663"/>
      <c r="N9" s="2664">
        <f t="shared" si="26"/>
        <v>2.98E-2</v>
      </c>
      <c r="O9" s="2665">
        <f t="shared" ref="O9:O10" si="37">J9/100</f>
        <v>2.1099999999999997E-2</v>
      </c>
      <c r="P9" s="2665">
        <f t="shared" ref="P9:P10" si="38">K9/100</f>
        <v>3.2400000000000005E-2</v>
      </c>
      <c r="Q9" s="2665">
        <f t="shared" ref="Q9:Q10" si="39">L9/100</f>
        <v>1.72E-2</v>
      </c>
      <c r="R9" s="2666"/>
      <c r="S9" s="2672"/>
      <c r="T9" s="2673"/>
      <c r="U9" s="2673"/>
      <c r="V9" s="2673"/>
      <c r="W9" s="2663"/>
      <c r="X9" s="2754">
        <f>ROUND(SUMPRODUCT(PRODUCT(1+N9:N$22)),4)</f>
        <v>1.4034</v>
      </c>
      <c r="Y9" s="2754">
        <f>ROUND(SUMPRODUCT(PRODUCT(1+O9:O$22)),4)</f>
        <v>1.2463</v>
      </c>
      <c r="Z9" s="2754">
        <f t="shared" si="0"/>
        <v>1.2463</v>
      </c>
      <c r="AA9" s="2754">
        <f>ROUND(SUMPRODUCT(PRODUCT(1+P9:P$22)),4)</f>
        <v>1.4577</v>
      </c>
      <c r="AB9" s="2754">
        <f>ROUND(SUMPRODUCT(PRODUCT(1+Q9:Q$22)),4)</f>
        <v>1.2136</v>
      </c>
      <c r="AC9" s="2663"/>
      <c r="AD9" s="2674">
        <f>ROUND(AVERAGE(I9:I$23)/100,4)</f>
        <v>2.4899999999999999E-2</v>
      </c>
      <c r="AE9" s="2674">
        <f>ROUND(AVERAGE(J9:J$23)/100,4)</f>
        <v>1.6400000000000001E-2</v>
      </c>
      <c r="AF9" s="2674">
        <f t="shared" si="1"/>
        <v>1.6400000000000001E-2</v>
      </c>
      <c r="AG9" s="2674">
        <f>ROUND(AVERAGE(K9:K$23)/100,4)</f>
        <v>2.7799999999999998E-2</v>
      </c>
      <c r="AH9" s="2674">
        <f>ROUND(AVERAGE(L9:L$23)/100,4)</f>
        <v>1.3899999999999999E-2</v>
      </c>
    </row>
    <row r="10" spans="1:34" s="2653" customFormat="1">
      <c r="A10" s="2655" t="s">
        <v>2584</v>
      </c>
      <c r="B10" s="2669">
        <f t="shared" si="35"/>
        <v>419.31181600000002</v>
      </c>
      <c r="C10" s="2669">
        <f t="shared" si="35"/>
        <v>313.95436800000004</v>
      </c>
      <c r="D10" s="2669">
        <f t="shared" si="23"/>
        <v>313.95436800000004</v>
      </c>
      <c r="E10" s="2669">
        <f t="shared" si="36"/>
        <v>596.63028431999999</v>
      </c>
      <c r="F10" s="2669">
        <f t="shared" si="36"/>
        <v>274.74220703999998</v>
      </c>
      <c r="G10" s="3131"/>
      <c r="H10" s="2660">
        <v>2</v>
      </c>
      <c r="I10" s="2660">
        <v>3.4</v>
      </c>
      <c r="J10" s="2660">
        <v>2</v>
      </c>
      <c r="K10" s="2660">
        <v>3.82</v>
      </c>
      <c r="L10" s="2671">
        <v>1.68</v>
      </c>
      <c r="N10" s="2664">
        <f t="shared" si="26"/>
        <v>3.4000000000000002E-2</v>
      </c>
      <c r="O10" s="2665">
        <f t="shared" si="37"/>
        <v>0.02</v>
      </c>
      <c r="P10" s="2665">
        <f t="shared" si="38"/>
        <v>3.8199999999999998E-2</v>
      </c>
      <c r="Q10" s="2665">
        <f t="shared" si="39"/>
        <v>1.6799999999999999E-2</v>
      </c>
      <c r="R10" s="2654"/>
      <c r="S10" s="2658"/>
      <c r="T10" s="2654"/>
      <c r="U10" s="2654"/>
      <c r="V10" s="2654"/>
      <c r="X10" s="2754">
        <f>ROUND(SUMPRODUCT(PRODUCT(1+N10:N$22)),4)</f>
        <v>1.3628</v>
      </c>
      <c r="Y10" s="2754">
        <f>ROUND(SUMPRODUCT(PRODUCT(1+O10:O$22)),4)</f>
        <v>1.2205999999999999</v>
      </c>
      <c r="Z10" s="2754">
        <f t="shared" si="0"/>
        <v>1.2205999999999999</v>
      </c>
      <c r="AA10" s="2754">
        <f>ROUND(SUMPRODUCT(PRODUCT(1+P10:P$22)),4)</f>
        <v>1.4118999999999999</v>
      </c>
      <c r="AB10" s="2754">
        <f>ROUND(SUMPRODUCT(PRODUCT(1+Q10:Q$22)),4)</f>
        <v>1.1930000000000001</v>
      </c>
      <c r="AD10" s="2674">
        <f>ROUND(AVERAGE(I10:I$23)/100,4)</f>
        <v>2.46E-2</v>
      </c>
      <c r="AE10" s="2674">
        <f>ROUND(AVERAGE(J10:J$23)/100,4)</f>
        <v>1.6E-2</v>
      </c>
      <c r="AF10" s="2674">
        <f t="shared" si="1"/>
        <v>1.6E-2</v>
      </c>
      <c r="AG10" s="2674">
        <f>ROUND(AVERAGE(K10:K$23)/100,4)</f>
        <v>2.75E-2</v>
      </c>
      <c r="AH10" s="2674">
        <f>ROUND(AVERAGE(L10:L$23)/100,4)</f>
        <v>1.37E-2</v>
      </c>
    </row>
    <row r="11" spans="1:34" s="2761" customFormat="1" ht="13.5" thickBot="1">
      <c r="A11" s="2655" t="s">
        <v>2585</v>
      </c>
      <c r="B11" s="2669">
        <f t="shared" si="35"/>
        <v>405.524</v>
      </c>
      <c r="C11" s="2669">
        <f t="shared" si="35"/>
        <v>307.79840000000002</v>
      </c>
      <c r="D11" s="2669">
        <f t="shared" si="23"/>
        <v>307.79840000000002</v>
      </c>
      <c r="E11" s="2669">
        <f t="shared" si="36"/>
        <v>574.67759999999998</v>
      </c>
      <c r="F11" s="2669">
        <f t="shared" si="36"/>
        <v>270.20280000000002</v>
      </c>
      <c r="G11" s="3132"/>
      <c r="H11" s="2659">
        <v>1</v>
      </c>
      <c r="I11" s="2659">
        <v>3.45</v>
      </c>
      <c r="J11" s="2659">
        <v>1.92</v>
      </c>
      <c r="K11" s="2659">
        <v>3.92</v>
      </c>
      <c r="L11" s="2670">
        <v>1.58</v>
      </c>
      <c r="M11" s="2663"/>
      <c r="N11" s="2664">
        <f t="shared" si="26"/>
        <v>3.4500000000000003E-2</v>
      </c>
      <c r="O11" s="2665">
        <f t="shared" ref="O11" si="40">J11/100</f>
        <v>1.9199999999999998E-2</v>
      </c>
      <c r="P11" s="2665">
        <f t="shared" ref="P11" si="41">K11/100</f>
        <v>3.9199999999999999E-2</v>
      </c>
      <c r="Q11" s="2665">
        <f t="shared" ref="Q11" si="42">L11/100</f>
        <v>1.5800000000000002E-2</v>
      </c>
      <c r="R11" s="2666"/>
      <c r="S11" s="2672">
        <f>B11/B12-1</f>
        <v>3.4499999999999975E-2</v>
      </c>
      <c r="T11" s="2673">
        <f>C11/C12-1</f>
        <v>1.9200000000000106E-2</v>
      </c>
      <c r="U11" s="2673">
        <f>E11/E12-1</f>
        <v>3.9199999999999902E-2</v>
      </c>
      <c r="V11" s="2673">
        <f>F11/F12-1</f>
        <v>1.5800000000000036E-2</v>
      </c>
      <c r="W11" s="2663"/>
      <c r="X11" s="2754">
        <f>ROUND(SUMPRODUCT(PRODUCT(1+N11:N$22)),4)</f>
        <v>1.3180000000000001</v>
      </c>
      <c r="Y11" s="2754">
        <f>ROUND(SUMPRODUCT(PRODUCT(1+O11:O$22)),4)</f>
        <v>1.1966000000000001</v>
      </c>
      <c r="Z11" s="2754">
        <f t="shared" si="0"/>
        <v>1.1966000000000001</v>
      </c>
      <c r="AA11" s="2754">
        <f>ROUND(SUMPRODUCT(PRODUCT(1+P11:P$22)),4)</f>
        <v>1.36</v>
      </c>
      <c r="AB11" s="2754">
        <f>ROUND(SUMPRODUCT(PRODUCT(1+Q11:Q$22)),4)</f>
        <v>1.1733</v>
      </c>
      <c r="AC11" s="2663"/>
      <c r="AD11" s="2674">
        <f>ROUND(AVERAGE(I11:I$23)/100,4)</f>
        <v>2.3900000000000001E-2</v>
      </c>
      <c r="AE11" s="2674">
        <f>ROUND(AVERAGE(J11:J$23)/100,4)</f>
        <v>1.5699999999999999E-2</v>
      </c>
      <c r="AF11" s="2674">
        <f t="shared" si="1"/>
        <v>1.5699999999999999E-2</v>
      </c>
      <c r="AG11" s="2674">
        <f>ROUND(AVERAGE(K11:K$23)/100,4)</f>
        <v>2.6599999999999999E-2</v>
      </c>
      <c r="AH11" s="2674">
        <f>ROUND(AVERAGE(L11:L$23)/100,4)</f>
        <v>1.34E-2</v>
      </c>
    </row>
    <row r="12" spans="1:34">
      <c r="A12" s="2655" t="s">
        <v>971</v>
      </c>
      <c r="B12" s="2661">
        <v>392</v>
      </c>
      <c r="C12" s="2661">
        <v>302</v>
      </c>
      <c r="D12" s="2661">
        <f t="shared" si="23"/>
        <v>302</v>
      </c>
      <c r="E12" s="2661">
        <v>553</v>
      </c>
      <c r="F12" s="2662">
        <v>266</v>
      </c>
      <c r="G12" s="3448">
        <v>2016</v>
      </c>
      <c r="H12" s="2656">
        <v>4</v>
      </c>
      <c r="I12" s="2656">
        <v>4.5599999999999996</v>
      </c>
      <c r="J12" s="2656">
        <v>2.15</v>
      </c>
      <c r="K12" s="2656">
        <v>5.32</v>
      </c>
      <c r="L12" s="2657">
        <v>1.57</v>
      </c>
      <c r="N12" s="2664">
        <f t="shared" si="26"/>
        <v>4.5599999999999995E-2</v>
      </c>
      <c r="O12" s="2665">
        <f t="shared" ref="O12:Q27" si="43">J12/100</f>
        <v>2.1499999999999998E-2</v>
      </c>
      <c r="P12" s="2665">
        <f t="shared" si="43"/>
        <v>5.3200000000000004E-2</v>
      </c>
      <c r="Q12" s="2665">
        <f t="shared" si="43"/>
        <v>1.5700000000000002E-2</v>
      </c>
      <c r="R12" s="2666"/>
      <c r="S12" s="2667"/>
      <c r="T12" s="2668"/>
      <c r="U12" s="2668"/>
      <c r="V12" s="2668"/>
      <c r="X12" s="2754">
        <f>ROUND(SUMPRODUCT(PRODUCT(1+N12:N$22)),4)</f>
        <v>1.274</v>
      </c>
      <c r="Y12" s="2754">
        <f>ROUND(SUMPRODUCT(PRODUCT(1+O12:O$22)),4)</f>
        <v>1.1740999999999999</v>
      </c>
      <c r="Z12" s="2754">
        <f t="shared" si="0"/>
        <v>1.1740999999999999</v>
      </c>
      <c r="AA12" s="2754">
        <f>ROUND(SUMPRODUCT(PRODUCT(1+P12:P$22)),4)</f>
        <v>1.3087</v>
      </c>
      <c r="AB12" s="2754">
        <f>ROUND(SUMPRODUCT(PRODUCT(1+Q12:Q$22)),4)</f>
        <v>1.1551</v>
      </c>
      <c r="AD12" s="2674">
        <f>ROUND(AVERAGE(I12:I$23)/100,4)</f>
        <v>2.3E-2</v>
      </c>
      <c r="AE12" s="2674">
        <f>ROUND(AVERAGE(J12:J$23)/100,4)</f>
        <v>1.55E-2</v>
      </c>
      <c r="AF12" s="2674">
        <f t="shared" si="1"/>
        <v>1.55E-2</v>
      </c>
      <c r="AG12" s="2674">
        <f>ROUND(AVERAGE(K12:K$23)/100,4)</f>
        <v>2.5600000000000001E-2</v>
      </c>
      <c r="AH12" s="2674">
        <f>ROUND(AVERAGE(L12:L$23)/100,4)</f>
        <v>1.32E-2</v>
      </c>
    </row>
    <row r="13" spans="1:34">
      <c r="A13" s="2655" t="s">
        <v>970</v>
      </c>
      <c r="B13" s="2669">
        <f t="shared" ref="B13:C15" si="44">B12/(1+N12)</f>
        <v>374.90436113236416</v>
      </c>
      <c r="C13" s="2669">
        <f t="shared" si="44"/>
        <v>295.64366128242779</v>
      </c>
      <c r="D13" s="2669">
        <f t="shared" ref="D13:D72" si="45">C13</f>
        <v>295.64366128242779</v>
      </c>
      <c r="E13" s="2669">
        <f t="shared" ref="E13:F15" si="46">E12/(1+P12)</f>
        <v>525.06646410938095</v>
      </c>
      <c r="F13" s="2669">
        <f t="shared" si="46"/>
        <v>261.88835286009646</v>
      </c>
      <c r="G13" s="3446"/>
      <c r="H13" s="2659">
        <v>3</v>
      </c>
      <c r="I13" s="2659">
        <v>4.12</v>
      </c>
      <c r="J13" s="2659">
        <v>2</v>
      </c>
      <c r="K13" s="2659">
        <v>4.79</v>
      </c>
      <c r="L13" s="2670">
        <v>1.97</v>
      </c>
      <c r="N13" s="2664">
        <f t="shared" ref="N13:Q47" si="47">I13/100</f>
        <v>4.1200000000000001E-2</v>
      </c>
      <c r="O13" s="2665">
        <f t="shared" si="43"/>
        <v>0.02</v>
      </c>
      <c r="P13" s="2665">
        <f t="shared" si="43"/>
        <v>4.7899999999999998E-2</v>
      </c>
      <c r="Q13" s="2665">
        <f t="shared" si="43"/>
        <v>1.9699999999999999E-2</v>
      </c>
      <c r="R13" s="2666"/>
      <c r="S13" s="2664"/>
      <c r="T13" s="2665"/>
      <c r="U13" s="2665"/>
      <c r="V13" s="2665"/>
      <c r="X13" s="2754">
        <f>ROUND(SUMPRODUCT(PRODUCT(1+N13:N$22)),4)</f>
        <v>1.2184999999999999</v>
      </c>
      <c r="Y13" s="2754">
        <f>ROUND(SUMPRODUCT(PRODUCT(1+O13:O$22)),4)</f>
        <v>1.1494</v>
      </c>
      <c r="Z13" s="2754">
        <f t="shared" si="0"/>
        <v>1.1494</v>
      </c>
      <c r="AA13" s="2754">
        <f>ROUND(SUMPRODUCT(PRODUCT(1+P13:P$22)),4)</f>
        <v>1.2425999999999999</v>
      </c>
      <c r="AB13" s="2754">
        <f>ROUND(SUMPRODUCT(PRODUCT(1+Q13:Q$22)),4)</f>
        <v>1.1372</v>
      </c>
      <c r="AD13" s="2674">
        <f>ROUND(AVERAGE(I13:I$23)/100,4)</f>
        <v>2.0899999999999998E-2</v>
      </c>
      <c r="AE13" s="2674">
        <f>ROUND(AVERAGE(J13:J$23)/100,4)</f>
        <v>1.49E-2</v>
      </c>
      <c r="AF13" s="2674">
        <f t="shared" si="1"/>
        <v>1.49E-2</v>
      </c>
      <c r="AG13" s="2674">
        <f>ROUND(AVERAGE(K13:K$23)/100,4)</f>
        <v>2.3099999999999999E-2</v>
      </c>
      <c r="AH13" s="2674">
        <f>ROUND(AVERAGE(L13:L$23)/100,4)</f>
        <v>1.2999999999999999E-2</v>
      </c>
    </row>
    <row r="14" spans="1:34">
      <c r="A14" s="2655" t="s">
        <v>960</v>
      </c>
      <c r="B14" s="2669">
        <f t="shared" si="44"/>
        <v>360.06949782209392</v>
      </c>
      <c r="C14" s="2669">
        <f t="shared" si="44"/>
        <v>289.84672674747821</v>
      </c>
      <c r="D14" s="2669">
        <f t="shared" si="45"/>
        <v>289.84672674747821</v>
      </c>
      <c r="E14" s="2669">
        <f t="shared" si="46"/>
        <v>501.06543001181495</v>
      </c>
      <c r="F14" s="2669">
        <f t="shared" si="46"/>
        <v>256.82882500744967</v>
      </c>
      <c r="G14" s="3446"/>
      <c r="H14" s="2660">
        <v>2</v>
      </c>
      <c r="I14" s="2660">
        <v>3.85</v>
      </c>
      <c r="J14" s="2660">
        <v>1.95</v>
      </c>
      <c r="K14" s="2660">
        <v>4.4800000000000004</v>
      </c>
      <c r="L14" s="2671">
        <v>1.41</v>
      </c>
      <c r="N14" s="2664">
        <f t="shared" si="47"/>
        <v>3.85E-2</v>
      </c>
      <c r="O14" s="2665">
        <f t="shared" si="43"/>
        <v>1.95E-2</v>
      </c>
      <c r="P14" s="2665">
        <f t="shared" si="43"/>
        <v>4.4800000000000006E-2</v>
      </c>
      <c r="Q14" s="2665">
        <f t="shared" si="43"/>
        <v>1.41E-2</v>
      </c>
      <c r="R14" s="2666"/>
      <c r="S14" s="2664"/>
      <c r="T14" s="2665"/>
      <c r="U14" s="2665"/>
      <c r="V14" s="2665"/>
      <c r="X14" s="2754">
        <f>ROUND(SUMPRODUCT(PRODUCT(1+N14:N$22)),4)</f>
        <v>1.1702999999999999</v>
      </c>
      <c r="Y14" s="2754">
        <f>ROUND(SUMPRODUCT(PRODUCT(1+O14:O$22)),4)</f>
        <v>1.1269</v>
      </c>
      <c r="Z14" s="2754">
        <f t="shared" si="0"/>
        <v>1.1269</v>
      </c>
      <c r="AA14" s="2754">
        <f>ROUND(SUMPRODUCT(PRODUCT(1+P14:P$22)),4)</f>
        <v>1.1858</v>
      </c>
      <c r="AB14" s="2754">
        <f>ROUND(SUMPRODUCT(PRODUCT(1+Q14:Q$22)),4)</f>
        <v>1.1152</v>
      </c>
      <c r="AD14" s="2674">
        <f>ROUND(AVERAGE(I14:I$23)/100,4)</f>
        <v>1.89E-2</v>
      </c>
      <c r="AE14" s="2674">
        <f>ROUND(AVERAGE(J14:J$23)/100,4)</f>
        <v>1.44E-2</v>
      </c>
      <c r="AF14" s="2674">
        <f t="shared" si="1"/>
        <v>1.44E-2</v>
      </c>
      <c r="AG14" s="2674">
        <f>ROUND(AVERAGE(K14:K$23)/100,4)</f>
        <v>2.06E-2</v>
      </c>
      <c r="AH14" s="2674">
        <f>ROUND(AVERAGE(L14:L$23)/100,4)</f>
        <v>1.23E-2</v>
      </c>
    </row>
    <row r="15" spans="1:34" ht="13.5" thickBot="1">
      <c r="A15" s="2655" t="s">
        <v>969</v>
      </c>
      <c r="B15" s="2669">
        <f t="shared" si="44"/>
        <v>346.720748986128</v>
      </c>
      <c r="C15" s="2669">
        <f t="shared" si="44"/>
        <v>284.30282172386285</v>
      </c>
      <c r="D15" s="2669">
        <f t="shared" si="45"/>
        <v>284.30282172386285</v>
      </c>
      <c r="E15" s="2669">
        <f t="shared" si="46"/>
        <v>479.58023546306947</v>
      </c>
      <c r="F15" s="2669">
        <f t="shared" si="46"/>
        <v>253.25788877571213</v>
      </c>
      <c r="G15" s="3447"/>
      <c r="H15" s="2659">
        <v>1</v>
      </c>
      <c r="I15" s="2659">
        <v>4.09</v>
      </c>
      <c r="J15" s="2659">
        <v>2.93</v>
      </c>
      <c r="K15" s="2659">
        <v>4.54</v>
      </c>
      <c r="L15" s="2670">
        <v>1.48</v>
      </c>
      <c r="N15" s="2664">
        <f t="shared" si="47"/>
        <v>4.0899999999999999E-2</v>
      </c>
      <c r="O15" s="2665">
        <f t="shared" si="43"/>
        <v>2.9300000000000003E-2</v>
      </c>
      <c r="P15" s="2665">
        <f t="shared" si="43"/>
        <v>4.5400000000000003E-2</v>
      </c>
      <c r="Q15" s="2665">
        <f t="shared" si="43"/>
        <v>1.4800000000000001E-2</v>
      </c>
      <c r="R15" s="2666"/>
      <c r="S15" s="2672">
        <f>B15/B16-1</f>
        <v>4.1203450408792808E-2</v>
      </c>
      <c r="T15" s="2673">
        <f>C15/C16-1</f>
        <v>2.6363977342465095E-2</v>
      </c>
      <c r="U15" s="2673">
        <f>E15/E16-1</f>
        <v>4.4837114298626357E-2</v>
      </c>
      <c r="V15" s="2673">
        <f>F15/F16-1</f>
        <v>1.7099954922538574E-2</v>
      </c>
      <c r="X15" s="2754">
        <f>ROUND(SUMPRODUCT(PRODUCT(1+N15:N$22)),4)</f>
        <v>1.1269</v>
      </c>
      <c r="Y15" s="2754">
        <f>ROUND(SUMPRODUCT(PRODUCT(1+O15:O$22)),4)</f>
        <v>1.1052999999999999</v>
      </c>
      <c r="Z15" s="2754">
        <f t="shared" si="0"/>
        <v>1.1052999999999999</v>
      </c>
      <c r="AA15" s="2754">
        <f>ROUND(SUMPRODUCT(PRODUCT(1+P15:P$22)),4)</f>
        <v>1.1349</v>
      </c>
      <c r="AB15" s="2754">
        <f>ROUND(SUMPRODUCT(PRODUCT(1+Q15:Q$22)),4)</f>
        <v>1.0996999999999999</v>
      </c>
      <c r="AD15" s="2674">
        <f>ROUND(AVERAGE(I15:I$23)/100,4)</f>
        <v>1.67E-2</v>
      </c>
      <c r="AE15" s="2674">
        <f>ROUND(AVERAGE(J15:J$23)/100,4)</f>
        <v>1.38E-2</v>
      </c>
      <c r="AF15" s="2674">
        <f t="shared" si="1"/>
        <v>1.38E-2</v>
      </c>
      <c r="AG15" s="2674">
        <f>ROUND(AVERAGE(K15:K$23)/100,4)</f>
        <v>1.7899999999999999E-2</v>
      </c>
      <c r="AH15" s="2674">
        <f>ROUND(AVERAGE(L15:L$23)/100,4)</f>
        <v>1.21E-2</v>
      </c>
    </row>
    <row r="16" spans="1:34" ht="13.5" thickBot="1">
      <c r="A16" s="2655" t="s">
        <v>968</v>
      </c>
      <c r="B16" s="2661">
        <v>333</v>
      </c>
      <c r="C16" s="2661">
        <v>277</v>
      </c>
      <c r="D16" s="2661">
        <f t="shared" si="45"/>
        <v>277</v>
      </c>
      <c r="E16" s="2661">
        <v>459</v>
      </c>
      <c r="F16" s="2662">
        <v>249</v>
      </c>
      <c r="G16" s="3445">
        <v>2015</v>
      </c>
      <c r="H16" s="2675">
        <v>4</v>
      </c>
      <c r="I16" s="2675">
        <v>1.63</v>
      </c>
      <c r="J16" s="2675">
        <v>1.1100000000000001</v>
      </c>
      <c r="K16" s="2675">
        <v>1.77</v>
      </c>
      <c r="L16" s="2676">
        <v>1.89</v>
      </c>
      <c r="N16" s="2677">
        <f t="shared" si="47"/>
        <v>1.6299999999999999E-2</v>
      </c>
      <c r="O16" s="2678">
        <f t="shared" si="43"/>
        <v>1.11E-2</v>
      </c>
      <c r="P16" s="2678">
        <f t="shared" si="43"/>
        <v>1.77E-2</v>
      </c>
      <c r="Q16" s="2678">
        <f t="shared" si="43"/>
        <v>1.89E-2</v>
      </c>
      <c r="R16" s="2666"/>
      <c r="X16" s="2754">
        <f>ROUND(SUMPRODUCT(PRODUCT(1+N16:N$22)),4)</f>
        <v>1.0826</v>
      </c>
      <c r="Y16" s="2754">
        <f>ROUND(SUMPRODUCT(PRODUCT(1+O16:O$22)),4)</f>
        <v>1.0738000000000001</v>
      </c>
      <c r="Z16" s="2754">
        <f t="shared" si="0"/>
        <v>1.0738000000000001</v>
      </c>
      <c r="AA16" s="2754">
        <f>ROUND(SUMPRODUCT(PRODUCT(1+P16:P$22)),4)</f>
        <v>1.0855999999999999</v>
      </c>
      <c r="AB16" s="2754">
        <f>ROUND(SUMPRODUCT(PRODUCT(1+Q16:Q$22)),4)</f>
        <v>1.0837000000000001</v>
      </c>
      <c r="AD16" s="2674">
        <f>ROUND(AVERAGE(I16:I$23)/100,4)</f>
        <v>1.37E-2</v>
      </c>
      <c r="AE16" s="2674">
        <f>ROUND(AVERAGE(J16:J$23)/100,4)</f>
        <v>1.1900000000000001E-2</v>
      </c>
      <c r="AF16" s="2674">
        <f t="shared" si="1"/>
        <v>1.1900000000000001E-2</v>
      </c>
      <c r="AG16" s="2674">
        <f>ROUND(AVERAGE(K16:K$23)/100,4)</f>
        <v>1.4500000000000001E-2</v>
      </c>
      <c r="AH16" s="2674">
        <f>ROUND(AVERAGE(L16:L$23)/100,4)</f>
        <v>1.18E-2</v>
      </c>
    </row>
    <row r="17" spans="1:34">
      <c r="A17" s="2655" t="s">
        <v>967</v>
      </c>
      <c r="B17" s="2669">
        <f t="shared" ref="B17:C19" si="48">B16/(1+N16)</f>
        <v>327.65915576109415</v>
      </c>
      <c r="C17" s="2669">
        <f t="shared" si="48"/>
        <v>273.95905449510434</v>
      </c>
      <c r="D17" s="2669">
        <f t="shared" si="45"/>
        <v>273.95905449510434</v>
      </c>
      <c r="E17" s="2669">
        <f t="shared" ref="E17:F19" si="49">E16/(1+P16)</f>
        <v>451.01699911565294</v>
      </c>
      <c r="F17" s="2669">
        <f t="shared" si="49"/>
        <v>244.38119540681129</v>
      </c>
      <c r="G17" s="3446"/>
      <c r="H17" s="2680">
        <v>3</v>
      </c>
      <c r="I17" s="2680">
        <v>1.65</v>
      </c>
      <c r="J17" s="2680">
        <v>0.92</v>
      </c>
      <c r="K17" s="2680">
        <v>1.88</v>
      </c>
      <c r="L17" s="2681">
        <v>1.26</v>
      </c>
      <c r="N17" s="2664">
        <f t="shared" si="47"/>
        <v>1.6500000000000001E-2</v>
      </c>
      <c r="O17" s="2682">
        <f t="shared" si="43"/>
        <v>9.1999999999999998E-3</v>
      </c>
      <c r="P17" s="2682">
        <f t="shared" si="43"/>
        <v>1.8799999999999997E-2</v>
      </c>
      <c r="Q17" s="2682">
        <f t="shared" si="43"/>
        <v>1.26E-2</v>
      </c>
      <c r="R17" s="2666"/>
      <c r="S17" s="2664"/>
      <c r="T17" s="2665"/>
      <c r="U17" s="2665"/>
      <c r="V17" s="2665"/>
      <c r="X17" s="2754">
        <f>ROUND(SUMPRODUCT(PRODUCT(1+N17:N$22)),4)</f>
        <v>1.0651999999999999</v>
      </c>
      <c r="Y17" s="2754">
        <f>ROUND(SUMPRODUCT(PRODUCT(1+O17:O$22)),4)</f>
        <v>1.0621</v>
      </c>
      <c r="Z17" s="2754">
        <f t="shared" si="0"/>
        <v>1.0621</v>
      </c>
      <c r="AA17" s="2754">
        <f>ROUND(SUMPRODUCT(PRODUCT(1+P17:P$22)),4)</f>
        <v>1.0668</v>
      </c>
      <c r="AB17" s="2754">
        <f>ROUND(SUMPRODUCT(PRODUCT(1+Q17:Q$22)),4)</f>
        <v>1.0636000000000001</v>
      </c>
      <c r="AD17" s="2674">
        <f>ROUND(AVERAGE(I17:I$23)/100,4)</f>
        <v>1.3299999999999999E-2</v>
      </c>
      <c r="AE17" s="2674">
        <f>ROUND(AVERAGE(J17:J$23)/100,4)</f>
        <v>1.2E-2</v>
      </c>
      <c r="AF17" s="2674">
        <f t="shared" si="1"/>
        <v>1.2E-2</v>
      </c>
      <c r="AG17" s="2674">
        <f>ROUND(AVERAGE(K17:K$23)/100,4)</f>
        <v>1.4E-2</v>
      </c>
      <c r="AH17" s="2674">
        <f>ROUND(AVERAGE(L17:L$23)/100,4)</f>
        <v>1.0800000000000001E-2</v>
      </c>
    </row>
    <row r="18" spans="1:34">
      <c r="A18" s="2655" t="s">
        <v>966</v>
      </c>
      <c r="B18" s="2669">
        <f t="shared" si="48"/>
        <v>322.34053690220776</v>
      </c>
      <c r="C18" s="2669">
        <f t="shared" si="48"/>
        <v>271.46160770422546</v>
      </c>
      <c r="D18" s="2669">
        <f t="shared" si="45"/>
        <v>271.46160770422546</v>
      </c>
      <c r="E18" s="2669">
        <f t="shared" si="49"/>
        <v>442.69434542172456</v>
      </c>
      <c r="F18" s="2669">
        <f t="shared" si="49"/>
        <v>241.34030753190925</v>
      </c>
      <c r="G18" s="3446"/>
      <c r="H18" s="2660">
        <v>2</v>
      </c>
      <c r="I18" s="2660">
        <v>0.77</v>
      </c>
      <c r="J18" s="2660">
        <v>0.69</v>
      </c>
      <c r="K18" s="2660">
        <v>0.8</v>
      </c>
      <c r="L18" s="2671">
        <v>0.88</v>
      </c>
      <c r="N18" s="2664">
        <f t="shared" si="47"/>
        <v>7.7000000000000002E-3</v>
      </c>
      <c r="O18" s="2682">
        <f t="shared" si="43"/>
        <v>6.8999999999999999E-3</v>
      </c>
      <c r="P18" s="2682">
        <f t="shared" si="43"/>
        <v>8.0000000000000002E-3</v>
      </c>
      <c r="Q18" s="2682">
        <f t="shared" si="43"/>
        <v>8.8000000000000005E-3</v>
      </c>
      <c r="R18" s="2666"/>
      <c r="S18" s="2664"/>
      <c r="T18" s="2665"/>
      <c r="U18" s="2665"/>
      <c r="V18" s="2665"/>
      <c r="X18" s="2754">
        <f>ROUND(SUMPRODUCT(PRODUCT(1+N18:N$22)),4)</f>
        <v>1.048</v>
      </c>
      <c r="Y18" s="2754">
        <f>ROUND(SUMPRODUCT(PRODUCT(1+O18:O$22)),4)</f>
        <v>1.0524</v>
      </c>
      <c r="Z18" s="2754">
        <f t="shared" si="0"/>
        <v>1.0524</v>
      </c>
      <c r="AA18" s="2754">
        <f>ROUND(SUMPRODUCT(PRODUCT(1+P18:P$22)),4)</f>
        <v>1.0470999999999999</v>
      </c>
      <c r="AB18" s="2754">
        <f>ROUND(SUMPRODUCT(PRODUCT(1+Q18:Q$22)),4)</f>
        <v>1.0504</v>
      </c>
      <c r="AD18" s="2674">
        <f>ROUND(AVERAGE(I18:I$23)/100,4)</f>
        <v>1.2800000000000001E-2</v>
      </c>
      <c r="AE18" s="2674">
        <f>ROUND(AVERAGE(J18:J$23)/100,4)</f>
        <v>1.2500000000000001E-2</v>
      </c>
      <c r="AF18" s="2674">
        <f t="shared" si="1"/>
        <v>1.2500000000000001E-2</v>
      </c>
      <c r="AG18" s="2674">
        <f>ROUND(AVERAGE(K18:K$23)/100,4)</f>
        <v>1.32E-2</v>
      </c>
      <c r="AH18" s="2674">
        <f>ROUND(AVERAGE(L18:L$23)/100,4)</f>
        <v>1.0500000000000001E-2</v>
      </c>
    </row>
    <row r="19" spans="1:34">
      <c r="A19" s="2655" t="s">
        <v>965</v>
      </c>
      <c r="B19" s="2669">
        <f t="shared" si="48"/>
        <v>319.87748030386797</v>
      </c>
      <c r="C19" s="2669">
        <f t="shared" si="48"/>
        <v>269.60135833173649</v>
      </c>
      <c r="D19" s="2669">
        <f t="shared" si="45"/>
        <v>269.60135833173649</v>
      </c>
      <c r="E19" s="2669">
        <f t="shared" si="49"/>
        <v>439.18089823583784</v>
      </c>
      <c r="F19" s="2669">
        <f t="shared" si="49"/>
        <v>239.23503918706311</v>
      </c>
      <c r="G19" s="3447"/>
      <c r="H19" s="2659">
        <v>1</v>
      </c>
      <c r="I19" s="2659">
        <v>0.51</v>
      </c>
      <c r="J19" s="2659">
        <v>0.54</v>
      </c>
      <c r="K19" s="2659">
        <v>0.48</v>
      </c>
      <c r="L19" s="2670">
        <v>0.93</v>
      </c>
      <c r="N19" s="2672">
        <f t="shared" si="47"/>
        <v>5.1000000000000004E-3</v>
      </c>
      <c r="O19" s="2673">
        <f t="shared" si="43"/>
        <v>5.4000000000000003E-3</v>
      </c>
      <c r="P19" s="2673">
        <f t="shared" si="43"/>
        <v>4.7999999999999996E-3</v>
      </c>
      <c r="Q19" s="2673">
        <f t="shared" si="43"/>
        <v>9.300000000000001E-3</v>
      </c>
      <c r="R19" s="2666"/>
      <c r="S19" s="2672">
        <f>B19/B20-1</f>
        <v>5.9040261127922822E-3</v>
      </c>
      <c r="T19" s="2673">
        <f>C19/C20-1</f>
        <v>5.9752176557332781E-3</v>
      </c>
      <c r="U19" s="2673">
        <f>E19/E20-1</f>
        <v>4.9906138119859556E-3</v>
      </c>
      <c r="V19" s="2673">
        <f>F19/F20-1</f>
        <v>9.4305450930933787E-3</v>
      </c>
      <c r="X19" s="2754">
        <f>ROUND(SUMPRODUCT(PRODUCT(1+N19:N$22)),4)</f>
        <v>1.0399</v>
      </c>
      <c r="Y19" s="2754">
        <f>ROUND(SUMPRODUCT(PRODUCT(1+O19:O$22)),4)</f>
        <v>1.0451999999999999</v>
      </c>
      <c r="Z19" s="2754">
        <f t="shared" si="0"/>
        <v>1.0451999999999999</v>
      </c>
      <c r="AA19" s="2754">
        <f>ROUND(SUMPRODUCT(PRODUCT(1+P19:P$22)),4)</f>
        <v>1.0387999999999999</v>
      </c>
      <c r="AB19" s="2754">
        <f>ROUND(SUMPRODUCT(PRODUCT(1+Q19:Q$22)),4)</f>
        <v>1.0411999999999999</v>
      </c>
      <c r="AD19" s="2674">
        <f>ROUND(AVERAGE(I19:I$23)/100,4)</f>
        <v>1.38E-2</v>
      </c>
      <c r="AE19" s="2674">
        <f>ROUND(AVERAGE(J19:J$23)/100,4)</f>
        <v>1.3599999999999999E-2</v>
      </c>
      <c r="AF19" s="2674">
        <f t="shared" si="1"/>
        <v>1.3599999999999999E-2</v>
      </c>
      <c r="AG19" s="2674">
        <f>ROUND(AVERAGE(K19:K$23)/100,4)</f>
        <v>1.4200000000000001E-2</v>
      </c>
      <c r="AH19" s="2674">
        <f>ROUND(AVERAGE(L19:L$23)/100,4)</f>
        <v>1.0800000000000001E-2</v>
      </c>
    </row>
    <row r="20" spans="1:34" ht="13.5" thickBot="1">
      <c r="A20" s="2655" t="s">
        <v>964</v>
      </c>
      <c r="B20" s="2683">
        <v>318</v>
      </c>
      <c r="C20" s="2683">
        <v>268</v>
      </c>
      <c r="D20" s="2683">
        <f t="shared" si="45"/>
        <v>268</v>
      </c>
      <c r="E20" s="2683">
        <v>437</v>
      </c>
      <c r="F20" s="2684">
        <v>237</v>
      </c>
      <c r="G20" s="3445">
        <v>2014</v>
      </c>
      <c r="H20" s="2675">
        <v>4</v>
      </c>
      <c r="I20" s="2675">
        <v>0.21</v>
      </c>
      <c r="J20" s="2675">
        <v>0.41</v>
      </c>
      <c r="K20" s="2675">
        <v>0.12</v>
      </c>
      <c r="L20" s="2676">
        <v>0.89</v>
      </c>
      <c r="N20" s="2664">
        <f t="shared" si="47"/>
        <v>2.0999999999999999E-3</v>
      </c>
      <c r="O20" s="2665">
        <f t="shared" si="43"/>
        <v>4.0999999999999995E-3</v>
      </c>
      <c r="P20" s="2665">
        <f t="shared" si="43"/>
        <v>1.1999999999999999E-3</v>
      </c>
      <c r="Q20" s="2665">
        <f t="shared" si="43"/>
        <v>8.8999999999999999E-3</v>
      </c>
      <c r="R20" s="2666"/>
      <c r="S20" s="2667"/>
      <c r="T20" s="2668"/>
      <c r="U20" s="2668"/>
      <c r="V20" s="2668"/>
      <c r="X20" s="2754">
        <f>ROUND(SUMPRODUCT(PRODUCT(1+N20:N$22)),4)</f>
        <v>1.0347</v>
      </c>
      <c r="Y20" s="2754">
        <f>ROUND(SUMPRODUCT(PRODUCT(1+O20:O$22)),4)</f>
        <v>1.0395000000000001</v>
      </c>
      <c r="Z20" s="2754">
        <f t="shared" si="0"/>
        <v>1.0395000000000001</v>
      </c>
      <c r="AA20" s="2754">
        <f>ROUND(SUMPRODUCT(PRODUCT(1+P20:P$22)),4)</f>
        <v>1.0338000000000001</v>
      </c>
      <c r="AB20" s="2754">
        <f>ROUND(SUMPRODUCT(PRODUCT(1+Q20:Q$22)),4)</f>
        <v>1.0316000000000001</v>
      </c>
      <c r="AD20" s="2674">
        <f>ROUND(AVERAGE(I20:I$23)/100,4)</f>
        <v>1.6E-2</v>
      </c>
      <c r="AE20" s="2674">
        <f>ROUND(AVERAGE(J20:J$23)/100,4)</f>
        <v>1.5599999999999999E-2</v>
      </c>
      <c r="AF20" s="2674">
        <f t="shared" si="1"/>
        <v>1.5599999999999999E-2</v>
      </c>
      <c r="AG20" s="2674">
        <f>ROUND(AVERAGE(K20:K$23)/100,4)</f>
        <v>1.66E-2</v>
      </c>
      <c r="AH20" s="2674">
        <f>ROUND(AVERAGE(L20:L$23)/100,4)</f>
        <v>1.12E-2</v>
      </c>
    </row>
    <row r="21" spans="1:34">
      <c r="A21" s="2655" t="s">
        <v>963</v>
      </c>
      <c r="B21" s="2669">
        <f t="shared" ref="B21:C23" si="50">B20/(1+N20)</f>
        <v>317.33359944117353</v>
      </c>
      <c r="C21" s="2669">
        <f t="shared" si="50"/>
        <v>266.90568668459315</v>
      </c>
      <c r="D21" s="2669">
        <f t="shared" si="45"/>
        <v>266.90568668459315</v>
      </c>
      <c r="E21" s="2669">
        <f t="shared" ref="E21:F23" si="51">E20/(1+P20)</f>
        <v>436.47622852576905</v>
      </c>
      <c r="F21" s="2669">
        <f t="shared" si="51"/>
        <v>234.90930716622066</v>
      </c>
      <c r="G21" s="3446"/>
      <c r="H21" s="2685">
        <v>3</v>
      </c>
      <c r="I21" s="2685">
        <v>0.83</v>
      </c>
      <c r="J21" s="2685">
        <v>1.47</v>
      </c>
      <c r="K21" s="2685">
        <v>0.65</v>
      </c>
      <c r="L21" s="2686">
        <v>0.72</v>
      </c>
      <c r="N21" s="2664">
        <f t="shared" si="47"/>
        <v>8.3000000000000001E-3</v>
      </c>
      <c r="O21" s="2665">
        <f t="shared" si="43"/>
        <v>1.47E-2</v>
      </c>
      <c r="P21" s="2665">
        <f t="shared" si="43"/>
        <v>6.5000000000000006E-3</v>
      </c>
      <c r="Q21" s="2665">
        <f t="shared" si="43"/>
        <v>7.1999999999999998E-3</v>
      </c>
      <c r="R21" s="2666"/>
      <c r="S21" s="2664"/>
      <c r="T21" s="2665"/>
      <c r="U21" s="2665"/>
      <c r="V21" s="2665"/>
      <c r="X21" s="2754">
        <f>ROUND(SUMPRODUCT(PRODUCT(1+N21:N$22)),4)</f>
        <v>1.0325</v>
      </c>
      <c r="Y21" s="2754">
        <f>ROUND(SUMPRODUCT(PRODUCT(1+O21:O$22)),4)</f>
        <v>1.0353000000000001</v>
      </c>
      <c r="Z21" s="2754">
        <f t="shared" ref="Z21:Z22" si="52">Y21</f>
        <v>1.0353000000000001</v>
      </c>
      <c r="AA21" s="2754">
        <f>ROUND(SUMPRODUCT(PRODUCT(1+P21:P$22)),4)</f>
        <v>1.0326</v>
      </c>
      <c r="AB21" s="2754">
        <f>ROUND(SUMPRODUCT(PRODUCT(1+Q21:Q$22)),4)</f>
        <v>1.0225</v>
      </c>
      <c r="AD21" s="2674">
        <f>ROUND(AVERAGE(I21:I$23)/100,4)</f>
        <v>2.07E-2</v>
      </c>
      <c r="AE21" s="2674">
        <f>ROUND(AVERAGE(J21:J$23)/100,4)</f>
        <v>1.95E-2</v>
      </c>
      <c r="AF21" s="2674">
        <f t="shared" si="1"/>
        <v>1.95E-2</v>
      </c>
      <c r="AG21" s="2674">
        <f>ROUND(AVERAGE(K21:K$23)/100,4)</f>
        <v>2.1700000000000001E-2</v>
      </c>
      <c r="AH21" s="2674">
        <f>ROUND(AVERAGE(L21:L$23)/100,4)</f>
        <v>1.2E-2</v>
      </c>
    </row>
    <row r="22" spans="1:34" ht="13.5" thickBot="1">
      <c r="A22" s="2655" t="s">
        <v>962</v>
      </c>
      <c r="B22" s="2669">
        <f t="shared" si="50"/>
        <v>314.72141172386546</v>
      </c>
      <c r="C22" s="2669">
        <f t="shared" si="50"/>
        <v>263.03901319069001</v>
      </c>
      <c r="D22" s="2669">
        <f t="shared" si="45"/>
        <v>263.03901319069001</v>
      </c>
      <c r="E22" s="2669">
        <f t="shared" si="51"/>
        <v>433.65745506782821</v>
      </c>
      <c r="F22" s="2669">
        <f t="shared" si="51"/>
        <v>233.23005080045735</v>
      </c>
      <c r="G22" s="3446"/>
      <c r="H22" s="2675">
        <v>2</v>
      </c>
      <c r="I22" s="2675">
        <v>2.4</v>
      </c>
      <c r="J22" s="2675">
        <v>2.0299999999999998</v>
      </c>
      <c r="K22" s="2675">
        <v>2.59</v>
      </c>
      <c r="L22" s="2676">
        <v>1.52</v>
      </c>
      <c r="N22" s="2664">
        <f t="shared" si="47"/>
        <v>2.4E-2</v>
      </c>
      <c r="O22" s="2665">
        <f t="shared" si="43"/>
        <v>2.0299999999999999E-2</v>
      </c>
      <c r="P22" s="2665">
        <f t="shared" si="43"/>
        <v>2.5899999999999999E-2</v>
      </c>
      <c r="Q22" s="2665">
        <f t="shared" si="43"/>
        <v>1.52E-2</v>
      </c>
      <c r="R22" s="2666"/>
      <c r="S22" s="2664"/>
      <c r="T22" s="2665"/>
      <c r="U22" s="2665"/>
      <c r="V22" s="2665"/>
      <c r="X22" s="2754">
        <f>1+N22</f>
        <v>1.024</v>
      </c>
      <c r="Y22" s="2754">
        <f>1+O22</f>
        <v>1.0203</v>
      </c>
      <c r="Z22" s="2754">
        <f t="shared" si="52"/>
        <v>1.0203</v>
      </c>
      <c r="AA22" s="2754">
        <f>1+P22</f>
        <v>1.0259</v>
      </c>
      <c r="AB22" s="2754">
        <f>1+Q22</f>
        <v>1.0152000000000001</v>
      </c>
      <c r="AD22" s="2674">
        <f>ROUND(AVERAGE(I22:I$23)/100,4)</f>
        <v>2.69E-2</v>
      </c>
      <c r="AE22" s="2674">
        <f>ROUND(AVERAGE(J22:J$23)/100,4)</f>
        <v>2.1899999999999999E-2</v>
      </c>
      <c r="AF22" s="2674">
        <f t="shared" ref="AF22" si="53">AE22</f>
        <v>2.1899999999999999E-2</v>
      </c>
      <c r="AG22" s="2674">
        <f>ROUND(AVERAGE(K22:K$23)/100,4)</f>
        <v>2.9399999999999999E-2</v>
      </c>
      <c r="AH22" s="2674">
        <f>ROUND(AVERAGE(L22:L$23)/100,4)</f>
        <v>1.44E-2</v>
      </c>
    </row>
    <row r="23" spans="1:34" s="2691" customFormat="1" ht="13.5" thickBot="1">
      <c r="A23" s="2687" t="s">
        <v>961</v>
      </c>
      <c r="B23" s="2688">
        <f t="shared" si="50"/>
        <v>307.34512863658733</v>
      </c>
      <c r="C23" s="2688">
        <f t="shared" si="50"/>
        <v>257.80556031626975</v>
      </c>
      <c r="D23" s="2688">
        <f t="shared" si="45"/>
        <v>257.80556031626975</v>
      </c>
      <c r="E23" s="2688">
        <f t="shared" si="51"/>
        <v>422.70928459677179</v>
      </c>
      <c r="F23" s="2688">
        <f t="shared" si="51"/>
        <v>229.73803270336617</v>
      </c>
      <c r="G23" s="3447"/>
      <c r="H23" s="2689">
        <v>1</v>
      </c>
      <c r="I23" s="2689">
        <v>2.97</v>
      </c>
      <c r="J23" s="2689">
        <v>2.34</v>
      </c>
      <c r="K23" s="2689">
        <v>3.28</v>
      </c>
      <c r="L23" s="2690">
        <v>1.36</v>
      </c>
      <c r="N23" s="2692">
        <f t="shared" si="47"/>
        <v>2.9700000000000001E-2</v>
      </c>
      <c r="O23" s="2693">
        <f t="shared" si="43"/>
        <v>2.3399999999999997E-2</v>
      </c>
      <c r="P23" s="2693">
        <f t="shared" si="43"/>
        <v>3.2799999999999996E-2</v>
      </c>
      <c r="Q23" s="2693">
        <f t="shared" si="43"/>
        <v>1.3600000000000001E-2</v>
      </c>
      <c r="R23" s="2694"/>
      <c r="S23" s="2695">
        <f>B23/B24-1</f>
        <v>2.7910129219355539E-2</v>
      </c>
      <c r="T23" s="2696">
        <f>C23/C24-1</f>
        <v>2.3037937762975247E-2</v>
      </c>
      <c r="U23" s="2696">
        <f>E23/E24-1</f>
        <v>3.3519033243940788E-2</v>
      </c>
      <c r="V23" s="2696">
        <f>F23/F24-1</f>
        <v>1.2061818076502862E-2</v>
      </c>
      <c r="W23" s="2763" t="s">
        <v>2643</v>
      </c>
      <c r="X23" s="2765">
        <v>1</v>
      </c>
      <c r="Y23" s="2765">
        <v>1</v>
      </c>
      <c r="Z23" s="2765">
        <v>1</v>
      </c>
      <c r="AA23" s="2765">
        <v>1</v>
      </c>
      <c r="AB23" s="2765">
        <v>1</v>
      </c>
      <c r="AD23" s="3009">
        <f>I23/100</f>
        <v>2.9700000000000001E-2</v>
      </c>
      <c r="AE23" s="3009">
        <f>J23/100</f>
        <v>2.3399999999999997E-2</v>
      </c>
      <c r="AF23" s="3009">
        <f>AE23</f>
        <v>2.3399999999999997E-2</v>
      </c>
      <c r="AG23" s="3009">
        <f>K23/100</f>
        <v>3.2799999999999996E-2</v>
      </c>
      <c r="AH23" s="3009">
        <f>L23/100</f>
        <v>1.3600000000000001E-2</v>
      </c>
    </row>
    <row r="24" spans="1:34" ht="13.5" thickBot="1">
      <c r="A24" s="2655" t="s">
        <v>2586</v>
      </c>
      <c r="B24" s="2661">
        <v>299</v>
      </c>
      <c r="C24" s="2661">
        <v>252</v>
      </c>
      <c r="D24" s="2661">
        <f t="shared" si="45"/>
        <v>252</v>
      </c>
      <c r="E24" s="2661">
        <v>409</v>
      </c>
      <c r="F24" s="2662">
        <v>227</v>
      </c>
      <c r="G24" s="3452">
        <v>2013</v>
      </c>
      <c r="H24" s="2697">
        <v>4</v>
      </c>
      <c r="I24" s="2697">
        <v>1.83</v>
      </c>
      <c r="J24" s="2697">
        <v>1.68</v>
      </c>
      <c r="K24" s="2697">
        <v>1.97</v>
      </c>
      <c r="L24" s="2698">
        <v>0.87</v>
      </c>
      <c r="N24" s="2677">
        <f t="shared" si="47"/>
        <v>1.83E-2</v>
      </c>
      <c r="O24" s="2678">
        <f t="shared" si="43"/>
        <v>1.6799999999999999E-2</v>
      </c>
      <c r="P24" s="2678">
        <f t="shared" si="43"/>
        <v>1.9699999999999999E-2</v>
      </c>
      <c r="Q24" s="2678">
        <f t="shared" si="43"/>
        <v>8.6999999999999994E-3</v>
      </c>
      <c r="R24" s="2666"/>
      <c r="S24" s="2667"/>
      <c r="T24" s="2668"/>
      <c r="U24" s="2668"/>
      <c r="V24" s="2668"/>
      <c r="X24" s="2668"/>
      <c r="Y24" s="2668"/>
      <c r="Z24" s="2668"/>
    </row>
    <row r="25" spans="1:34">
      <c r="A25" s="2655" t="s">
        <v>2587</v>
      </c>
      <c r="B25" s="2669">
        <f t="shared" ref="B25:C27" si="54">B24/(1+N24)</f>
        <v>293.62663262299913</v>
      </c>
      <c r="C25" s="2669">
        <f t="shared" si="54"/>
        <v>247.83634933123525</v>
      </c>
      <c r="D25" s="2669">
        <f t="shared" si="45"/>
        <v>247.83634933123525</v>
      </c>
      <c r="E25" s="2669">
        <f t="shared" ref="E25:F27" si="55">E24/(1+P24)</f>
        <v>401.09836226341076</v>
      </c>
      <c r="F25" s="2669">
        <f t="shared" si="55"/>
        <v>225.04213343908003</v>
      </c>
      <c r="G25" s="3453"/>
      <c r="H25" s="2680">
        <v>3</v>
      </c>
      <c r="I25" s="2680">
        <v>1.86</v>
      </c>
      <c r="J25" s="2680">
        <v>1.72</v>
      </c>
      <c r="K25" s="2680">
        <v>1.98</v>
      </c>
      <c r="L25" s="2681">
        <v>0.88</v>
      </c>
      <c r="N25" s="2664">
        <f t="shared" si="47"/>
        <v>1.8600000000000002E-2</v>
      </c>
      <c r="O25" s="2682">
        <f t="shared" si="43"/>
        <v>1.72E-2</v>
      </c>
      <c r="P25" s="2682">
        <f t="shared" si="43"/>
        <v>1.9799999999999998E-2</v>
      </c>
      <c r="Q25" s="2682">
        <f t="shared" si="43"/>
        <v>8.8000000000000005E-3</v>
      </c>
      <c r="R25" s="2666"/>
      <c r="S25" s="2664"/>
      <c r="T25" s="2665"/>
      <c r="U25" s="2665"/>
      <c r="V25" s="2665"/>
    </row>
    <row r="26" spans="1:34">
      <c r="A26" s="2655" t="s">
        <v>2588</v>
      </c>
      <c r="B26" s="2669">
        <f t="shared" si="54"/>
        <v>288.2649053828776</v>
      </c>
      <c r="C26" s="2669">
        <f t="shared" si="54"/>
        <v>243.64564425013293</v>
      </c>
      <c r="D26" s="2669">
        <f t="shared" si="45"/>
        <v>243.64564425013293</v>
      </c>
      <c r="E26" s="2669">
        <f t="shared" si="55"/>
        <v>393.31080825986544</v>
      </c>
      <c r="F26" s="2669">
        <f t="shared" si="55"/>
        <v>223.07903790551154</v>
      </c>
      <c r="G26" s="3453"/>
      <c r="H26" s="2660">
        <v>2</v>
      </c>
      <c r="I26" s="2660">
        <v>2.04</v>
      </c>
      <c r="J26" s="2660">
        <v>2.33</v>
      </c>
      <c r="K26" s="2660">
        <v>2.0699999999999998</v>
      </c>
      <c r="L26" s="2671">
        <v>0.69</v>
      </c>
      <c r="N26" s="2664">
        <f t="shared" si="47"/>
        <v>2.0400000000000001E-2</v>
      </c>
      <c r="O26" s="2682">
        <f t="shared" si="43"/>
        <v>2.3300000000000001E-2</v>
      </c>
      <c r="P26" s="2682">
        <f t="shared" si="43"/>
        <v>2.07E-2</v>
      </c>
      <c r="Q26" s="2682">
        <f t="shared" si="43"/>
        <v>6.8999999999999999E-3</v>
      </c>
      <c r="R26" s="2666"/>
      <c r="S26" s="2664"/>
      <c r="T26" s="2665"/>
      <c r="U26" s="2665"/>
      <c r="V26" s="2665"/>
      <c r="X26" s="2766"/>
      <c r="Y26" s="2768"/>
    </row>
    <row r="27" spans="1:34">
      <c r="A27" s="2655" t="s">
        <v>2589</v>
      </c>
      <c r="B27" s="2669">
        <f t="shared" si="54"/>
        <v>282.50186729015837</v>
      </c>
      <c r="C27" s="2669">
        <f t="shared" si="54"/>
        <v>238.09796174155468</v>
      </c>
      <c r="D27" s="2669">
        <f t="shared" si="45"/>
        <v>238.09796174155468</v>
      </c>
      <c r="E27" s="2669">
        <f t="shared" si="55"/>
        <v>385.33438646014054</v>
      </c>
      <c r="F27" s="2669">
        <f t="shared" si="55"/>
        <v>221.55034055567739</v>
      </c>
      <c r="G27" s="3454"/>
      <c r="H27" s="2659">
        <v>1</v>
      </c>
      <c r="I27" s="2659">
        <v>1.67</v>
      </c>
      <c r="J27" s="2659">
        <v>1.31</v>
      </c>
      <c r="K27" s="2659">
        <v>1.85</v>
      </c>
      <c r="L27" s="2670">
        <v>0.96</v>
      </c>
      <c r="N27" s="2672">
        <f t="shared" si="47"/>
        <v>1.67E-2</v>
      </c>
      <c r="O27" s="2673">
        <f t="shared" si="43"/>
        <v>1.3100000000000001E-2</v>
      </c>
      <c r="P27" s="2673">
        <f t="shared" si="43"/>
        <v>1.8500000000000003E-2</v>
      </c>
      <c r="Q27" s="2673">
        <f t="shared" si="43"/>
        <v>9.5999999999999992E-3</v>
      </c>
      <c r="R27" s="2666"/>
      <c r="S27" s="2672">
        <f>B27/B28-1</f>
        <v>1.6193767230785472E-2</v>
      </c>
      <c r="T27" s="2673">
        <f>C27/C28-1</f>
        <v>1.7512657015190891E-2</v>
      </c>
      <c r="U27" s="2673">
        <f>E27/E28-1</f>
        <v>1.6713420739157048E-2</v>
      </c>
      <c r="V27" s="2673">
        <f>F27/F28-1</f>
        <v>7.0470025258062563E-3</v>
      </c>
      <c r="X27" s="2767"/>
      <c r="Y27" s="2674"/>
      <c r="Z27" s="2674"/>
    </row>
    <row r="28" spans="1:34" ht="13.5" thickBot="1">
      <c r="A28" s="2655" t="s">
        <v>2590</v>
      </c>
      <c r="B28" s="2699">
        <v>278</v>
      </c>
      <c r="C28" s="2699">
        <v>234</v>
      </c>
      <c r="D28" s="2699">
        <f t="shared" si="45"/>
        <v>234</v>
      </c>
      <c r="E28" s="2699">
        <v>379</v>
      </c>
      <c r="F28" s="2700">
        <v>220</v>
      </c>
      <c r="G28" s="3445">
        <v>2012</v>
      </c>
      <c r="H28" s="2675">
        <v>4</v>
      </c>
      <c r="I28" s="2675">
        <v>0.91</v>
      </c>
      <c r="J28" s="2675">
        <v>0.68</v>
      </c>
      <c r="K28" s="2675">
        <v>0.98</v>
      </c>
      <c r="L28" s="2676">
        <v>0.9</v>
      </c>
      <c r="N28" s="2664">
        <f t="shared" si="47"/>
        <v>9.1000000000000004E-3</v>
      </c>
      <c r="O28" s="2665">
        <f t="shared" si="47"/>
        <v>6.8000000000000005E-3</v>
      </c>
      <c r="P28" s="2665">
        <f t="shared" si="47"/>
        <v>9.7999999999999997E-3</v>
      </c>
      <c r="Q28" s="2665">
        <f t="shared" si="47"/>
        <v>9.0000000000000011E-3</v>
      </c>
      <c r="R28" s="2666"/>
      <c r="S28" s="2667"/>
      <c r="T28" s="2668"/>
      <c r="U28" s="2668"/>
      <c r="V28" s="2668"/>
      <c r="X28" s="2668"/>
      <c r="Y28" s="2668"/>
      <c r="Z28" s="2668"/>
    </row>
    <row r="29" spans="1:34">
      <c r="A29" s="2655" t="s">
        <v>2591</v>
      </c>
      <c r="B29" s="2669">
        <f>B28/(1+N28)</f>
        <v>275.49301357645425</v>
      </c>
      <c r="C29" s="2669">
        <f>C28/(1+O28)</f>
        <v>232.41954707985698</v>
      </c>
      <c r="D29" s="2669">
        <f t="shared" si="45"/>
        <v>232.41954707985698</v>
      </c>
      <c r="E29" s="2669">
        <f t="shared" ref="E29:F31" si="56">E28/(1+P28)</f>
        <v>375.32184591008121</v>
      </c>
      <c r="F29" s="2669">
        <f t="shared" si="56"/>
        <v>218.03766105054513</v>
      </c>
      <c r="G29" s="3446"/>
      <c r="H29" s="2680">
        <v>3</v>
      </c>
      <c r="I29" s="2680">
        <v>0.09</v>
      </c>
      <c r="J29" s="2680">
        <v>0.28999999999999998</v>
      </c>
      <c r="K29" s="2680">
        <v>-0.01</v>
      </c>
      <c r="L29" s="2681">
        <v>0.57999999999999996</v>
      </c>
      <c r="N29" s="2664">
        <f t="shared" si="47"/>
        <v>8.9999999999999998E-4</v>
      </c>
      <c r="O29" s="2665">
        <f t="shared" si="47"/>
        <v>2.8999999999999998E-3</v>
      </c>
      <c r="P29" s="2665">
        <f t="shared" si="47"/>
        <v>-1E-4</v>
      </c>
      <c r="Q29" s="2665">
        <f t="shared" si="47"/>
        <v>5.7999999999999996E-3</v>
      </c>
      <c r="R29" s="2666"/>
      <c r="S29" s="2664"/>
      <c r="T29" s="2665"/>
      <c r="U29" s="2665"/>
      <c r="V29" s="2665"/>
    </row>
    <row r="30" spans="1:34">
      <c r="A30" s="2655" t="s">
        <v>2592</v>
      </c>
      <c r="B30" s="2669">
        <f>B29/(1+N29)</f>
        <v>275.24529281292263</v>
      </c>
      <c r="C30" s="2669">
        <f>C29/(1+O29)</f>
        <v>231.74747938962707</v>
      </c>
      <c r="D30" s="2669">
        <f t="shared" si="45"/>
        <v>231.74747938962707</v>
      </c>
      <c r="E30" s="2669">
        <f t="shared" si="56"/>
        <v>375.35938184826603</v>
      </c>
      <c r="F30" s="2669">
        <f t="shared" si="56"/>
        <v>216.78033510692495</v>
      </c>
      <c r="G30" s="3446"/>
      <c r="H30" s="2660">
        <v>2</v>
      </c>
      <c r="I30" s="2660">
        <v>0.02</v>
      </c>
      <c r="J30" s="2660">
        <v>0.12</v>
      </c>
      <c r="K30" s="2660">
        <v>-0.08</v>
      </c>
      <c r="L30" s="2671">
        <v>1.24</v>
      </c>
      <c r="N30" s="2664">
        <f t="shared" si="47"/>
        <v>2.0000000000000001E-4</v>
      </c>
      <c r="O30" s="2665">
        <f t="shared" si="47"/>
        <v>1.1999999999999999E-3</v>
      </c>
      <c r="P30" s="2665">
        <f t="shared" si="47"/>
        <v>-8.0000000000000004E-4</v>
      </c>
      <c r="Q30" s="2665">
        <f t="shared" si="47"/>
        <v>1.24E-2</v>
      </c>
      <c r="R30" s="2666"/>
      <c r="S30" s="2664"/>
      <c r="T30" s="2665"/>
      <c r="U30" s="2665"/>
      <c r="V30" s="2665"/>
    </row>
    <row r="31" spans="1:34" ht="13.5" thickBot="1">
      <c r="A31" s="2655" t="s">
        <v>2593</v>
      </c>
      <c r="B31" s="2669">
        <f>B30/(1+N30)</f>
        <v>275.19025476197027</v>
      </c>
      <c r="C31" s="2701">
        <v>232</v>
      </c>
      <c r="D31" s="2701">
        <f t="shared" si="45"/>
        <v>232</v>
      </c>
      <c r="E31" s="2669">
        <f t="shared" si="56"/>
        <v>375.65990977608692</v>
      </c>
      <c r="F31" s="2669">
        <f t="shared" si="56"/>
        <v>214.12518283971252</v>
      </c>
      <c r="G31" s="3447"/>
      <c r="H31" s="2659">
        <v>1</v>
      </c>
      <c r="I31" s="2659">
        <v>0.02</v>
      </c>
      <c r="J31" s="2659">
        <v>0.13</v>
      </c>
      <c r="K31" s="2659">
        <v>-0.04</v>
      </c>
      <c r="L31" s="2670">
        <v>0.46</v>
      </c>
      <c r="N31" s="2664">
        <f t="shared" si="47"/>
        <v>2.0000000000000001E-4</v>
      </c>
      <c r="O31" s="2665">
        <f t="shared" si="47"/>
        <v>1.2999999999999999E-3</v>
      </c>
      <c r="P31" s="2665">
        <f t="shared" si="47"/>
        <v>-4.0000000000000002E-4</v>
      </c>
      <c r="Q31" s="2665">
        <f t="shared" si="47"/>
        <v>4.5999999999999999E-3</v>
      </c>
      <c r="R31" s="2666"/>
      <c r="S31" s="2672">
        <f>B31/B32-1</f>
        <v>6.9183549807361189E-4</v>
      </c>
      <c r="T31" s="2673">
        <f>C31/C32-1</f>
        <v>0</v>
      </c>
      <c r="U31" s="2673">
        <f>E31/E32-1</f>
        <v>-9.0449527636460303E-4</v>
      </c>
      <c r="V31" s="2673">
        <f>F31/F32-1</f>
        <v>5.2825485432512753E-3</v>
      </c>
      <c r="X31" s="2674"/>
      <c r="Y31" s="2674"/>
      <c r="Z31" s="2674"/>
    </row>
    <row r="32" spans="1:34" ht="13.5" thickBot="1">
      <c r="A32" s="2655" t="s">
        <v>2594</v>
      </c>
      <c r="B32" s="2661">
        <v>275</v>
      </c>
      <c r="C32" s="2661">
        <v>232</v>
      </c>
      <c r="D32" s="2661">
        <f t="shared" si="45"/>
        <v>232</v>
      </c>
      <c r="E32" s="2661">
        <v>376</v>
      </c>
      <c r="F32" s="2662">
        <v>213</v>
      </c>
      <c r="G32" s="3445">
        <v>2011</v>
      </c>
      <c r="H32" s="2675">
        <v>4</v>
      </c>
      <c r="I32" s="2675">
        <v>-0.2</v>
      </c>
      <c r="J32" s="2675">
        <v>0.04</v>
      </c>
      <c r="K32" s="2675">
        <v>-0.34</v>
      </c>
      <c r="L32" s="2676">
        <v>0.46</v>
      </c>
      <c r="N32" s="2677">
        <f t="shared" si="47"/>
        <v>-2E-3</v>
      </c>
      <c r="O32" s="2678">
        <f t="shared" si="47"/>
        <v>4.0000000000000002E-4</v>
      </c>
      <c r="P32" s="2678">
        <f t="shared" si="47"/>
        <v>-3.4000000000000002E-3</v>
      </c>
      <c r="Q32" s="2678">
        <f t="shared" si="47"/>
        <v>4.5999999999999999E-3</v>
      </c>
      <c r="R32" s="2666"/>
      <c r="S32" s="2667"/>
      <c r="T32" s="2668"/>
      <c r="U32" s="2668"/>
      <c r="V32" s="2668"/>
      <c r="X32" s="2668"/>
      <c r="Y32" s="2668"/>
      <c r="Z32" s="2668"/>
    </row>
    <row r="33" spans="1:26">
      <c r="A33" s="2655" t="s">
        <v>2595</v>
      </c>
      <c r="B33" s="2669">
        <f t="shared" ref="B33:C35" si="57">B32/(1+N32)</f>
        <v>275.55110220440883</v>
      </c>
      <c r="C33" s="2669">
        <f t="shared" si="57"/>
        <v>231.90723710515795</v>
      </c>
      <c r="D33" s="2669">
        <f t="shared" si="45"/>
        <v>231.90723710515795</v>
      </c>
      <c r="E33" s="2669">
        <f t="shared" ref="E33:F35" si="58">E32/(1+P32)</f>
        <v>377.28276138872161</v>
      </c>
      <c r="F33" s="2669">
        <f t="shared" si="58"/>
        <v>212.02468644236512</v>
      </c>
      <c r="G33" s="3446">
        <v>2011</v>
      </c>
      <c r="H33" s="2680">
        <v>3</v>
      </c>
      <c r="I33" s="2680">
        <v>0.13</v>
      </c>
      <c r="J33" s="2680">
        <v>0.75</v>
      </c>
      <c r="K33" s="2680">
        <v>-0.08</v>
      </c>
      <c r="L33" s="2681">
        <v>0.53</v>
      </c>
      <c r="N33" s="2664">
        <f t="shared" si="47"/>
        <v>1.2999999999999999E-3</v>
      </c>
      <c r="O33" s="2682">
        <f t="shared" si="47"/>
        <v>7.4999999999999997E-3</v>
      </c>
      <c r="P33" s="2682">
        <f t="shared" si="47"/>
        <v>-8.0000000000000004E-4</v>
      </c>
      <c r="Q33" s="2682">
        <f t="shared" si="47"/>
        <v>5.3E-3</v>
      </c>
      <c r="R33" s="2666"/>
      <c r="S33" s="2664"/>
      <c r="T33" s="2665"/>
      <c r="U33" s="2665"/>
      <c r="V33" s="2665"/>
    </row>
    <row r="34" spans="1:26">
      <c r="A34" s="2655" t="s">
        <v>2596</v>
      </c>
      <c r="B34" s="2669">
        <f t="shared" si="57"/>
        <v>275.19335084830601</v>
      </c>
      <c r="C34" s="2669">
        <f t="shared" si="57"/>
        <v>230.18088050139744</v>
      </c>
      <c r="D34" s="2669">
        <f t="shared" si="45"/>
        <v>230.18088050139744</v>
      </c>
      <c r="E34" s="2669">
        <f t="shared" si="58"/>
        <v>377.58482925212331</v>
      </c>
      <c r="F34" s="2669">
        <f t="shared" si="58"/>
        <v>210.90687997847917</v>
      </c>
      <c r="G34" s="3446">
        <v>2011</v>
      </c>
      <c r="H34" s="2660">
        <v>2</v>
      </c>
      <c r="I34" s="2660">
        <v>-0.4</v>
      </c>
      <c r="J34" s="2660">
        <v>0.17</v>
      </c>
      <c r="K34" s="2660">
        <v>-0.57999999999999996</v>
      </c>
      <c r="L34" s="2671">
        <v>-0.2</v>
      </c>
      <c r="N34" s="2664">
        <f t="shared" si="47"/>
        <v>-4.0000000000000001E-3</v>
      </c>
      <c r="O34" s="2682">
        <f t="shared" si="47"/>
        <v>1.7000000000000001E-3</v>
      </c>
      <c r="P34" s="2682">
        <f t="shared" si="47"/>
        <v>-5.7999999999999996E-3</v>
      </c>
      <c r="Q34" s="2682">
        <f t="shared" si="47"/>
        <v>-2E-3</v>
      </c>
      <c r="R34" s="2666"/>
      <c r="S34" s="2664"/>
      <c r="T34" s="2665"/>
      <c r="U34" s="2665"/>
      <c r="V34" s="2665"/>
    </row>
    <row r="35" spans="1:26" ht="13.5" thickBot="1">
      <c r="A35" s="2655" t="s">
        <v>2597</v>
      </c>
      <c r="B35" s="2669">
        <f t="shared" si="57"/>
        <v>276.29854502841971</v>
      </c>
      <c r="C35" s="2669">
        <f t="shared" si="57"/>
        <v>229.79023709833027</v>
      </c>
      <c r="D35" s="2669">
        <f t="shared" si="45"/>
        <v>229.79023709833027</v>
      </c>
      <c r="E35" s="2669">
        <f t="shared" si="58"/>
        <v>379.78759731655936</v>
      </c>
      <c r="F35" s="2669">
        <f t="shared" si="58"/>
        <v>211.32953905659235</v>
      </c>
      <c r="G35" s="3447">
        <v>2011</v>
      </c>
      <c r="H35" s="2659">
        <v>1</v>
      </c>
      <c r="I35" s="2659">
        <v>2.65</v>
      </c>
      <c r="J35" s="2659">
        <v>3.76</v>
      </c>
      <c r="K35" s="2659">
        <v>1.89</v>
      </c>
      <c r="L35" s="2670">
        <v>7.95</v>
      </c>
      <c r="N35" s="2672">
        <f t="shared" si="47"/>
        <v>2.6499999999999999E-2</v>
      </c>
      <c r="O35" s="2673">
        <f t="shared" si="47"/>
        <v>3.7599999999999995E-2</v>
      </c>
      <c r="P35" s="2673">
        <f t="shared" si="47"/>
        <v>1.89E-2</v>
      </c>
      <c r="Q35" s="2673">
        <f t="shared" si="47"/>
        <v>7.9500000000000001E-2</v>
      </c>
      <c r="R35" s="2666"/>
      <c r="S35" s="2672">
        <f>B35/B36-1</f>
        <v>2.713213765211786E-2</v>
      </c>
      <c r="T35" s="2673">
        <f>C35/C36-1</f>
        <v>3.9774828499231862E-2</v>
      </c>
      <c r="U35" s="2673">
        <f>E35/E36-1</f>
        <v>1.8197311840641772E-2</v>
      </c>
      <c r="V35" s="2673">
        <f>F35/F36-1</f>
        <v>7.8211933962205826E-2</v>
      </c>
      <c r="X35" s="2674"/>
      <c r="Y35" s="2674"/>
      <c r="Z35" s="2674"/>
    </row>
    <row r="36" spans="1:26" ht="13.5" thickBot="1">
      <c r="A36" s="2655" t="s">
        <v>2598</v>
      </c>
      <c r="B36" s="2661">
        <v>269</v>
      </c>
      <c r="C36" s="2661">
        <v>221</v>
      </c>
      <c r="D36" s="2661">
        <f t="shared" si="45"/>
        <v>221</v>
      </c>
      <c r="E36" s="2661">
        <v>373</v>
      </c>
      <c r="F36" s="2662">
        <v>196</v>
      </c>
      <c r="G36" s="3445">
        <v>2010</v>
      </c>
      <c r="H36" s="2675">
        <v>4</v>
      </c>
      <c r="I36" s="2675">
        <v>5.72</v>
      </c>
      <c r="J36" s="2675">
        <v>6.57</v>
      </c>
      <c r="K36" s="2675">
        <v>5.72</v>
      </c>
      <c r="L36" s="2676">
        <v>2.72</v>
      </c>
      <c r="N36" s="2664">
        <f t="shared" si="47"/>
        <v>5.7200000000000001E-2</v>
      </c>
      <c r="O36" s="2665">
        <f t="shared" si="47"/>
        <v>6.5700000000000008E-2</v>
      </c>
      <c r="P36" s="2665">
        <f t="shared" si="47"/>
        <v>5.7200000000000001E-2</v>
      </c>
      <c r="Q36" s="2665">
        <f t="shared" si="47"/>
        <v>2.7200000000000002E-2</v>
      </c>
      <c r="R36" s="2666"/>
      <c r="S36" s="2667"/>
      <c r="T36" s="2668"/>
      <c r="U36" s="2668"/>
      <c r="V36" s="2668"/>
      <c r="X36" s="2668"/>
      <c r="Y36" s="2668"/>
      <c r="Z36" s="2668"/>
    </row>
    <row r="37" spans="1:26">
      <c r="A37" s="2655" t="s">
        <v>2599</v>
      </c>
      <c r="B37" s="2669">
        <f t="shared" ref="B37:C39" si="59">B36/(1+N36)</f>
        <v>254.44570563753314</v>
      </c>
      <c r="C37" s="2669">
        <f t="shared" si="59"/>
        <v>207.37543398705074</v>
      </c>
      <c r="D37" s="2669">
        <f t="shared" si="45"/>
        <v>207.37543398705074</v>
      </c>
      <c r="E37" s="2669">
        <f t="shared" ref="E37:F39" si="60">E36/(1+P36)</f>
        <v>352.81876655315932</v>
      </c>
      <c r="F37" s="2669">
        <f t="shared" si="60"/>
        <v>190.809968847352</v>
      </c>
      <c r="G37" s="3446">
        <v>2010</v>
      </c>
      <c r="H37" s="2680">
        <v>3</v>
      </c>
      <c r="I37" s="2680">
        <v>4.7300000000000004</v>
      </c>
      <c r="J37" s="2680">
        <v>3.9</v>
      </c>
      <c r="K37" s="2680">
        <v>5.03</v>
      </c>
      <c r="L37" s="2681">
        <v>4.21</v>
      </c>
      <c r="N37" s="2664">
        <f t="shared" si="47"/>
        <v>4.7300000000000002E-2</v>
      </c>
      <c r="O37" s="2665">
        <f t="shared" si="47"/>
        <v>3.9E-2</v>
      </c>
      <c r="P37" s="2665">
        <f t="shared" si="47"/>
        <v>5.0300000000000004E-2</v>
      </c>
      <c r="Q37" s="2665">
        <f t="shared" si="47"/>
        <v>4.2099999999999999E-2</v>
      </c>
      <c r="R37" s="2666"/>
      <c r="S37" s="2664"/>
      <c r="T37" s="2665"/>
      <c r="U37" s="2665"/>
      <c r="V37" s="2665"/>
    </row>
    <row r="38" spans="1:26">
      <c r="A38" s="2655" t="s">
        <v>2600</v>
      </c>
      <c r="B38" s="2669">
        <f t="shared" si="59"/>
        <v>242.95398227588385</v>
      </c>
      <c r="C38" s="2669">
        <f t="shared" si="59"/>
        <v>199.59137053614126</v>
      </c>
      <c r="D38" s="2669">
        <f t="shared" si="45"/>
        <v>199.59137053614126</v>
      </c>
      <c r="E38" s="2669">
        <f t="shared" si="60"/>
        <v>335.92189522342125</v>
      </c>
      <c r="F38" s="2669">
        <f t="shared" si="60"/>
        <v>183.10139991109489</v>
      </c>
      <c r="G38" s="3446">
        <v>2010</v>
      </c>
      <c r="H38" s="2660">
        <v>2</v>
      </c>
      <c r="I38" s="2660">
        <v>4.6900000000000004</v>
      </c>
      <c r="J38" s="2660">
        <v>3.55</v>
      </c>
      <c r="K38" s="2660">
        <v>5.07</v>
      </c>
      <c r="L38" s="2671">
        <v>4.2300000000000004</v>
      </c>
      <c r="N38" s="2664">
        <f t="shared" si="47"/>
        <v>4.6900000000000004E-2</v>
      </c>
      <c r="O38" s="2665">
        <f t="shared" si="47"/>
        <v>3.5499999999999997E-2</v>
      </c>
      <c r="P38" s="2665">
        <f t="shared" si="47"/>
        <v>5.0700000000000002E-2</v>
      </c>
      <c r="Q38" s="2665">
        <f t="shared" si="47"/>
        <v>4.2300000000000004E-2</v>
      </c>
      <c r="R38" s="2666"/>
      <c r="S38" s="2664"/>
      <c r="T38" s="2665"/>
      <c r="U38" s="2665"/>
      <c r="V38" s="2665"/>
    </row>
    <row r="39" spans="1:26" ht="13.5" thickBot="1">
      <c r="A39" s="2655" t="s">
        <v>2601</v>
      </c>
      <c r="B39" s="2669">
        <f t="shared" si="59"/>
        <v>232.06990378821649</v>
      </c>
      <c r="C39" s="2669">
        <f t="shared" si="59"/>
        <v>192.74878854286936</v>
      </c>
      <c r="D39" s="2669">
        <f t="shared" si="45"/>
        <v>192.74878854286936</v>
      </c>
      <c r="E39" s="2669">
        <f t="shared" si="60"/>
        <v>319.71247284992984</v>
      </c>
      <c r="F39" s="2669">
        <f t="shared" si="60"/>
        <v>175.67053622862409</v>
      </c>
      <c r="G39" s="3447">
        <v>2010</v>
      </c>
      <c r="H39" s="2659">
        <v>1</v>
      </c>
      <c r="I39" s="2659">
        <v>5.4</v>
      </c>
      <c r="J39" s="2659">
        <v>3.2</v>
      </c>
      <c r="K39" s="2659">
        <v>6.16</v>
      </c>
      <c r="L39" s="2670">
        <v>4.51</v>
      </c>
      <c r="N39" s="2664">
        <f t="shared" si="47"/>
        <v>5.4000000000000006E-2</v>
      </c>
      <c r="O39" s="2665">
        <f t="shared" si="47"/>
        <v>3.2000000000000001E-2</v>
      </c>
      <c r="P39" s="2665">
        <f t="shared" si="47"/>
        <v>6.1600000000000002E-2</v>
      </c>
      <c r="Q39" s="2665">
        <f t="shared" si="47"/>
        <v>4.5100000000000001E-2</v>
      </c>
      <c r="R39" s="2666"/>
      <c r="S39" s="2672">
        <f>B39/B40-1</f>
        <v>5.4863199037347599E-2</v>
      </c>
      <c r="T39" s="2673">
        <f>C39/C40-1</f>
        <v>3.0742184721226584E-2</v>
      </c>
      <c r="U39" s="2673">
        <f>E39/E40-1</f>
        <v>6.2167683886810154E-2</v>
      </c>
      <c r="V39" s="2673">
        <f>F39/F40-1</f>
        <v>4.5657953741810031E-2</v>
      </c>
      <c r="X39" s="2674"/>
      <c r="Y39" s="2674"/>
      <c r="Z39" s="2674"/>
    </row>
    <row r="40" spans="1:26" ht="13.5" thickBot="1">
      <c r="A40" s="2655" t="s">
        <v>2602</v>
      </c>
      <c r="B40" s="2661">
        <v>220</v>
      </c>
      <c r="C40" s="2661">
        <v>187</v>
      </c>
      <c r="D40" s="2661">
        <f t="shared" si="45"/>
        <v>187</v>
      </c>
      <c r="E40" s="2661">
        <v>301</v>
      </c>
      <c r="F40" s="2662">
        <v>168</v>
      </c>
      <c r="G40" s="3445">
        <v>2009</v>
      </c>
      <c r="H40" s="2675">
        <v>4</v>
      </c>
      <c r="I40" s="2675">
        <v>2.2999999999999998</v>
      </c>
      <c r="J40" s="2675">
        <v>1.04</v>
      </c>
      <c r="K40" s="2675">
        <v>2.84</v>
      </c>
      <c r="L40" s="2676">
        <v>0.67</v>
      </c>
      <c r="N40" s="2677">
        <f t="shared" si="47"/>
        <v>2.3E-2</v>
      </c>
      <c r="O40" s="2678">
        <f t="shared" si="47"/>
        <v>1.04E-2</v>
      </c>
      <c r="P40" s="2678">
        <f t="shared" si="47"/>
        <v>2.8399999999999998E-2</v>
      </c>
      <c r="Q40" s="2678">
        <f t="shared" si="47"/>
        <v>6.7000000000000002E-3</v>
      </c>
      <c r="R40" s="2666"/>
      <c r="S40" s="2667"/>
      <c r="T40" s="2668"/>
      <c r="U40" s="2668"/>
      <c r="V40" s="2668"/>
      <c r="X40" s="2668"/>
      <c r="Y40" s="2668"/>
      <c r="Z40" s="2668"/>
    </row>
    <row r="41" spans="1:26">
      <c r="A41" s="2655" t="s">
        <v>2603</v>
      </c>
      <c r="B41" s="2669">
        <f t="shared" ref="B41:C43" si="61">B40/(1+N40)</f>
        <v>215.05376344086022</v>
      </c>
      <c r="C41" s="2669">
        <f t="shared" si="61"/>
        <v>185.0752177355503</v>
      </c>
      <c r="D41" s="2669">
        <f t="shared" si="45"/>
        <v>185.0752177355503</v>
      </c>
      <c r="E41" s="2669">
        <f t="shared" ref="E41:F43" si="62">E40/(1+P40)</f>
        <v>292.68767016725008</v>
      </c>
      <c r="F41" s="2669">
        <f t="shared" si="62"/>
        <v>166.88189132810174</v>
      </c>
      <c r="G41" s="3446">
        <v>2009</v>
      </c>
      <c r="H41" s="2680">
        <v>3</v>
      </c>
      <c r="I41" s="2680">
        <v>2.1</v>
      </c>
      <c r="J41" s="2680">
        <v>1.86</v>
      </c>
      <c r="K41" s="2680">
        <v>2.29</v>
      </c>
      <c r="L41" s="2681">
        <v>0.85</v>
      </c>
      <c r="N41" s="2664">
        <f t="shared" si="47"/>
        <v>2.1000000000000001E-2</v>
      </c>
      <c r="O41" s="2682">
        <f t="shared" si="47"/>
        <v>1.8600000000000002E-2</v>
      </c>
      <c r="P41" s="2682">
        <f t="shared" si="47"/>
        <v>2.29E-2</v>
      </c>
      <c r="Q41" s="2682">
        <f t="shared" si="47"/>
        <v>8.5000000000000006E-3</v>
      </c>
      <c r="R41" s="2666"/>
      <c r="S41" s="2664"/>
      <c r="T41" s="2665"/>
      <c r="U41" s="2665"/>
      <c r="V41" s="2665"/>
    </row>
    <row r="42" spans="1:26">
      <c r="A42" s="2655" t="s">
        <v>2604</v>
      </c>
      <c r="B42" s="2669">
        <f t="shared" si="61"/>
        <v>210.630522469011</v>
      </c>
      <c r="C42" s="2669">
        <f t="shared" si="61"/>
        <v>181.69567812247232</v>
      </c>
      <c r="D42" s="2669">
        <f t="shared" si="45"/>
        <v>181.69567812247232</v>
      </c>
      <c r="E42" s="2669">
        <f t="shared" si="62"/>
        <v>286.13517466736738</v>
      </c>
      <c r="F42" s="2669">
        <f t="shared" si="62"/>
        <v>165.47535084591149</v>
      </c>
      <c r="G42" s="3446">
        <v>2009</v>
      </c>
      <c r="H42" s="2660">
        <v>2</v>
      </c>
      <c r="I42" s="2660">
        <v>0.86</v>
      </c>
      <c r="J42" s="2660">
        <v>-1.1299999999999999</v>
      </c>
      <c r="K42" s="2660">
        <v>1.79</v>
      </c>
      <c r="L42" s="2671">
        <v>-2.0699999999999998</v>
      </c>
      <c r="N42" s="2664">
        <f t="shared" si="47"/>
        <v>8.6E-3</v>
      </c>
      <c r="O42" s="2682">
        <f t="shared" si="47"/>
        <v>-1.1299999999999999E-2</v>
      </c>
      <c r="P42" s="2682">
        <f t="shared" si="47"/>
        <v>1.7899999999999999E-2</v>
      </c>
      <c r="Q42" s="2682">
        <f t="shared" si="47"/>
        <v>-2.07E-2</v>
      </c>
      <c r="R42" s="2666"/>
      <c r="S42" s="2664"/>
      <c r="T42" s="2665"/>
      <c r="U42" s="2665"/>
      <c r="V42" s="2665"/>
    </row>
    <row r="43" spans="1:26">
      <c r="A43" s="2655" t="s">
        <v>2605</v>
      </c>
      <c r="B43" s="2669">
        <f t="shared" si="61"/>
        <v>208.83454537875372</v>
      </c>
      <c r="C43" s="2669">
        <f t="shared" si="61"/>
        <v>183.77230517090351</v>
      </c>
      <c r="D43" s="2669">
        <f t="shared" si="45"/>
        <v>183.77230517090351</v>
      </c>
      <c r="E43" s="2669">
        <f t="shared" si="62"/>
        <v>281.10342338870947</v>
      </c>
      <c r="F43" s="2669">
        <f t="shared" si="62"/>
        <v>168.97309388942256</v>
      </c>
      <c r="G43" s="3447">
        <v>2009</v>
      </c>
      <c r="H43" s="2659">
        <v>1</v>
      </c>
      <c r="I43" s="2659">
        <v>-2.64</v>
      </c>
      <c r="J43" s="2659">
        <v>-2.5299999999999998</v>
      </c>
      <c r="K43" s="2659">
        <v>-3.02</v>
      </c>
      <c r="L43" s="2670">
        <v>1.52</v>
      </c>
      <c r="N43" s="2672">
        <f t="shared" si="47"/>
        <v>-2.64E-2</v>
      </c>
      <c r="O43" s="2673">
        <f t="shared" si="47"/>
        <v>-2.53E-2</v>
      </c>
      <c r="P43" s="2673">
        <f t="shared" si="47"/>
        <v>-3.0200000000000001E-2</v>
      </c>
      <c r="Q43" s="2673">
        <f t="shared" si="47"/>
        <v>1.52E-2</v>
      </c>
      <c r="R43" s="2666"/>
      <c r="S43" s="2672">
        <f>B43/B44-1</f>
        <v>-2.4137638417038754E-2</v>
      </c>
      <c r="T43" s="2673">
        <f>C43/C44-1</f>
        <v>-2.248773845264096E-2</v>
      </c>
      <c r="U43" s="2673">
        <f>E43/E44-1</f>
        <v>-2.7323794502735366E-2</v>
      </c>
      <c r="V43" s="2673">
        <f>F43/F44-1</f>
        <v>1.7910204153148035E-2</v>
      </c>
      <c r="X43" s="2674"/>
      <c r="Y43" s="2674"/>
      <c r="Z43" s="2674"/>
    </row>
    <row r="44" spans="1:26" ht="13.5" thickBot="1">
      <c r="A44" s="2655" t="s">
        <v>2606</v>
      </c>
      <c r="B44" s="2699">
        <v>214</v>
      </c>
      <c r="C44" s="2699">
        <v>188</v>
      </c>
      <c r="D44" s="2699">
        <f t="shared" si="45"/>
        <v>188</v>
      </c>
      <c r="E44" s="2699">
        <v>289</v>
      </c>
      <c r="F44" s="2700">
        <v>166</v>
      </c>
      <c r="G44" s="3445">
        <v>2008</v>
      </c>
      <c r="H44" s="2675">
        <v>4</v>
      </c>
      <c r="I44" s="2675">
        <v>1.73</v>
      </c>
      <c r="J44" s="2675">
        <v>0.03</v>
      </c>
      <c r="K44" s="2675">
        <v>2.59</v>
      </c>
      <c r="L44" s="2676">
        <v>-1.66</v>
      </c>
      <c r="N44" s="2664">
        <f t="shared" si="47"/>
        <v>1.7299999999999999E-2</v>
      </c>
      <c r="O44" s="2665">
        <f t="shared" si="47"/>
        <v>2.9999999999999997E-4</v>
      </c>
      <c r="P44" s="2665">
        <f t="shared" si="47"/>
        <v>2.5899999999999999E-2</v>
      </c>
      <c r="Q44" s="2665">
        <f t="shared" si="47"/>
        <v>-1.66E-2</v>
      </c>
      <c r="R44" s="2666"/>
      <c r="S44" s="2667"/>
      <c r="T44" s="2668"/>
      <c r="U44" s="2668"/>
      <c r="V44" s="2668"/>
      <c r="X44" s="2668"/>
      <c r="Y44" s="2668"/>
      <c r="Z44" s="2668"/>
    </row>
    <row r="45" spans="1:26">
      <c r="A45" s="2655" t="s">
        <v>2607</v>
      </c>
      <c r="B45" s="2669">
        <f t="shared" ref="B45:C47" si="63">B44/(1+N44)</f>
        <v>210.36075887152265</v>
      </c>
      <c r="C45" s="2669">
        <f t="shared" si="63"/>
        <v>187.94361691492554</v>
      </c>
      <c r="D45" s="2669">
        <f t="shared" si="45"/>
        <v>187.94361691492554</v>
      </c>
      <c r="E45" s="2669">
        <f t="shared" ref="E45:F47" si="64">E44/(1+P44)</f>
        <v>281.70386977288234</v>
      </c>
      <c r="F45" s="2669">
        <f t="shared" si="64"/>
        <v>168.80211511083994</v>
      </c>
      <c r="G45" s="3446">
        <v>2008</v>
      </c>
      <c r="H45" s="2680">
        <v>3</v>
      </c>
      <c r="I45" s="2680">
        <v>1.96</v>
      </c>
      <c r="J45" s="2680">
        <v>2.36</v>
      </c>
      <c r="K45" s="2680">
        <v>1.82</v>
      </c>
      <c r="L45" s="2681">
        <v>2.2200000000000002</v>
      </c>
      <c r="N45" s="2664">
        <f t="shared" si="47"/>
        <v>1.9599999999999999E-2</v>
      </c>
      <c r="O45" s="2665">
        <f t="shared" si="47"/>
        <v>2.3599999999999999E-2</v>
      </c>
      <c r="P45" s="2665">
        <f t="shared" si="47"/>
        <v>1.8200000000000001E-2</v>
      </c>
      <c r="Q45" s="2665">
        <f t="shared" si="47"/>
        <v>2.2200000000000001E-2</v>
      </c>
      <c r="R45" s="2666"/>
      <c r="S45" s="2664"/>
      <c r="T45" s="2665"/>
      <c r="U45" s="2665"/>
      <c r="V45" s="2665"/>
    </row>
    <row r="46" spans="1:26">
      <c r="A46" s="2655" t="s">
        <v>2608</v>
      </c>
      <c r="B46" s="2669">
        <f t="shared" si="63"/>
        <v>206.31694671589116</v>
      </c>
      <c r="C46" s="2669">
        <f t="shared" si="63"/>
        <v>183.61041121036101</v>
      </c>
      <c r="D46" s="2669">
        <f t="shared" si="45"/>
        <v>183.61041121036101</v>
      </c>
      <c r="E46" s="2669">
        <f t="shared" si="64"/>
        <v>276.66850301795557</v>
      </c>
      <c r="F46" s="2669">
        <f t="shared" si="64"/>
        <v>165.1360938278614</v>
      </c>
      <c r="G46" s="3446">
        <v>2008</v>
      </c>
      <c r="H46" s="2660">
        <v>2</v>
      </c>
      <c r="I46" s="2660">
        <v>4.93</v>
      </c>
      <c r="J46" s="2660">
        <v>7.38</v>
      </c>
      <c r="K46" s="2660">
        <v>3.98</v>
      </c>
      <c r="L46" s="2671">
        <v>6.86</v>
      </c>
      <c r="N46" s="2664">
        <f t="shared" si="47"/>
        <v>4.9299999999999997E-2</v>
      </c>
      <c r="O46" s="2665">
        <f t="shared" si="47"/>
        <v>7.3800000000000004E-2</v>
      </c>
      <c r="P46" s="2665">
        <f t="shared" si="47"/>
        <v>3.9800000000000002E-2</v>
      </c>
      <c r="Q46" s="2665">
        <f t="shared" si="47"/>
        <v>6.8600000000000008E-2</v>
      </c>
      <c r="R46" s="2666"/>
      <c r="S46" s="2664"/>
      <c r="T46" s="2665"/>
      <c r="U46" s="2665"/>
      <c r="V46" s="2665"/>
    </row>
    <row r="47" spans="1:26" s="2705" customFormat="1" ht="13.5" thickBot="1">
      <c r="A47" s="2655" t="s">
        <v>2609</v>
      </c>
      <c r="B47" s="2702">
        <f t="shared" si="63"/>
        <v>196.62341248059772</v>
      </c>
      <c r="C47" s="2702">
        <f t="shared" si="63"/>
        <v>170.99125648199012</v>
      </c>
      <c r="D47" s="2702">
        <f t="shared" si="45"/>
        <v>170.99125648199012</v>
      </c>
      <c r="E47" s="2702">
        <f t="shared" si="64"/>
        <v>266.07857570490052</v>
      </c>
      <c r="F47" s="2702">
        <f t="shared" si="64"/>
        <v>154.53499328828505</v>
      </c>
      <c r="G47" s="3447">
        <v>2008</v>
      </c>
      <c r="H47" s="2703">
        <v>1</v>
      </c>
      <c r="I47" s="2703">
        <v>4.1399999999999997</v>
      </c>
      <c r="J47" s="2703">
        <v>3.45</v>
      </c>
      <c r="K47" s="2703">
        <v>4.95</v>
      </c>
      <c r="L47" s="2704">
        <v>4.82</v>
      </c>
      <c r="N47" s="2706">
        <f t="shared" si="47"/>
        <v>4.1399999999999999E-2</v>
      </c>
      <c r="O47" s="2707">
        <f t="shared" si="47"/>
        <v>3.4500000000000003E-2</v>
      </c>
      <c r="P47" s="2707">
        <f t="shared" si="47"/>
        <v>4.9500000000000002E-2</v>
      </c>
      <c r="Q47" s="2707">
        <f t="shared" si="47"/>
        <v>4.82E-2</v>
      </c>
      <c r="R47" s="2708"/>
      <c r="S47" s="2706">
        <f>B47/B48-1</f>
        <v>4.5869215322328349E-2</v>
      </c>
      <c r="T47" s="2707">
        <f>C47/C48-1</f>
        <v>3.6310645345394743E-2</v>
      </c>
      <c r="U47" s="2707">
        <f>E47/E48-1</f>
        <v>4.7553447657088688E-2</v>
      </c>
      <c r="V47" s="2707">
        <f>F47/F48-1</f>
        <v>4.4155360055980086E-2</v>
      </c>
      <c r="X47" s="2709"/>
      <c r="Y47" s="2709"/>
      <c r="Z47" s="2709"/>
    </row>
    <row r="48" spans="1:26" ht="13.5" thickBot="1">
      <c r="A48" s="2655" t="s">
        <v>2610</v>
      </c>
      <c r="B48" s="2661">
        <v>188</v>
      </c>
      <c r="C48" s="2661">
        <v>165</v>
      </c>
      <c r="D48" s="2661">
        <f t="shared" si="45"/>
        <v>165</v>
      </c>
      <c r="E48" s="2661">
        <v>254</v>
      </c>
      <c r="F48" s="2662">
        <v>148</v>
      </c>
      <c r="G48" s="3445">
        <v>2007</v>
      </c>
      <c r="H48" s="2710">
        <v>4</v>
      </c>
      <c r="I48" s="2710">
        <v>5.51</v>
      </c>
      <c r="J48" s="2710">
        <v>4.8899999999999997</v>
      </c>
      <c r="K48" s="2710">
        <v>6.43</v>
      </c>
      <c r="L48" s="2711">
        <v>5.36</v>
      </c>
      <c r="N48" s="2712">
        <f t="shared" ref="N48:O51" si="65">B48/B49-1</f>
        <v>4.1339718365245526E-2</v>
      </c>
      <c r="O48" s="2713">
        <f t="shared" si="65"/>
        <v>4.0324492593776018E-2</v>
      </c>
      <c r="P48" s="2713">
        <f t="shared" ref="P48:Q51" si="66">E48/E49-1</f>
        <v>6.1625555347990968E-2</v>
      </c>
      <c r="Q48" s="2713">
        <f t="shared" si="66"/>
        <v>4.6757569250590603E-2</v>
      </c>
      <c r="R48" s="2666"/>
      <c r="S48" s="2667"/>
      <c r="T48" s="2668"/>
      <c r="U48" s="2668"/>
      <c r="V48" s="2668"/>
      <c r="X48" s="2668"/>
      <c r="Y48" s="2668"/>
      <c r="Z48" s="2668"/>
    </row>
    <row r="49" spans="1:26">
      <c r="A49" s="2655" t="s">
        <v>2611</v>
      </c>
      <c r="B49" s="2669">
        <f t="shared" ref="B49:C51" si="67">B50+(B$48-B$52)*I49/SUM(I$48:I$51)</f>
        <v>180.5366651097618</v>
      </c>
      <c r="C49" s="2669">
        <f t="shared" si="67"/>
        <v>158.60435967302453</v>
      </c>
      <c r="D49" s="2669">
        <f t="shared" si="45"/>
        <v>158.60435967302453</v>
      </c>
      <c r="E49" s="2669">
        <f t="shared" ref="E49:F51" si="68">E50+(E$48-E$52)*K49/SUM(K$48:K$51)</f>
        <v>239.25573260785075</v>
      </c>
      <c r="F49" s="2669">
        <f t="shared" si="68"/>
        <v>141.38899430740037</v>
      </c>
      <c r="G49" s="3446">
        <v>2007</v>
      </c>
      <c r="H49" s="2680">
        <v>3</v>
      </c>
      <c r="I49" s="2680">
        <v>8.65</v>
      </c>
      <c r="J49" s="2680">
        <v>8.06</v>
      </c>
      <c r="K49" s="2680">
        <v>9.94</v>
      </c>
      <c r="L49" s="2681">
        <v>5.8</v>
      </c>
      <c r="N49" s="2712">
        <f t="shared" si="65"/>
        <v>6.940217571740015E-2</v>
      </c>
      <c r="O49" s="2713">
        <f t="shared" si="65"/>
        <v>7.1197482471153428E-2</v>
      </c>
      <c r="P49" s="2713">
        <f t="shared" si="66"/>
        <v>0.10529679922579582</v>
      </c>
      <c r="Q49" s="2713">
        <f t="shared" si="66"/>
        <v>5.3292245059512133E-2</v>
      </c>
      <c r="R49" s="2666"/>
      <c r="S49" s="2664"/>
      <c r="T49" s="2665"/>
      <c r="U49" s="2665"/>
      <c r="V49" s="2665"/>
      <c r="X49" s="2714"/>
      <c r="Y49" s="2714"/>
      <c r="Z49" s="2714"/>
    </row>
    <row r="50" spans="1:26">
      <c r="A50" s="2655" t="s">
        <v>2612</v>
      </c>
      <c r="B50" s="2669">
        <f t="shared" si="67"/>
        <v>168.82017748715555</v>
      </c>
      <c r="C50" s="2669">
        <f t="shared" si="67"/>
        <v>148.06267029972753</v>
      </c>
      <c r="D50" s="2669">
        <f t="shared" si="45"/>
        <v>148.06267029972753</v>
      </c>
      <c r="E50" s="2669">
        <f t="shared" si="68"/>
        <v>216.46288379323747</v>
      </c>
      <c r="F50" s="2669">
        <f t="shared" si="68"/>
        <v>134.23529411764704</v>
      </c>
      <c r="G50" s="3446">
        <v>2007</v>
      </c>
      <c r="H50" s="2660">
        <v>2</v>
      </c>
      <c r="I50" s="2660">
        <v>3.67</v>
      </c>
      <c r="J50" s="2660">
        <v>2.3199999999999998</v>
      </c>
      <c r="K50" s="2660">
        <v>5.0199999999999996</v>
      </c>
      <c r="L50" s="2671">
        <v>6.71</v>
      </c>
      <c r="N50" s="2712">
        <f t="shared" si="65"/>
        <v>3.0339138143848032E-2</v>
      </c>
      <c r="O50" s="2713">
        <f t="shared" si="65"/>
        <v>2.0922341588790472E-2</v>
      </c>
      <c r="P50" s="2713">
        <f t="shared" si="66"/>
        <v>5.6164796592717003E-2</v>
      </c>
      <c r="Q50" s="2713">
        <f t="shared" si="66"/>
        <v>6.5704536723887319E-2</v>
      </c>
      <c r="R50" s="2666"/>
      <c r="S50" s="2664"/>
      <c r="T50" s="2665"/>
      <c r="U50" s="2665"/>
      <c r="V50" s="2665"/>
      <c r="X50" s="2714"/>
      <c r="Y50" s="2714"/>
      <c r="Z50" s="2714"/>
    </row>
    <row r="51" spans="1:26">
      <c r="A51" s="2655" t="s">
        <v>2613</v>
      </c>
      <c r="B51" s="2669">
        <f t="shared" si="67"/>
        <v>163.84913591779542</v>
      </c>
      <c r="C51" s="2669">
        <f t="shared" si="67"/>
        <v>145.0283378746594</v>
      </c>
      <c r="D51" s="2669">
        <f t="shared" si="45"/>
        <v>145.0283378746594</v>
      </c>
      <c r="E51" s="2669">
        <f t="shared" si="68"/>
        <v>204.95180722891567</v>
      </c>
      <c r="F51" s="2669">
        <f t="shared" si="68"/>
        <v>125.95920303605313</v>
      </c>
      <c r="G51" s="3447">
        <v>2007</v>
      </c>
      <c r="H51" s="2659">
        <v>1</v>
      </c>
      <c r="I51" s="2659">
        <v>3.58</v>
      </c>
      <c r="J51" s="2659">
        <v>3.08</v>
      </c>
      <c r="K51" s="2659">
        <v>4.34</v>
      </c>
      <c r="L51" s="2670">
        <v>3.21</v>
      </c>
      <c r="N51" s="2715">
        <f t="shared" si="65"/>
        <v>3.0497710174814063E-2</v>
      </c>
      <c r="O51" s="2716">
        <f t="shared" si="65"/>
        <v>2.8569772160704998E-2</v>
      </c>
      <c r="P51" s="2716">
        <f t="shared" si="66"/>
        <v>5.1034908866234296E-2</v>
      </c>
      <c r="Q51" s="2716">
        <f t="shared" si="66"/>
        <v>3.245248390207478E-2</v>
      </c>
      <c r="R51" s="2666"/>
      <c r="S51" s="2672">
        <f>B51/B52-1</f>
        <v>3.0497710174814063E-2</v>
      </c>
      <c r="T51" s="2673">
        <f>C51/C52-1</f>
        <v>2.8569772160704998E-2</v>
      </c>
      <c r="U51" s="2673">
        <f>E51/E52-1</f>
        <v>5.1034908866234296E-2</v>
      </c>
      <c r="V51" s="2673">
        <f>F51/F52-1</f>
        <v>3.245248390207478E-2</v>
      </c>
      <c r="X51" s="2714"/>
      <c r="Y51" s="2714"/>
      <c r="Z51" s="2714"/>
    </row>
    <row r="52" spans="1:26" ht="13.5" thickBot="1">
      <c r="A52" s="2655" t="s">
        <v>2614</v>
      </c>
      <c r="B52" s="2683">
        <v>159</v>
      </c>
      <c r="C52" s="2683">
        <v>141</v>
      </c>
      <c r="D52" s="2683">
        <f t="shared" si="45"/>
        <v>141</v>
      </c>
      <c r="E52" s="2683">
        <v>195</v>
      </c>
      <c r="F52" s="2684">
        <v>122</v>
      </c>
      <c r="G52" s="3445">
        <v>2006</v>
      </c>
      <c r="H52" s="2675">
        <v>4</v>
      </c>
      <c r="I52" s="2675">
        <v>3.79</v>
      </c>
      <c r="J52" s="2675">
        <v>2.21</v>
      </c>
      <c r="K52" s="2675">
        <v>5.65</v>
      </c>
      <c r="L52" s="2676">
        <v>5.41</v>
      </c>
      <c r="N52" s="2712">
        <f t="shared" ref="N52:O55" si="69">I52/SUM(I$52:I$55)*(B$52/B$56-1)</f>
        <v>7.245466462748526E-2</v>
      </c>
      <c r="O52" s="2713">
        <f t="shared" si="69"/>
        <v>2.3237230038062766E-2</v>
      </c>
      <c r="P52" s="2713">
        <f t="shared" ref="P52:Q55" si="70">K52/SUM(K$52:K$55)*(E$52/E$56-1)</f>
        <v>0.16146893866323722</v>
      </c>
      <c r="Q52" s="2713">
        <f t="shared" si="70"/>
        <v>5.0755230321793784E-2</v>
      </c>
      <c r="R52" s="2666"/>
      <c r="S52" s="2667"/>
      <c r="T52" s="2668"/>
      <c r="U52" s="2668"/>
      <c r="V52" s="2668"/>
      <c r="X52" s="2714"/>
      <c r="Y52" s="2714"/>
      <c r="Z52" s="2714"/>
    </row>
    <row r="53" spans="1:26">
      <c r="A53" s="2655" t="s">
        <v>2615</v>
      </c>
      <c r="B53" s="2669">
        <f t="shared" ref="B53:C55" si="71">B54+(B$52-B$56)*I53/SUM(I$52:I$55)</f>
        <v>149.00125628140702</v>
      </c>
      <c r="C53" s="2669">
        <f t="shared" si="71"/>
        <v>137.95592286501378</v>
      </c>
      <c r="D53" s="2669">
        <f t="shared" si="45"/>
        <v>137.95592286501378</v>
      </c>
      <c r="E53" s="2669">
        <f t="shared" ref="E53:F55" si="72">E54+(E$52-E$56)*K53/SUM(K$52:K$55)</f>
        <v>169.97231450719823</v>
      </c>
      <c r="F53" s="2669">
        <f t="shared" si="72"/>
        <v>116.21390374331551</v>
      </c>
      <c r="G53" s="3446">
        <v>2006</v>
      </c>
      <c r="H53" s="2680">
        <v>3</v>
      </c>
      <c r="I53" s="2680">
        <v>0.92</v>
      </c>
      <c r="J53" s="2680">
        <v>1.08</v>
      </c>
      <c r="K53" s="2680">
        <v>0.73</v>
      </c>
      <c r="L53" s="2681">
        <v>1.08</v>
      </c>
      <c r="N53" s="2712">
        <f t="shared" si="69"/>
        <v>1.7587939698492462E-2</v>
      </c>
      <c r="O53" s="2713">
        <f t="shared" si="69"/>
        <v>1.1355750425840628E-2</v>
      </c>
      <c r="P53" s="2713">
        <f t="shared" si="70"/>
        <v>2.0862358446754544E-2</v>
      </c>
      <c r="Q53" s="2713">
        <f t="shared" si="70"/>
        <v>1.0132282578103011E-2</v>
      </c>
      <c r="R53" s="2666"/>
      <c r="S53" s="2664"/>
      <c r="T53" s="2665"/>
      <c r="U53" s="2665"/>
      <c r="V53" s="2665"/>
      <c r="X53" s="2714"/>
      <c r="Y53" s="2714"/>
      <c r="Z53" s="2714"/>
    </row>
    <row r="54" spans="1:26">
      <c r="A54" s="2655" t="s">
        <v>2616</v>
      </c>
      <c r="B54" s="2669">
        <f t="shared" si="71"/>
        <v>146.57412060301507</v>
      </c>
      <c r="C54" s="2669">
        <f t="shared" si="71"/>
        <v>136.46831955922866</v>
      </c>
      <c r="D54" s="2669">
        <f t="shared" si="45"/>
        <v>136.46831955922866</v>
      </c>
      <c r="E54" s="2669">
        <f t="shared" si="72"/>
        <v>166.73864894795128</v>
      </c>
      <c r="F54" s="2669">
        <f t="shared" si="72"/>
        <v>115.05882352941177</v>
      </c>
      <c r="G54" s="3446">
        <v>2006</v>
      </c>
      <c r="H54" s="2660">
        <v>2</v>
      </c>
      <c r="I54" s="2660">
        <v>0.96</v>
      </c>
      <c r="J54" s="2660">
        <v>0.25</v>
      </c>
      <c r="K54" s="2660">
        <v>1.9</v>
      </c>
      <c r="L54" s="2671">
        <v>0.95</v>
      </c>
      <c r="N54" s="2712">
        <f t="shared" si="69"/>
        <v>1.8352632728861701E-2</v>
      </c>
      <c r="O54" s="2713">
        <f t="shared" si="69"/>
        <v>2.6286459319075526E-3</v>
      </c>
      <c r="P54" s="2713">
        <f t="shared" si="70"/>
        <v>5.4299289107991269E-2</v>
      </c>
      <c r="Q54" s="2713">
        <f t="shared" si="70"/>
        <v>8.9126559714794995E-3</v>
      </c>
      <c r="R54" s="2666"/>
      <c r="S54" s="2664"/>
      <c r="T54" s="2665"/>
      <c r="U54" s="2665"/>
      <c r="V54" s="2665"/>
      <c r="X54" s="2714"/>
      <c r="Y54" s="2714"/>
      <c r="Z54" s="2714"/>
    </row>
    <row r="55" spans="1:26">
      <c r="A55" s="2655" t="s">
        <v>2617</v>
      </c>
      <c r="B55" s="2669">
        <f t="shared" si="71"/>
        <v>144.04145728643215</v>
      </c>
      <c r="C55" s="2669">
        <f t="shared" si="71"/>
        <v>136.12396694214877</v>
      </c>
      <c r="D55" s="2669">
        <f t="shared" si="45"/>
        <v>136.12396694214877</v>
      </c>
      <c r="E55" s="2669">
        <f t="shared" si="72"/>
        <v>158.32225913621264</v>
      </c>
      <c r="F55" s="2669">
        <f t="shared" si="72"/>
        <v>114.04278074866311</v>
      </c>
      <c r="G55" s="3447">
        <v>2006</v>
      </c>
      <c r="H55" s="2659">
        <v>1</v>
      </c>
      <c r="I55" s="2659">
        <v>2.29</v>
      </c>
      <c r="J55" s="2659">
        <v>3.72</v>
      </c>
      <c r="K55" s="2659">
        <v>0.75</v>
      </c>
      <c r="L55" s="2670">
        <v>0.04</v>
      </c>
      <c r="N55" s="2715">
        <f t="shared" si="69"/>
        <v>4.3778675988638847E-2</v>
      </c>
      <c r="O55" s="2716">
        <f t="shared" si="69"/>
        <v>3.9114251466784385E-2</v>
      </c>
      <c r="P55" s="2716">
        <f t="shared" si="70"/>
        <v>2.1433929911049188E-2</v>
      </c>
      <c r="Q55" s="2716">
        <f t="shared" si="70"/>
        <v>3.7526972511492629E-4</v>
      </c>
      <c r="R55" s="2666"/>
      <c r="S55" s="2672">
        <f>B55/B56-1</f>
        <v>4.3778675988638716E-2</v>
      </c>
      <c r="T55" s="2673">
        <f>C55/C56-1</f>
        <v>3.91142514667846E-2</v>
      </c>
      <c r="U55" s="2673">
        <f>E55/E56-1</f>
        <v>2.143392991104931E-2</v>
      </c>
      <c r="V55" s="2673">
        <f>F55/F56-1</f>
        <v>3.7526972511492396E-4</v>
      </c>
      <c r="X55" s="2714"/>
      <c r="Y55" s="2714"/>
      <c r="Z55" s="2714"/>
    </row>
    <row r="56" spans="1:26" ht="13.5" thickBot="1">
      <c r="A56" s="2655" t="s">
        <v>2618</v>
      </c>
      <c r="B56" s="2683">
        <v>138</v>
      </c>
      <c r="C56" s="2683">
        <v>131</v>
      </c>
      <c r="D56" s="2683">
        <f t="shared" si="45"/>
        <v>131</v>
      </c>
      <c r="E56" s="2683">
        <v>155</v>
      </c>
      <c r="F56" s="2684">
        <v>114</v>
      </c>
      <c r="G56" s="3445">
        <v>2005</v>
      </c>
      <c r="H56" s="2675">
        <v>4</v>
      </c>
      <c r="I56" s="2675">
        <v>3.29</v>
      </c>
      <c r="J56" s="2675">
        <v>1.44</v>
      </c>
      <c r="K56" s="2675">
        <v>0.66</v>
      </c>
      <c r="L56" s="2676">
        <v>7.78</v>
      </c>
      <c r="N56" s="2712">
        <f t="shared" ref="N56:O59" si="73">I56/SUM(I$56:I$59)*(B$56/B$60-1)</f>
        <v>9.9404603216919935E-2</v>
      </c>
      <c r="O56" s="2713">
        <f t="shared" si="73"/>
        <v>4.7636550760861554E-2</v>
      </c>
      <c r="P56" s="2713">
        <f t="shared" ref="P56:Q59" si="74">K56/SUM(K$56:K$59)*(E$56/E$60-1)</f>
        <v>8.3756345177664976E-2</v>
      </c>
      <c r="Q56" s="2713">
        <f t="shared" si="74"/>
        <v>5.2148766661559584E-2</v>
      </c>
      <c r="R56" s="2666"/>
      <c r="S56" s="2667"/>
      <c r="T56" s="2668"/>
      <c r="U56" s="2668"/>
      <c r="V56" s="2668"/>
      <c r="X56" s="2714"/>
      <c r="Y56" s="2714"/>
      <c r="Z56" s="2714"/>
    </row>
    <row r="57" spans="1:26">
      <c r="A57" s="2655" t="s">
        <v>2619</v>
      </c>
      <c r="B57" s="2669">
        <f t="shared" ref="B57:C59" si="75">B58+(B$56-B$60)*I57/SUM(I$56:I$59)</f>
        <v>125.9720430107527</v>
      </c>
      <c r="C57" s="2669">
        <f t="shared" si="75"/>
        <v>125.1883408071749</v>
      </c>
      <c r="D57" s="2669">
        <f t="shared" si="45"/>
        <v>125.1883408071749</v>
      </c>
      <c r="E57" s="2669">
        <f t="shared" ref="E57:F59" si="76">E58+(E$56-E$60)*K57/SUM(K$56:K$59)</f>
        <v>144.61421319796952</v>
      </c>
      <c r="F57" s="2669">
        <f t="shared" si="76"/>
        <v>108.42008196721311</v>
      </c>
      <c r="G57" s="3446">
        <v>2005</v>
      </c>
      <c r="H57" s="2680">
        <v>3</v>
      </c>
      <c r="I57" s="2680">
        <v>0.46</v>
      </c>
      <c r="J57" s="2680">
        <v>0.32</v>
      </c>
      <c r="K57" s="2680">
        <v>0.42</v>
      </c>
      <c r="L57" s="2681">
        <v>0.64</v>
      </c>
      <c r="N57" s="2712">
        <f t="shared" si="73"/>
        <v>1.3898515951301874E-2</v>
      </c>
      <c r="O57" s="2713">
        <f t="shared" si="73"/>
        <v>1.0585900169080346E-2</v>
      </c>
      <c r="P57" s="2713">
        <f t="shared" si="74"/>
        <v>5.3299492385786795E-2</v>
      </c>
      <c r="Q57" s="2713">
        <f t="shared" si="74"/>
        <v>4.2898728359123568E-3</v>
      </c>
      <c r="R57" s="2666"/>
      <c r="S57" s="2664"/>
      <c r="T57" s="2665"/>
      <c r="U57" s="2665"/>
      <c r="V57" s="2665"/>
      <c r="X57" s="2714"/>
      <c r="Y57" s="2714"/>
      <c r="Z57" s="2714"/>
    </row>
    <row r="58" spans="1:26">
      <c r="A58" s="2655" t="s">
        <v>2620</v>
      </c>
      <c r="B58" s="2669">
        <f t="shared" si="75"/>
        <v>124.29032258064517</v>
      </c>
      <c r="C58" s="2669">
        <f t="shared" si="75"/>
        <v>123.8968609865471</v>
      </c>
      <c r="D58" s="2669">
        <f t="shared" si="45"/>
        <v>123.8968609865471</v>
      </c>
      <c r="E58" s="2669">
        <f t="shared" si="76"/>
        <v>138.00507614213197</v>
      </c>
      <c r="F58" s="2669">
        <f t="shared" si="76"/>
        <v>107.96106557377048</v>
      </c>
      <c r="G58" s="3446">
        <v>2005</v>
      </c>
      <c r="H58" s="2660">
        <v>2</v>
      </c>
      <c r="I58" s="2660">
        <v>0.47</v>
      </c>
      <c r="J58" s="2660">
        <v>0.1</v>
      </c>
      <c r="K58" s="2660">
        <v>0.52</v>
      </c>
      <c r="L58" s="2671">
        <v>0.79</v>
      </c>
      <c r="N58" s="2712">
        <f t="shared" si="73"/>
        <v>1.420065760241713E-2</v>
      </c>
      <c r="O58" s="2713">
        <f t="shared" si="73"/>
        <v>3.3080938028376083E-3</v>
      </c>
      <c r="P58" s="2713">
        <f t="shared" si="74"/>
        <v>6.598984771573603E-2</v>
      </c>
      <c r="Q58" s="2713">
        <f t="shared" si="74"/>
        <v>5.2953117818293153E-3</v>
      </c>
      <c r="R58" s="2666"/>
      <c r="S58" s="2664"/>
      <c r="T58" s="2665"/>
      <c r="U58" s="2665"/>
      <c r="V58" s="2665"/>
      <c r="X58" s="2714"/>
      <c r="Y58" s="2714"/>
      <c r="Z58" s="2714"/>
    </row>
    <row r="59" spans="1:26">
      <c r="A59" s="2655" t="s">
        <v>2621</v>
      </c>
      <c r="B59" s="2669">
        <f t="shared" si="75"/>
        <v>122.57204301075269</v>
      </c>
      <c r="C59" s="2669">
        <f t="shared" si="75"/>
        <v>123.4932735426009</v>
      </c>
      <c r="D59" s="2669">
        <f t="shared" si="45"/>
        <v>123.4932735426009</v>
      </c>
      <c r="E59" s="2669">
        <f t="shared" si="76"/>
        <v>129.82233502538071</v>
      </c>
      <c r="F59" s="2669">
        <f t="shared" si="76"/>
        <v>107.39446721311475</v>
      </c>
      <c r="G59" s="3447">
        <v>2005</v>
      </c>
      <c r="H59" s="2659">
        <v>1</v>
      </c>
      <c r="I59" s="2659">
        <v>0.43</v>
      </c>
      <c r="J59" s="2659">
        <v>0.37</v>
      </c>
      <c r="K59" s="2659">
        <v>0.37</v>
      </c>
      <c r="L59" s="2670">
        <v>0.55000000000000004</v>
      </c>
      <c r="N59" s="2715">
        <f t="shared" si="73"/>
        <v>1.2992090997956099E-2</v>
      </c>
      <c r="O59" s="2716">
        <f t="shared" si="73"/>
        <v>1.2239947070499151E-2</v>
      </c>
      <c r="P59" s="2716">
        <f t="shared" si="74"/>
        <v>4.6954314720812178E-2</v>
      </c>
      <c r="Q59" s="2716">
        <f t="shared" si="74"/>
        <v>3.6866094683621815E-3</v>
      </c>
      <c r="R59" s="2666"/>
      <c r="S59" s="2672">
        <f>B59/B60-1</f>
        <v>1.2992090997956174E-2</v>
      </c>
      <c r="T59" s="2673">
        <f>C59/C60-1</f>
        <v>1.2239947070499246E-2</v>
      </c>
      <c r="U59" s="2673">
        <f>E59/E60-1</f>
        <v>4.695431472081224E-2</v>
      </c>
      <c r="V59" s="2673">
        <f>F59/F60-1</f>
        <v>3.6866094683620787E-3</v>
      </c>
      <c r="X59" s="2714"/>
      <c r="Y59" s="2714"/>
      <c r="Z59" s="2714"/>
    </row>
    <row r="60" spans="1:26" ht="13.5" thickBot="1">
      <c r="A60" s="2655" t="s">
        <v>2622</v>
      </c>
      <c r="B60" s="2699">
        <v>121</v>
      </c>
      <c r="C60" s="2699">
        <v>122</v>
      </c>
      <c r="D60" s="2699">
        <f t="shared" si="45"/>
        <v>122</v>
      </c>
      <c r="E60" s="2699">
        <v>124</v>
      </c>
      <c r="F60" s="2700">
        <v>107</v>
      </c>
      <c r="G60" s="3445">
        <v>2004</v>
      </c>
      <c r="H60" s="2675">
        <v>4</v>
      </c>
      <c r="I60" s="2675">
        <v>0.33</v>
      </c>
      <c r="J60" s="2675">
        <v>0.5</v>
      </c>
      <c r="K60" s="2675">
        <v>0.5</v>
      </c>
      <c r="L60" s="2676">
        <v>0</v>
      </c>
      <c r="N60" s="2712">
        <f t="shared" ref="N60:O63" si="77">I60/SUM(I$60:I$63)*(B$60/B$64-1)</f>
        <v>1.3391770148526898E-2</v>
      </c>
      <c r="O60" s="2713">
        <f t="shared" si="77"/>
        <v>1.063264221158958E-2</v>
      </c>
      <c r="P60" s="2713">
        <f t="shared" ref="P60:Q63" si="78">K60/SUM(K$60:K$63)*(E$60/E$64-1)</f>
        <v>2.2244466688911134E-2</v>
      </c>
      <c r="Q60" s="2713">
        <f t="shared" si="78"/>
        <v>0</v>
      </c>
      <c r="R60" s="2666"/>
      <c r="S60" s="2667"/>
      <c r="T60" s="2668"/>
      <c r="U60" s="2668"/>
      <c r="V60" s="2668"/>
      <c r="X60" s="2714"/>
      <c r="Y60" s="2714"/>
      <c r="Z60" s="2714"/>
    </row>
    <row r="61" spans="1:26">
      <c r="A61" s="2655" t="s">
        <v>2623</v>
      </c>
      <c r="B61" s="2669">
        <f t="shared" ref="B61:C63" si="79">B62+(B$60-B$64)*I61/SUM(I$60:I$63)</f>
        <v>119.51351351351352</v>
      </c>
      <c r="C61" s="2669">
        <f t="shared" si="79"/>
        <v>120.7878787878788</v>
      </c>
      <c r="D61" s="2669">
        <f t="shared" si="45"/>
        <v>120.7878787878788</v>
      </c>
      <c r="E61" s="2669">
        <f t="shared" ref="E61:F63" si="80">E62+(E$60-E$64)*K61/SUM(K$60:K$63)</f>
        <v>121.5975975975976</v>
      </c>
      <c r="F61" s="2669">
        <f t="shared" si="80"/>
        <v>107</v>
      </c>
      <c r="G61" s="3446">
        <v>2004</v>
      </c>
      <c r="H61" s="2680">
        <v>3</v>
      </c>
      <c r="I61" s="2680">
        <v>0.56000000000000005</v>
      </c>
      <c r="J61" s="2680">
        <v>0.8</v>
      </c>
      <c r="K61" s="2680">
        <v>0.83</v>
      </c>
      <c r="L61" s="2681">
        <v>0.06</v>
      </c>
      <c r="N61" s="2712">
        <f t="shared" si="77"/>
        <v>2.2725428130833527E-2</v>
      </c>
      <c r="O61" s="2713">
        <f t="shared" si="77"/>
        <v>1.7012227538543329E-2</v>
      </c>
      <c r="P61" s="2713">
        <f t="shared" si="78"/>
        <v>3.6925814703592477E-2</v>
      </c>
      <c r="Q61" s="2713">
        <f t="shared" si="78"/>
        <v>2.8846153846153744E-2</v>
      </c>
      <c r="R61" s="2666"/>
      <c r="S61" s="2664"/>
      <c r="T61" s="2665"/>
      <c r="U61" s="2665"/>
      <c r="V61" s="2665"/>
      <c r="X61" s="2714"/>
      <c r="Y61" s="2714"/>
      <c r="Z61" s="2714"/>
    </row>
    <row r="62" spans="1:26">
      <c r="A62" s="2655" t="s">
        <v>2624</v>
      </c>
      <c r="B62" s="2669">
        <f t="shared" si="79"/>
        <v>116.99099099099099</v>
      </c>
      <c r="C62" s="2669">
        <f t="shared" si="79"/>
        <v>118.84848484848486</v>
      </c>
      <c r="D62" s="2669">
        <f t="shared" si="45"/>
        <v>118.84848484848486</v>
      </c>
      <c r="E62" s="2669">
        <f t="shared" si="80"/>
        <v>117.60960960960961</v>
      </c>
      <c r="F62" s="2669">
        <f t="shared" si="80"/>
        <v>104</v>
      </c>
      <c r="G62" s="3446">
        <v>2004</v>
      </c>
      <c r="H62" s="2660">
        <v>2</v>
      </c>
      <c r="I62" s="2660">
        <v>1</v>
      </c>
      <c r="J62" s="2660">
        <v>1.5</v>
      </c>
      <c r="K62" s="2660">
        <v>1.5</v>
      </c>
      <c r="L62" s="2671">
        <v>0</v>
      </c>
      <c r="N62" s="2712">
        <f t="shared" si="77"/>
        <v>4.0581121662202721E-2</v>
      </c>
      <c r="O62" s="2713">
        <f t="shared" si="77"/>
        <v>3.1897926634768738E-2</v>
      </c>
      <c r="P62" s="2713">
        <f t="shared" si="78"/>
        <v>6.6733400066733395E-2</v>
      </c>
      <c r="Q62" s="2713">
        <f t="shared" si="78"/>
        <v>0</v>
      </c>
      <c r="R62" s="2666"/>
      <c r="S62" s="2664"/>
      <c r="T62" s="2665"/>
      <c r="U62" s="2665"/>
      <c r="V62" s="2665"/>
      <c r="X62" s="2714"/>
      <c r="Y62" s="2714"/>
      <c r="Z62" s="2714"/>
    </row>
    <row r="63" spans="1:26" s="2705" customFormat="1" ht="13.5" thickBot="1">
      <c r="A63" s="2655" t="s">
        <v>2625</v>
      </c>
      <c r="B63" s="2702">
        <f t="shared" si="79"/>
        <v>112.48648648648648</v>
      </c>
      <c r="C63" s="2702">
        <f t="shared" si="79"/>
        <v>115.21212121212122</v>
      </c>
      <c r="D63" s="2702">
        <f t="shared" si="45"/>
        <v>115.21212121212122</v>
      </c>
      <c r="E63" s="2702">
        <f t="shared" si="80"/>
        <v>110.4024024024024</v>
      </c>
      <c r="F63" s="2702">
        <f t="shared" si="80"/>
        <v>104</v>
      </c>
      <c r="G63" s="3447">
        <v>2004</v>
      </c>
      <c r="H63" s="2703">
        <v>1</v>
      </c>
      <c r="I63" s="2703">
        <v>0.33</v>
      </c>
      <c r="J63" s="2703">
        <v>0.5</v>
      </c>
      <c r="K63" s="2703">
        <v>0.5</v>
      </c>
      <c r="L63" s="2704">
        <v>0</v>
      </c>
      <c r="N63" s="2717">
        <f t="shared" si="77"/>
        <v>1.3391770148526898E-2</v>
      </c>
      <c r="O63" s="2718">
        <f t="shared" si="77"/>
        <v>1.063264221158958E-2</v>
      </c>
      <c r="P63" s="2718">
        <f t="shared" si="78"/>
        <v>2.2244466688911134E-2</v>
      </c>
      <c r="Q63" s="2718">
        <f t="shared" si="78"/>
        <v>0</v>
      </c>
      <c r="R63" s="2708"/>
      <c r="S63" s="2706">
        <f>B63/B64-1</f>
        <v>1.3391770148526883E-2</v>
      </c>
      <c r="T63" s="2707">
        <f>C63/C64-1</f>
        <v>1.063264221158966E-2</v>
      </c>
      <c r="U63" s="2707">
        <f>E63/E64-1</f>
        <v>2.2244466688911224E-2</v>
      </c>
      <c r="V63" s="2707">
        <f>F63/F64-1</f>
        <v>0</v>
      </c>
      <c r="X63" s="2719"/>
      <c r="Y63" s="2719"/>
      <c r="Z63" s="2719"/>
    </row>
    <row r="64" spans="1:26" ht="13.5" thickBot="1">
      <c r="A64" s="2655" t="s">
        <v>2626</v>
      </c>
      <c r="B64" s="2720">
        <v>111</v>
      </c>
      <c r="C64" s="2720">
        <v>114</v>
      </c>
      <c r="D64" s="2720">
        <f t="shared" si="45"/>
        <v>114</v>
      </c>
      <c r="E64" s="2720">
        <v>108</v>
      </c>
      <c r="F64" s="2721">
        <v>104</v>
      </c>
      <c r="G64" s="3445">
        <v>2003</v>
      </c>
      <c r="H64" s="2710">
        <v>4</v>
      </c>
      <c r="I64" s="2722"/>
      <c r="J64" s="2722"/>
      <c r="K64" s="2722"/>
      <c r="L64" s="2722"/>
      <c r="N64" s="2723"/>
      <c r="O64" s="2722"/>
      <c r="P64" s="2722"/>
      <c r="Q64" s="2722"/>
      <c r="S64" s="2723"/>
      <c r="T64" s="2722"/>
      <c r="U64" s="2722"/>
      <c r="V64" s="2722"/>
      <c r="X64" s="2714"/>
      <c r="Y64" s="2714"/>
      <c r="Z64" s="2714"/>
    </row>
    <row r="65" spans="1:26">
      <c r="A65" s="2655" t="s">
        <v>2627</v>
      </c>
      <c r="B65" s="2724">
        <f t="shared" ref="B65:C67" si="81">B66+(B$64-B$68)/4</f>
        <v>109.75</v>
      </c>
      <c r="C65" s="2724">
        <f t="shared" si="81"/>
        <v>112.25</v>
      </c>
      <c r="D65" s="2724">
        <f t="shared" si="45"/>
        <v>112.25</v>
      </c>
      <c r="E65" s="2724">
        <f t="shared" ref="E65:F67" si="82">E66+(E$64-E$68)/4</f>
        <v>107.25</v>
      </c>
      <c r="F65" s="2724">
        <f t="shared" si="82"/>
        <v>103.5</v>
      </c>
      <c r="G65" s="3446">
        <v>2003</v>
      </c>
      <c r="H65" s="2680">
        <v>3</v>
      </c>
      <c r="I65" s="2722"/>
      <c r="J65" s="2722"/>
      <c r="K65" s="2722"/>
      <c r="L65" s="2722"/>
      <c r="X65" s="2714"/>
      <c r="Y65" s="2714"/>
      <c r="Z65" s="2714"/>
    </row>
    <row r="66" spans="1:26">
      <c r="A66" s="2655" t="s">
        <v>2628</v>
      </c>
      <c r="B66" s="2724">
        <f t="shared" si="81"/>
        <v>108.5</v>
      </c>
      <c r="C66" s="2724">
        <f t="shared" si="81"/>
        <v>110.5</v>
      </c>
      <c r="D66" s="2724">
        <f t="shared" si="45"/>
        <v>110.5</v>
      </c>
      <c r="E66" s="2724">
        <f t="shared" si="82"/>
        <v>106.5</v>
      </c>
      <c r="F66" s="2724">
        <f t="shared" si="82"/>
        <v>103</v>
      </c>
      <c r="G66" s="3446">
        <v>2003</v>
      </c>
      <c r="H66" s="2660">
        <v>2</v>
      </c>
      <c r="I66" s="2722"/>
      <c r="J66" s="2722"/>
      <c r="K66" s="2722"/>
      <c r="L66" s="2722"/>
      <c r="X66" s="2714"/>
      <c r="Y66" s="2714"/>
      <c r="Z66" s="2714"/>
    </row>
    <row r="67" spans="1:26" ht="13.5" thickBot="1">
      <c r="A67" s="2655" t="s">
        <v>2629</v>
      </c>
      <c r="B67" s="2724">
        <f t="shared" si="81"/>
        <v>107.25</v>
      </c>
      <c r="C67" s="2724">
        <f t="shared" si="81"/>
        <v>108.75</v>
      </c>
      <c r="D67" s="2724">
        <f t="shared" si="45"/>
        <v>108.75</v>
      </c>
      <c r="E67" s="2724">
        <f t="shared" si="82"/>
        <v>105.75</v>
      </c>
      <c r="F67" s="2724">
        <f t="shared" si="82"/>
        <v>102.5</v>
      </c>
      <c r="G67" s="3447">
        <v>2003</v>
      </c>
      <c r="H67" s="2725">
        <v>1</v>
      </c>
      <c r="I67" s="2722"/>
      <c r="J67" s="2722"/>
      <c r="K67" s="2722"/>
      <c r="L67" s="2722"/>
      <c r="S67" s="2664"/>
      <c r="T67" s="2665"/>
      <c r="U67" s="2665"/>
      <c r="X67" s="2714"/>
      <c r="Y67" s="2714"/>
      <c r="Z67" s="2714"/>
    </row>
    <row r="68" spans="1:26" ht="13.5" thickBot="1">
      <c r="A68" s="2655" t="s">
        <v>2630</v>
      </c>
      <c r="B68" s="2726">
        <v>106</v>
      </c>
      <c r="C68" s="2726">
        <v>107</v>
      </c>
      <c r="D68" s="2726">
        <f t="shared" si="45"/>
        <v>107</v>
      </c>
      <c r="E68" s="2726">
        <v>105</v>
      </c>
      <c r="F68" s="2727">
        <v>102</v>
      </c>
      <c r="G68" s="3445">
        <v>2002</v>
      </c>
      <c r="H68" s="2675">
        <v>4</v>
      </c>
      <c r="I68" s="2722"/>
      <c r="J68" s="2722"/>
      <c r="K68" s="2722"/>
      <c r="L68" s="2722"/>
      <c r="N68" s="2723"/>
      <c r="O68" s="2722"/>
      <c r="P68" s="2722"/>
      <c r="Q68" s="2722"/>
      <c r="S68" s="2723"/>
      <c r="T68" s="2722"/>
      <c r="U68" s="2722"/>
      <c r="V68" s="2722"/>
      <c r="X68" s="2714"/>
      <c r="Y68" s="2714"/>
      <c r="Z68" s="2714"/>
    </row>
    <row r="69" spans="1:26">
      <c r="A69" s="2655" t="s">
        <v>2631</v>
      </c>
      <c r="B69" s="2724">
        <f t="shared" ref="B69:C71" si="83">B70+(B$68-B$72)/4</f>
        <v>105</v>
      </c>
      <c r="C69" s="2724">
        <f t="shared" si="83"/>
        <v>106</v>
      </c>
      <c r="D69" s="2724">
        <f t="shared" si="45"/>
        <v>106</v>
      </c>
      <c r="E69" s="2724">
        <f t="shared" ref="E69:F71" si="84">E70+(E$68-E$72)/4</f>
        <v>104.5</v>
      </c>
      <c r="F69" s="2724">
        <f t="shared" si="84"/>
        <v>101.5</v>
      </c>
      <c r="G69" s="3446">
        <v>2002</v>
      </c>
      <c r="H69" s="2680">
        <v>3</v>
      </c>
      <c r="I69" s="2722"/>
      <c r="J69" s="2722"/>
      <c r="K69" s="2722"/>
      <c r="L69" s="2722"/>
      <c r="X69" s="2714"/>
      <c r="Y69" s="2714"/>
      <c r="Z69" s="2714"/>
    </row>
    <row r="70" spans="1:26">
      <c r="A70" s="2655" t="s">
        <v>2632</v>
      </c>
      <c r="B70" s="2724">
        <f t="shared" si="83"/>
        <v>104</v>
      </c>
      <c r="C70" s="2724">
        <f t="shared" si="83"/>
        <v>105</v>
      </c>
      <c r="D70" s="2724">
        <f t="shared" si="45"/>
        <v>105</v>
      </c>
      <c r="E70" s="2724">
        <f t="shared" si="84"/>
        <v>104</v>
      </c>
      <c r="F70" s="2724">
        <f t="shared" si="84"/>
        <v>101</v>
      </c>
      <c r="G70" s="3446">
        <v>2002</v>
      </c>
      <c r="H70" s="2660">
        <v>2</v>
      </c>
      <c r="I70" s="2722"/>
      <c r="J70" s="2722"/>
      <c r="K70" s="2722"/>
      <c r="L70" s="2722"/>
      <c r="X70" s="2714"/>
      <c r="Y70" s="2714"/>
      <c r="Z70" s="2714"/>
    </row>
    <row r="71" spans="1:26" s="2691" customFormat="1" ht="13.5" thickBot="1">
      <c r="A71" s="2687" t="s">
        <v>2633</v>
      </c>
      <c r="B71" s="2728">
        <f t="shared" si="83"/>
        <v>103</v>
      </c>
      <c r="C71" s="2728">
        <f t="shared" si="83"/>
        <v>104</v>
      </c>
      <c r="D71" s="2728">
        <f t="shared" si="45"/>
        <v>104</v>
      </c>
      <c r="E71" s="2728">
        <f t="shared" si="84"/>
        <v>103.5</v>
      </c>
      <c r="F71" s="2728">
        <f t="shared" si="84"/>
        <v>100.5</v>
      </c>
      <c r="G71" s="3447">
        <v>2002</v>
      </c>
      <c r="H71" s="2729">
        <v>1</v>
      </c>
      <c r="I71" s="2730"/>
      <c r="J71" s="2730"/>
      <c r="K71" s="2730"/>
      <c r="L71" s="2730"/>
      <c r="N71" s="2731"/>
      <c r="S71" s="2731"/>
      <c r="X71" s="2732"/>
      <c r="Y71" s="2732"/>
      <c r="Z71" s="2732"/>
    </row>
    <row r="72" spans="1:26" ht="13.5" thickBot="1">
      <c r="B72" s="2733">
        <v>102</v>
      </c>
      <c r="C72" s="2734">
        <v>103</v>
      </c>
      <c r="D72" s="2734">
        <f t="shared" si="45"/>
        <v>103</v>
      </c>
      <c r="E72" s="2734">
        <v>103</v>
      </c>
      <c r="F72" s="2735">
        <v>100</v>
      </c>
      <c r="I72" s="2722"/>
      <c r="J72" s="2722"/>
      <c r="K72" s="2722"/>
      <c r="L72" s="2722"/>
      <c r="N72" s="2723"/>
      <c r="O72" s="2722"/>
      <c r="P72" s="2722"/>
      <c r="Q72" s="2722"/>
      <c r="S72" s="2723"/>
      <c r="T72" s="2722"/>
      <c r="U72" s="2722"/>
      <c r="V72" s="2722"/>
      <c r="X72" s="2668"/>
      <c r="Y72" s="2668"/>
      <c r="Z72" s="2668"/>
    </row>
    <row r="74" spans="1:26" s="2737" customFormat="1">
      <c r="A74" s="2736" t="s">
        <v>2634</v>
      </c>
      <c r="G74" s="2738"/>
      <c r="N74" s="2738"/>
      <c r="S74" s="2738"/>
    </row>
    <row r="75" spans="1:26" s="2737" customFormat="1">
      <c r="A75" s="2737" t="s">
        <v>2635</v>
      </c>
      <c r="G75" s="2738"/>
      <c r="N75" s="2738"/>
      <c r="S75" s="2738"/>
    </row>
    <row r="76" spans="1:26" s="2737" customFormat="1">
      <c r="A76" s="2737" t="s">
        <v>2636</v>
      </c>
      <c r="G76" s="2738"/>
      <c r="I76" s="2739"/>
      <c r="J76" s="2739"/>
      <c r="K76" s="2739"/>
      <c r="L76" s="2739"/>
      <c r="N76" s="2740"/>
      <c r="O76" s="2739"/>
      <c r="P76" s="2739"/>
      <c r="Q76" s="2739"/>
      <c r="S76" s="2740"/>
      <c r="T76" s="2739"/>
      <c r="U76" s="2739"/>
      <c r="V76" s="2739"/>
    </row>
    <row r="77" spans="1:26" s="2737" customFormat="1">
      <c r="A77" s="2737" t="s">
        <v>2637</v>
      </c>
      <c r="G77" s="2738"/>
      <c r="N77" s="2738"/>
      <c r="S77" s="2738"/>
    </row>
    <row r="84" spans="7:22" ht="13.5" thickBot="1"/>
    <row r="85" spans="7:22">
      <c r="G85" s="2663"/>
      <c r="S85" s="2741" t="s">
        <v>2638</v>
      </c>
      <c r="T85" s="2742" t="s">
        <v>2639</v>
      </c>
      <c r="U85" s="2742" t="s">
        <v>2640</v>
      </c>
      <c r="V85" s="2742" t="s">
        <v>2641</v>
      </c>
    </row>
    <row r="86" spans="7:22">
      <c r="G86" s="2663"/>
      <c r="N86" s="2667"/>
      <c r="O86" s="2668"/>
      <c r="P86" s="2668"/>
      <c r="Q86" s="2668"/>
      <c r="S86" s="2743">
        <v>2006</v>
      </c>
      <c r="T86" s="2744">
        <v>15.1</v>
      </c>
      <c r="U86" s="2744">
        <v>7.43</v>
      </c>
      <c r="V86" s="2744">
        <v>26.26</v>
      </c>
    </row>
    <row r="87" spans="7:22">
      <c r="G87" s="2663"/>
      <c r="N87" s="2667"/>
      <c r="O87" s="2668"/>
      <c r="P87" s="2668"/>
      <c r="Q87" s="2668"/>
      <c r="S87" s="2746">
        <v>2005</v>
      </c>
      <c r="T87" s="2745">
        <v>13.9</v>
      </c>
      <c r="U87" s="2745">
        <v>7.49</v>
      </c>
      <c r="V87" s="2745">
        <v>24.92</v>
      </c>
    </row>
    <row r="88" spans="7:22">
      <c r="G88" s="2663"/>
      <c r="N88" s="2667"/>
      <c r="O88" s="2668"/>
      <c r="P88" s="2668"/>
      <c r="Q88" s="2668"/>
      <c r="S88" s="2743">
        <v>2004</v>
      </c>
      <c r="T88" s="2744">
        <v>9.48</v>
      </c>
      <c r="U88" s="2744">
        <v>7.2</v>
      </c>
      <c r="V88" s="2744">
        <v>14.68</v>
      </c>
    </row>
    <row r="89" spans="7:22">
      <c r="G89" s="2663"/>
      <c r="N89" s="2667"/>
      <c r="O89" s="2668"/>
      <c r="P89" s="2668"/>
      <c r="Q89" s="2668"/>
      <c r="S89" s="2746">
        <v>2003</v>
      </c>
      <c r="T89" s="2745">
        <v>4.5</v>
      </c>
      <c r="U89" s="2745">
        <v>6.12</v>
      </c>
      <c r="V89" s="2745">
        <v>2.34</v>
      </c>
    </row>
    <row r="90" spans="7:22" ht="13.5" thickBot="1">
      <c r="G90" s="2663"/>
      <c r="N90" s="2667"/>
      <c r="O90" s="2668"/>
      <c r="P90" s="2668"/>
      <c r="Q90" s="2668"/>
      <c r="S90" s="2747">
        <v>2002</v>
      </c>
      <c r="T90" s="2748">
        <v>3.59</v>
      </c>
      <c r="U90" s="2748">
        <v>4.54</v>
      </c>
      <c r="V90" s="2748">
        <v>2.5499999999999998</v>
      </c>
    </row>
    <row r="91" spans="7:22">
      <c r="G91" s="2663"/>
      <c r="N91" s="2667"/>
      <c r="O91" s="2668"/>
      <c r="P91" s="2668"/>
      <c r="Q91" s="2668"/>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c r="S101" s="2663"/>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1" zoomScale="80" zoomScaleNormal="80" workbookViewId="0">
      <selection activeCell="I24" sqref="I24"/>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2985</v>
      </c>
      <c r="D1" s="3124" t="s">
        <v>952</v>
      </c>
      <c r="E1" s="2387" t="s">
        <v>2377</v>
      </c>
      <c r="F1" s="2388">
        <f ca="1">J53</f>
        <v>38.520000000000003</v>
      </c>
      <c r="G1" s="774">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23552</v>
      </c>
      <c r="C2" s="2057"/>
      <c r="D2" s="2055"/>
      <c r="E2" s="2056"/>
      <c r="F2" s="2056"/>
      <c r="G2" s="1591"/>
      <c r="H2" s="2057"/>
      <c r="I2" s="2057"/>
      <c r="J2" s="2057"/>
      <c r="K2" s="2058"/>
      <c r="L2" s="2057"/>
      <c r="M2" s="2057"/>
    </row>
    <row r="3" spans="1:33" ht="18" customHeight="1" thickBot="1">
      <c r="A3" s="833" t="s">
        <v>1728</v>
      </c>
      <c r="B3" s="834">
        <f ca="1">IF(ISERROR(B2*10000/F43),0,ROUND(B2*10000/F43,0))</f>
        <v>8224</v>
      </c>
      <c r="C3" s="2057"/>
      <c r="D3" s="2055"/>
      <c r="E3" s="2056"/>
      <c r="F3" s="2056"/>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2461</v>
      </c>
      <c r="C5" s="55">
        <f ca="1">C6+C10+C12</f>
        <v>1535</v>
      </c>
      <c r="D5" s="2496" t="s">
        <v>2464</v>
      </c>
      <c r="E5" s="2490"/>
      <c r="F5" s="2491"/>
      <c r="G5" s="1593"/>
      <c r="H5" s="781">
        <v>1</v>
      </c>
      <c r="I5" s="782" t="s">
        <v>2461</v>
      </c>
      <c r="J5" s="55">
        <f ca="1">J6+J10+J12</f>
        <v>0</v>
      </c>
      <c r="K5" s="2496" t="s">
        <v>2464</v>
      </c>
      <c r="L5" s="2490"/>
      <c r="M5" s="2491"/>
    </row>
    <row r="6" spans="1:33" ht="18" customHeight="1">
      <c r="A6" s="1832" t="s">
        <v>1825</v>
      </c>
      <c r="B6" s="3439" t="s">
        <v>2466</v>
      </c>
      <c r="C6" s="783">
        <f ca="1">ROUND(F6*F8*F7*(1-F9)/10000,0)</f>
        <v>1533</v>
      </c>
      <c r="D6" s="2497" t="s">
        <v>2465</v>
      </c>
      <c r="E6" s="784" t="s">
        <v>1739</v>
      </c>
      <c r="F6" s="785">
        <f ca="1">INDIRECT("'数据-取费表'!u"&amp;$G$1)</f>
        <v>1.63</v>
      </c>
      <c r="G6" s="1593"/>
      <c r="H6" s="2504" t="s">
        <v>2471</v>
      </c>
      <c r="I6" s="3439" t="s">
        <v>2466</v>
      </c>
      <c r="J6" s="783">
        <f ca="1">ROUND(M6*M8*M7*(1-M9)/10000,0)</f>
        <v>0</v>
      </c>
      <c r="K6" s="341" t="s">
        <v>1738</v>
      </c>
      <c r="L6" s="784" t="s">
        <v>1739</v>
      </c>
      <c r="M6" s="785">
        <f ca="1">INDIRECT("'数据-取费表'!z"&amp;$G$1)</f>
        <v>0</v>
      </c>
    </row>
    <row r="7" spans="1:33" ht="18" customHeight="1">
      <c r="A7" s="2500"/>
      <c r="B7" s="3440"/>
      <c r="C7" s="788"/>
      <c r="D7" s="789"/>
      <c r="E7" s="784" t="s">
        <v>1740</v>
      </c>
      <c r="F7" s="785">
        <f ca="1">IF(INDIRECT("'数据-取费表'!ah"&amp;$G$1)="",INDIRECT("'数据-取费表'!k"&amp;$G$1),INDIRECT("'数据-取费表'!ah"&amp;$G$1))</f>
        <v>28637.67</v>
      </c>
      <c r="G7" s="1593"/>
      <c r="H7" s="2489"/>
      <c r="I7" s="3440"/>
      <c r="J7" s="788"/>
      <c r="K7" s="789"/>
      <c r="L7" s="784" t="s">
        <v>1740</v>
      </c>
      <c r="M7" s="785">
        <f ca="1">F7</f>
        <v>28637.67</v>
      </c>
    </row>
    <row r="8" spans="1:33" ht="18" customHeight="1">
      <c r="A8" s="2493"/>
      <c r="B8" s="3441"/>
      <c r="C8" s="788"/>
      <c r="D8" s="789"/>
      <c r="E8" s="784" t="s">
        <v>1741</v>
      </c>
      <c r="F8" s="785">
        <f ca="1">INDIRECT("'数据-取费表'!ai"&amp;$G$1)</f>
        <v>365</v>
      </c>
      <c r="G8" s="1593"/>
      <c r="H8" s="2489"/>
      <c r="I8" s="3441"/>
      <c r="J8" s="788"/>
      <c r="K8" s="789"/>
      <c r="L8" s="784" t="s">
        <v>1741</v>
      </c>
      <c r="M8" s="785">
        <f ca="1">INDIRECT("'数据-取费表'!ai"&amp;$G$1)</f>
        <v>365</v>
      </c>
    </row>
    <row r="9" spans="1:33" ht="18" customHeight="1">
      <c r="A9" s="786"/>
      <c r="B9" s="3442"/>
      <c r="C9" s="788"/>
      <c r="D9" s="789"/>
      <c r="E9" s="784" t="s">
        <v>1742</v>
      </c>
      <c r="F9" s="794">
        <f ca="1">INDIRECT("'数据-取费表'!w"&amp;$G$1)</f>
        <v>0.1</v>
      </c>
      <c r="G9" s="1593"/>
      <c r="H9" s="2505"/>
      <c r="I9" s="3441"/>
      <c r="J9" s="788"/>
      <c r="K9" s="789"/>
      <c r="L9" s="795" t="s">
        <v>1742</v>
      </c>
      <c r="M9" s="796">
        <f ca="1">INDIRECT("'数据-取费表'!ab"&amp;$G$1)</f>
        <v>0</v>
      </c>
    </row>
    <row r="10" spans="1:33" ht="18" customHeight="1">
      <c r="A10" s="1832" t="s">
        <v>2469</v>
      </c>
      <c r="B10" s="2494" t="s">
        <v>2462</v>
      </c>
      <c r="C10" s="799">
        <f ca="1">ROUND(IF(F10="押一",C6/12*F11,IF(F10="押二",C6/12*2*F11,IF(F10="押三",C6/12*3*F11,C11*F11))),0)</f>
        <v>2</v>
      </c>
      <c r="D10" s="2501" t="s">
        <v>2976</v>
      </c>
      <c r="E10" s="2498" t="s">
        <v>2467</v>
      </c>
      <c r="F10" s="2621" t="s">
        <v>3185</v>
      </c>
      <c r="G10" s="1593"/>
      <c r="H10" s="2561" t="s">
        <v>2472</v>
      </c>
      <c r="I10" s="2566" t="s">
        <v>2462</v>
      </c>
      <c r="J10" s="783">
        <f ca="1">ROUND(IF(M10="押一",J6/12*M11,IF(M10="押二",J6/12*2*M11,IF(M10="押三",J6/12*3*M11,J11*M11))),0)</f>
        <v>0</v>
      </c>
      <c r="K10" s="2501" t="s">
        <v>2976</v>
      </c>
      <c r="L10" s="2498" t="s">
        <v>2467</v>
      </c>
      <c r="M10" s="2621"/>
    </row>
    <row r="11" spans="1:33" ht="18" customHeight="1">
      <c r="A11" s="790"/>
      <c r="B11" s="2495" t="s">
        <v>2576</v>
      </c>
      <c r="C11" s="2499"/>
      <c r="D11" s="789"/>
      <c r="E11" s="2498" t="s">
        <v>2468</v>
      </c>
      <c r="F11" s="796">
        <f ca="1">'数据-取费表'!B39</f>
        <v>1.4999999999999999E-2</v>
      </c>
      <c r="G11" s="1593"/>
      <c r="H11" s="2562"/>
      <c r="I11" s="2495" t="s">
        <v>2576</v>
      </c>
      <c r="J11" s="2499"/>
      <c r="K11" s="2563"/>
      <c r="L11" s="2498" t="s">
        <v>2468</v>
      </c>
      <c r="M11" s="2492">
        <f ca="1">'数据-取费表'!B39</f>
        <v>1.4999999999999999E-2</v>
      </c>
    </row>
    <row r="12" spans="1:33" ht="18" customHeight="1" thickBot="1">
      <c r="A12" s="2537" t="s">
        <v>2470</v>
      </c>
      <c r="B12" s="2538" t="s">
        <v>2463</v>
      </c>
      <c r="C12" s="2539"/>
      <c r="D12" s="2540"/>
      <c r="E12" s="2541"/>
      <c r="F12" s="2542"/>
      <c r="G12" s="1593"/>
      <c r="H12" s="2551" t="s">
        <v>2473</v>
      </c>
      <c r="I12" s="2564" t="s">
        <v>2463</v>
      </c>
      <c r="J12" s="2565"/>
      <c r="K12" s="2540"/>
      <c r="L12" s="2541"/>
      <c r="M12" s="2554"/>
    </row>
    <row r="13" spans="1:33" ht="18" customHeight="1" thickTop="1">
      <c r="A13" s="1831">
        <v>2</v>
      </c>
      <c r="B13" s="1829" t="s">
        <v>1743</v>
      </c>
      <c r="C13" s="792">
        <f ca="1">ROUND(C29*F13,0)</f>
        <v>9985</v>
      </c>
      <c r="D13" s="1836" t="s">
        <v>2300</v>
      </c>
      <c r="E13" s="1836" t="s">
        <v>1745</v>
      </c>
      <c r="F13" s="2536">
        <f ca="1">INDIRECT("'数据-取费表'!y"&amp;$G$1)</f>
        <v>1</v>
      </c>
      <c r="G13" s="1593"/>
      <c r="H13" s="1831">
        <v>2</v>
      </c>
      <c r="I13" s="1829" t="s">
        <v>1743</v>
      </c>
      <c r="J13" s="1821">
        <f ca="1">ROUND(J14*J15,0)</f>
        <v>0</v>
      </c>
      <c r="K13" s="1823" t="s">
        <v>1744</v>
      </c>
      <c r="L13" s="2552"/>
      <c r="M13" s="2553"/>
    </row>
    <row r="14" spans="1:33" ht="18" customHeight="1">
      <c r="A14" s="1649" t="s">
        <v>1885</v>
      </c>
      <c r="B14" s="784" t="s">
        <v>645</v>
      </c>
      <c r="C14" s="804">
        <f ca="1">INDIRECT("'数据-取费表'!m"&amp;$G$1)+INDIRECT("'数据-取费表'!t"&amp;$G$1)</f>
        <v>5728</v>
      </c>
      <c r="D14" s="1979" t="s">
        <v>1746</v>
      </c>
      <c r="E14" s="1980"/>
      <c r="F14" s="805"/>
      <c r="G14" s="1593"/>
      <c r="H14" s="1650" t="s">
        <v>1831</v>
      </c>
      <c r="I14" s="2231" t="s">
        <v>2829</v>
      </c>
      <c r="J14" s="53">
        <f ca="1">C29</f>
        <v>9985</v>
      </c>
      <c r="K14" s="26"/>
      <c r="L14" s="801"/>
      <c r="M14" s="802"/>
    </row>
    <row r="15" spans="1:33" s="2064" customFormat="1" ht="18" customHeight="1" thickBot="1">
      <c r="A15" s="1649" t="s">
        <v>1886</v>
      </c>
      <c r="B15" s="784" t="s">
        <v>647</v>
      </c>
      <c r="C15" s="53">
        <f ca="1">ROUND(C14*F15,0)</f>
        <v>172</v>
      </c>
      <c r="D15" s="806" t="s">
        <v>1747</v>
      </c>
      <c r="E15" s="806" t="s">
        <v>1748</v>
      </c>
      <c r="F15" s="807">
        <f>'数据-取费表'!B33</f>
        <v>0.03</v>
      </c>
      <c r="G15" s="1594"/>
      <c r="H15" s="2551" t="s">
        <v>1890</v>
      </c>
      <c r="I15" s="2546" t="s">
        <v>1745</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1" t="s">
        <v>1749</v>
      </c>
      <c r="I16" s="1829" t="s">
        <v>1750</v>
      </c>
      <c r="J16" s="792">
        <f ca="1">ROUND(J17+J22+J23+J24,0)</f>
        <v>1006</v>
      </c>
      <c r="K16" s="1823" t="s">
        <v>1751</v>
      </c>
      <c r="L16" s="2486"/>
      <c r="M16" s="2491"/>
    </row>
    <row r="17" spans="1:33" s="2064" customFormat="1" ht="18" customHeight="1">
      <c r="A17" s="1649" t="s">
        <v>1888</v>
      </c>
      <c r="B17" s="784" t="s">
        <v>653</v>
      </c>
      <c r="C17" s="53">
        <f ca="1">ROUND(F17*(F43+INDIRECT("'数据-取费表'!S"&amp;$G$1))/10000,0)</f>
        <v>573</v>
      </c>
      <c r="D17" s="784" t="s">
        <v>1752</v>
      </c>
      <c r="E17" s="784" t="s">
        <v>1753</v>
      </c>
      <c r="F17" s="56">
        <f>'数据-取费表'!B35</f>
        <v>200</v>
      </c>
      <c r="G17" s="1594"/>
      <c r="H17" s="1650" t="s">
        <v>1831</v>
      </c>
      <c r="I17" s="784" t="s">
        <v>656</v>
      </c>
      <c r="J17" s="53">
        <f ca="1">ROUND(IF(项目基本情况!B11="自然人",J5*M17,J18+J19+J20),0)</f>
        <v>856</v>
      </c>
      <c r="K17" s="2485" t="s">
        <v>1754</v>
      </c>
      <c r="L17" s="2484" t="s">
        <v>1755</v>
      </c>
      <c r="M17" s="810">
        <f ca="1">IF(项目基本情况!B11="企业","",IF(INDIRECT("'数据-取费表'!c"&amp;$G$1)="住宅",5%,IF(M6*M7*M8/12/(1+'数据-取费表'!C42)&gt;20000,12%,7%)))</f>
        <v>7.0000000000000007E-2</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9" t="s">
        <v>1889</v>
      </c>
      <c r="B18" s="784" t="s">
        <v>659</v>
      </c>
      <c r="C18" s="53">
        <f ca="1">ROUND(C14*F18,0)</f>
        <v>86</v>
      </c>
      <c r="D18" s="784" t="s">
        <v>1747</v>
      </c>
      <c r="E18" s="784" t="s">
        <v>1748</v>
      </c>
      <c r="F18" s="809">
        <f>'数据-取费表'!B36</f>
        <v>1.4999999999999999E-2</v>
      </c>
      <c r="G18" s="1594"/>
      <c r="H18" s="1649" t="s">
        <v>1885</v>
      </c>
      <c r="I18" s="784" t="s">
        <v>1756</v>
      </c>
      <c r="J18" s="53">
        <f ca="1">ROUND(J5*M18/1.05,1)</f>
        <v>0</v>
      </c>
      <c r="K18" s="2484" t="s">
        <v>1757</v>
      </c>
      <c r="L18" s="784" t="s">
        <v>1748</v>
      </c>
      <c r="M18" s="809">
        <f>'数据-取费表'!B41</f>
        <v>5.6000000000000001E-2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50" t="s">
        <v>1831</v>
      </c>
      <c r="B19" s="784" t="s">
        <v>662</v>
      </c>
      <c r="C19" s="53">
        <f ca="1">SUM(C14:C18)</f>
        <v>6559</v>
      </c>
      <c r="D19" s="261" t="s">
        <v>1758</v>
      </c>
      <c r="E19" s="1982"/>
      <c r="F19" s="56"/>
      <c r="G19" s="1593"/>
      <c r="H19" s="1649" t="s">
        <v>1886</v>
      </c>
      <c r="I19" s="784" t="s">
        <v>1759</v>
      </c>
      <c r="J19" s="53">
        <f ca="1">IF(K19="按租金收入计税",ROUND(J5*M19,1),ROUND(C29*F33*0.7,1))</f>
        <v>838.7</v>
      </c>
      <c r="K19" s="811" t="s">
        <v>665</v>
      </c>
      <c r="L19" s="784" t="s">
        <v>1748</v>
      </c>
      <c r="M19" s="809">
        <f>IF(K19="按租金收入计税",'数据-取费表'!B51,'数据-取费表'!B50)</f>
        <v>1.2E-2</v>
      </c>
    </row>
    <row r="20" spans="1:33" s="2064" customFormat="1" ht="18" customHeight="1">
      <c r="A20" s="1650" t="s">
        <v>1890</v>
      </c>
      <c r="B20" s="784" t="s">
        <v>666</v>
      </c>
      <c r="C20" s="53">
        <f ca="1">ROUND(C19*F20,0)</f>
        <v>131</v>
      </c>
      <c r="D20" s="812" t="s">
        <v>1760</v>
      </c>
      <c r="E20" s="784" t="s">
        <v>1748</v>
      </c>
      <c r="F20" s="809">
        <f>'数据-取费表'!B37</f>
        <v>0.02</v>
      </c>
      <c r="G20" s="1594"/>
      <c r="H20" s="1652" t="s">
        <v>1881</v>
      </c>
      <c r="I20" s="341" t="s">
        <v>1761</v>
      </c>
      <c r="J20" s="54">
        <f ca="1">ROUND(M20*M21/10000,0)</f>
        <v>17</v>
      </c>
      <c r="K20" s="814" t="s">
        <v>1762</v>
      </c>
      <c r="L20" s="784" t="s">
        <v>1763</v>
      </c>
      <c r="M20" s="640">
        <f>'数据-取费表'!B52</f>
        <v>18</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0" t="s">
        <v>1891</v>
      </c>
      <c r="B21" s="784" t="s">
        <v>1764</v>
      </c>
      <c r="C21" s="53" t="s">
        <v>1765</v>
      </c>
      <c r="D21" s="812" t="s">
        <v>2301</v>
      </c>
      <c r="E21" s="784" t="s">
        <v>1766</v>
      </c>
      <c r="F21" s="809">
        <f>'数据-取费表'!B38</f>
        <v>0.02</v>
      </c>
      <c r="G21" s="1594"/>
      <c r="H21" s="2506"/>
      <c r="I21" s="793"/>
      <c r="J21" s="69"/>
      <c r="K21" s="816"/>
      <c r="L21" s="784" t="s">
        <v>1767</v>
      </c>
      <c r="M21" s="785">
        <f ca="1">INDIRECT("'数据-取费表'!r"&amp;$G$1)</f>
        <v>9545.89</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50" t="s">
        <v>1892</v>
      </c>
      <c r="B22" s="784" t="s">
        <v>1768</v>
      </c>
      <c r="C22" s="53"/>
      <c r="D22" s="2572" t="str">
        <f>IF(F23&lt;=1,"单利计息。","复利计息。")&amp;"建造成本、管理费用、销售费用产生的利息。"</f>
        <v>复利计息。建造成本、管理费用、销售费用产生的利息。</v>
      </c>
      <c r="E22" s="1982"/>
      <c r="F22" s="56"/>
      <c r="G22" s="1593"/>
      <c r="H22" s="1650" t="s">
        <v>1890</v>
      </c>
      <c r="I22" s="784" t="s">
        <v>1769</v>
      </c>
      <c r="J22" s="53">
        <f ca="1">ROUND(J14*M22,0)</f>
        <v>150</v>
      </c>
      <c r="K22" s="2484" t="s">
        <v>1770</v>
      </c>
      <c r="L22" s="784" t="s">
        <v>1748</v>
      </c>
      <c r="M22" s="817">
        <f ca="1">INDIRECT("'数据-取费表'!Ak"&amp;$G$1)</f>
        <v>1.4999999999999999E-2</v>
      </c>
    </row>
    <row r="23" spans="1:33" s="2064" customFormat="1" ht="18" customHeight="1">
      <c r="A23" s="1649" t="s">
        <v>1832</v>
      </c>
      <c r="B23" s="784" t="s">
        <v>2538</v>
      </c>
      <c r="C23" s="53">
        <f ca="1">ROUND(IF('数据-取费表'!B22&lt;=1,(C19+C20)*F24*F23/2,(C19+C20)*(POWER((1+F24),F23/2)-1)),0)</f>
        <v>482</v>
      </c>
      <c r="D23" s="2571" t="str">
        <f>IF(F23&lt;=1,"(建造成本+管理费用)×利率×(建设周期÷2)","(建造成本+管理费用)×((1+利率)^(建设周期÷2)-1)")</f>
        <v>(建造成本+管理费用)×((1+利率)^(建设周期÷2)-1)</v>
      </c>
      <c r="E23" s="784" t="s">
        <v>1771</v>
      </c>
      <c r="F23" s="640">
        <f>'数据-取费表'!B20</f>
        <v>3</v>
      </c>
      <c r="G23" s="1594"/>
      <c r="H23" s="1650" t="s">
        <v>1891</v>
      </c>
      <c r="I23" s="784" t="s">
        <v>679</v>
      </c>
      <c r="J23" s="53">
        <f ca="1">ROUND(J13*M23,0)</f>
        <v>0</v>
      </c>
      <c r="K23" s="2484" t="s">
        <v>1772</v>
      </c>
      <c r="L23" s="784" t="s">
        <v>1748</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9" t="s">
        <v>1833</v>
      </c>
      <c r="B24" s="784" t="s">
        <v>1773</v>
      </c>
      <c r="C24" s="53">
        <f ca="1">ROUND(IF('数据-取费表'!B22&lt;=1,F21*F24*F23/2,F21*(POWER((1+F24),F23/2)-1)),4)</f>
        <v>1.4E-3</v>
      </c>
      <c r="D24" s="2571" t="str">
        <f>IF(F23&lt;=1,"销售费用×利率×(建设周期÷2)","销售费用×((1+利率)^(建设周期÷2)-1)")</f>
        <v>销售费用×((1+利率)^(建设周期÷2)-1)</v>
      </c>
      <c r="E24" s="784" t="s">
        <v>1774</v>
      </c>
      <c r="F24" s="819">
        <f ca="1">'数据-取费表'!B40</f>
        <v>4.7500000000000001E-2</v>
      </c>
      <c r="G24" s="1594"/>
      <c r="H24" s="2551" t="s">
        <v>1892</v>
      </c>
      <c r="I24" s="2546" t="s">
        <v>666</v>
      </c>
      <c r="J24" s="2544">
        <f ca="1">ROUND(J5*M24,0)</f>
        <v>0</v>
      </c>
      <c r="K24" s="2545" t="s">
        <v>1775</v>
      </c>
      <c r="L24" s="2546" t="s">
        <v>1748</v>
      </c>
      <c r="M24" s="2542">
        <f ca="1">INDIRECT("'数据-取费表'!Am"&amp;$G$1)</f>
        <v>0.02</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1" t="s">
        <v>1841</v>
      </c>
      <c r="B25" s="784" t="s">
        <v>684</v>
      </c>
      <c r="C25" s="53"/>
      <c r="D25" s="261" t="s">
        <v>1776</v>
      </c>
      <c r="E25" s="1982"/>
      <c r="F25" s="56"/>
      <c r="G25" s="1593"/>
      <c r="H25" s="1831" t="s">
        <v>1777</v>
      </c>
      <c r="I25" s="3010" t="s">
        <v>2825</v>
      </c>
      <c r="J25" s="792">
        <f ca="1">J5-J16</f>
        <v>-1006</v>
      </c>
      <c r="K25" s="2548" t="s">
        <v>1778</v>
      </c>
      <c r="L25" s="2549"/>
      <c r="M25" s="2550"/>
    </row>
    <row r="26" spans="1:33" ht="18" customHeight="1">
      <c r="A26" s="1649" t="s">
        <v>1832</v>
      </c>
      <c r="B26" s="784" t="s">
        <v>2441</v>
      </c>
      <c r="C26" s="53">
        <f ca="1">ROUND((C19+C20)*F26,0)</f>
        <v>2007</v>
      </c>
      <c r="D26" s="812" t="s">
        <v>1779</v>
      </c>
      <c r="E26" s="795" t="s">
        <v>1780</v>
      </c>
      <c r="F26" s="794">
        <f ca="1">INDIRECT("'数据-取费表'!q"&amp;$G$1)</f>
        <v>0.3</v>
      </c>
      <c r="G26" s="1593"/>
      <c r="H26" s="2502" t="s">
        <v>1781</v>
      </c>
      <c r="I26" s="2232" t="s">
        <v>2830</v>
      </c>
      <c r="J26" s="783">
        <f ca="1">IF(J5&lt;&gt;0,ROUND(J25*(1-((1+M28)/(1+M26))^M27)/(M26-M28),0),0)</f>
        <v>0</v>
      </c>
      <c r="K26" s="814" t="s">
        <v>1782</v>
      </c>
      <c r="L26" s="784" t="s">
        <v>2422</v>
      </c>
      <c r="M26" s="794">
        <f ca="1">INDIRECT("'数据-取费表'!I"&amp;$G$1)</f>
        <v>0.06</v>
      </c>
    </row>
    <row r="27" spans="1:33" ht="18" customHeight="1">
      <c r="A27" s="1649" t="s">
        <v>1833</v>
      </c>
      <c r="B27" s="784" t="s">
        <v>686</v>
      </c>
      <c r="C27" s="53">
        <f ca="1">ROUND(F21*F26,4)</f>
        <v>6.0000000000000001E-3</v>
      </c>
      <c r="D27" s="812" t="s">
        <v>1783</v>
      </c>
      <c r="E27" s="806"/>
      <c r="F27" s="807"/>
      <c r="G27" s="1593"/>
      <c r="H27" s="2503"/>
      <c r="I27" s="787"/>
      <c r="J27" s="788"/>
      <c r="K27" s="821" t="s">
        <v>1784</v>
      </c>
      <c r="L27" s="784" t="s">
        <v>1785</v>
      </c>
      <c r="M27" s="822">
        <f ca="1">INDIRECT("'数据-取费表'!ag"&amp;$G$1)</f>
        <v>0</v>
      </c>
    </row>
    <row r="28" spans="1:33" s="2064" customFormat="1" ht="18" customHeight="1">
      <c r="A28" s="1651" t="s">
        <v>1842</v>
      </c>
      <c r="B28" s="784" t="s">
        <v>687</v>
      </c>
      <c r="C28" s="53">
        <f>ROUND(F28/(1+'数据-取费表'!C42),4)</f>
        <v>5.33E-2</v>
      </c>
      <c r="D28" s="812" t="s">
        <v>2302</v>
      </c>
      <c r="E28" s="784" t="s">
        <v>1786</v>
      </c>
      <c r="F28" s="809">
        <f>'数据-取费表'!B41</f>
        <v>5.6000000000000001E-2</v>
      </c>
      <c r="G28" s="1594"/>
      <c r="H28" s="1831"/>
      <c r="I28" s="791"/>
      <c r="J28" s="792"/>
      <c r="K28" s="816"/>
      <c r="L28" s="784" t="s">
        <v>1787</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2303</v>
      </c>
      <c r="C29" s="2544">
        <f ca="1">ROUND((C19+C20+C23+C26)/(1-F21-C24-C27-C28),0)</f>
        <v>9985</v>
      </c>
      <c r="D29" s="2545"/>
      <c r="E29" s="2546"/>
      <c r="F29" s="2547"/>
      <c r="G29" s="1594"/>
      <c r="H29" s="823" t="s">
        <v>1788</v>
      </c>
      <c r="I29" s="824" t="s">
        <v>1789</v>
      </c>
      <c r="J29" s="825">
        <f ca="1">ROUND(J26/(1+F40)^F41,0)</f>
        <v>0</v>
      </c>
      <c r="K29" s="826" t="s">
        <v>1790</v>
      </c>
      <c r="L29" s="827"/>
      <c r="M29" s="828">
        <f ca="1">INDIRECT("'数据-取费表'!k"&amp;$G$1)</f>
        <v>28637.67</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31" t="s">
        <v>1894</v>
      </c>
      <c r="B30" s="1829" t="s">
        <v>1791</v>
      </c>
      <c r="C30" s="792">
        <f ca="1">ROUND(C31+C36+C37+C38,0)</f>
        <v>479</v>
      </c>
      <c r="D30" s="1823" t="s">
        <v>1792</v>
      </c>
      <c r="E30" s="2486"/>
      <c r="F30" s="2491"/>
      <c r="G30" s="2062"/>
      <c r="H30" s="2065"/>
      <c r="I30" s="2066"/>
      <c r="J30" s="2067"/>
      <c r="K30" s="2068"/>
      <c r="L30" s="2069"/>
      <c r="M30" s="2070"/>
    </row>
    <row r="31" spans="1:33" ht="18" customHeight="1">
      <c r="A31" s="1650" t="s">
        <v>1831</v>
      </c>
      <c r="B31" s="784" t="s">
        <v>656</v>
      </c>
      <c r="C31" s="53">
        <f ca="1">ROUND(IF(项目基本情况!B11="自然人",C5*F31,C32+C33+C34),1)</f>
        <v>283.3</v>
      </c>
      <c r="D31" s="1979" t="s">
        <v>1793</v>
      </c>
      <c r="E31" s="1977" t="s">
        <v>1794</v>
      </c>
      <c r="F31" s="810">
        <f ca="1">IF(项目基本情况!B11="企业","",IF(INDIRECT("'数据-取费表'!c"&amp;$G$1)="住宅",5%,IF(F6*F7*F8/12/(1+'数据-取费表'!C42)&gt;20000,12%,7%)))</f>
        <v>0.12</v>
      </c>
      <c r="G31" s="2062"/>
      <c r="H31" s="2065"/>
      <c r="I31" s="2066"/>
      <c r="J31" s="2067"/>
      <c r="K31" s="2068"/>
      <c r="L31" s="2069"/>
      <c r="M31" s="2070"/>
    </row>
    <row r="32" spans="1:33" ht="18" customHeight="1">
      <c r="A32" s="1649" t="s">
        <v>1832</v>
      </c>
      <c r="B32" s="784" t="s">
        <v>1795</v>
      </c>
      <c r="C32" s="53">
        <f ca="1">ROUND(C5*F32/1.05,1)</f>
        <v>81.900000000000006</v>
      </c>
      <c r="D32" s="1977" t="s">
        <v>1796</v>
      </c>
      <c r="E32" s="784" t="s">
        <v>1797</v>
      </c>
      <c r="F32" s="809">
        <f>'数据-取费表'!B41</f>
        <v>5.6000000000000001E-2</v>
      </c>
      <c r="G32" s="2062"/>
      <c r="H32" s="2071"/>
      <c r="I32" s="2072"/>
      <c r="J32" s="2073"/>
      <c r="K32" s="2074"/>
      <c r="L32" s="2075"/>
      <c r="M32" s="2076"/>
    </row>
    <row r="33" spans="1:18" ht="18" customHeight="1">
      <c r="A33" s="1649" t="s">
        <v>1833</v>
      </c>
      <c r="B33" s="784" t="s">
        <v>1798</v>
      </c>
      <c r="C33" s="53">
        <f ca="1">IF(D33="按租金收入计税",ROUND(C5*F33,1),IF(D33="按房产原值计税",ROUND(C29*F33*0.7,1),INDIRECT("'数据-取费表'!Aj"&amp;$G$1)))</f>
        <v>184.2</v>
      </c>
      <c r="D33" s="811" t="s">
        <v>2993</v>
      </c>
      <c r="E33" s="784" t="s">
        <v>1797</v>
      </c>
      <c r="F33" s="809">
        <f>IF(D33="按租金收入计税",'数据-取费表'!B51,'数据-取费表'!B50)</f>
        <v>0.12</v>
      </c>
      <c r="G33" s="2062"/>
      <c r="H33" s="2077"/>
      <c r="I33" s="2077"/>
      <c r="J33" s="2077"/>
      <c r="K33" s="2078"/>
      <c r="L33" s="2077"/>
      <c r="M33" s="2077"/>
    </row>
    <row r="34" spans="1:18" ht="18" customHeight="1">
      <c r="A34" s="1652" t="s">
        <v>1834</v>
      </c>
      <c r="B34" s="341" t="s">
        <v>1799</v>
      </c>
      <c r="C34" s="54">
        <f ca="1">ROUND(F34*F35/10000,1)</f>
        <v>17.2</v>
      </c>
      <c r="D34" s="814" t="s">
        <v>1800</v>
      </c>
      <c r="E34" s="784" t="s">
        <v>1801</v>
      </c>
      <c r="F34" s="640">
        <f>'数据-取费表'!B52</f>
        <v>18</v>
      </c>
      <c r="G34" s="2062"/>
      <c r="H34" s="2065"/>
      <c r="I34" s="835" t="s">
        <v>1814</v>
      </c>
      <c r="J34" s="836"/>
      <c r="K34" s="2080"/>
      <c r="L34" s="2079"/>
      <c r="M34" s="2079"/>
    </row>
    <row r="35" spans="1:18" ht="18" customHeight="1">
      <c r="A35" s="815"/>
      <c r="B35" s="793"/>
      <c r="C35" s="69"/>
      <c r="D35" s="816"/>
      <c r="E35" s="784" t="s">
        <v>1802</v>
      </c>
      <c r="F35" s="785">
        <f ca="1">INDIRECT("'数据-取费表'!r"&amp;$G$1)</f>
        <v>9545.89</v>
      </c>
      <c r="G35" s="2062"/>
      <c r="H35" s="2065"/>
      <c r="I35" s="837" t="s">
        <v>1815</v>
      </c>
      <c r="J35" s="838">
        <f ca="1">ROUND(C13*J36,0)</f>
        <v>849</v>
      </c>
      <c r="K35" s="2078"/>
      <c r="L35" s="2077"/>
      <c r="M35" s="2077"/>
    </row>
    <row r="36" spans="1:18" ht="18" customHeight="1">
      <c r="A36" s="1650" t="s">
        <v>1890</v>
      </c>
      <c r="B36" s="784" t="s">
        <v>1803</v>
      </c>
      <c r="C36" s="53">
        <f ca="1">ROUND(C29*F36,1)</f>
        <v>149.80000000000001</v>
      </c>
      <c r="D36" s="1977" t="s">
        <v>1804</v>
      </c>
      <c r="E36" s="784" t="s">
        <v>1797</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50" t="s">
        <v>1891</v>
      </c>
      <c r="B37" s="784" t="s">
        <v>679</v>
      </c>
      <c r="C37" s="53">
        <f ca="1">ROUND(C13*F37,1)</f>
        <v>15</v>
      </c>
      <c r="D37" s="1977" t="s">
        <v>1805</v>
      </c>
      <c r="E37" s="784" t="s">
        <v>1797</v>
      </c>
      <c r="F37" s="818">
        <f ca="1">INDIRECT("'数据-取费表'!Al"&amp;$G$1)</f>
        <v>1.5E-3</v>
      </c>
      <c r="G37" s="2062"/>
      <c r="H37" s="2077"/>
      <c r="I37" s="841" t="s">
        <v>1817</v>
      </c>
      <c r="J37" s="842"/>
      <c r="K37" s="2082"/>
      <c r="L37" s="2077"/>
      <c r="M37" s="2077"/>
    </row>
    <row r="38" spans="1:18" ht="18" customHeight="1" thickBot="1">
      <c r="A38" s="2551" t="s">
        <v>1892</v>
      </c>
      <c r="B38" s="2546" t="s">
        <v>666</v>
      </c>
      <c r="C38" s="2544">
        <f ca="1">ROUND(C5*F38,1)</f>
        <v>30.7</v>
      </c>
      <c r="D38" s="2545" t="s">
        <v>1806</v>
      </c>
      <c r="E38" s="2546" t="s">
        <v>1797</v>
      </c>
      <c r="F38" s="2542">
        <f ca="1">INDIRECT("'数据-取费表'!Am"&amp;$G$1)</f>
        <v>0.02</v>
      </c>
      <c r="G38" s="2062"/>
      <c r="H38" s="2077"/>
      <c r="I38" s="843" t="s">
        <v>1818</v>
      </c>
      <c r="J38" s="844"/>
      <c r="K38" s="2083"/>
      <c r="L38" s="2077"/>
      <c r="M38" s="2077"/>
    </row>
    <row r="39" spans="1:18" ht="24.6" customHeight="1" thickTop="1">
      <c r="A39" s="1831" t="s">
        <v>1895</v>
      </c>
      <c r="B39" s="3010" t="s">
        <v>2825</v>
      </c>
      <c r="C39" s="792">
        <f ca="1">C5-C30</f>
        <v>1056</v>
      </c>
      <c r="D39" s="2548" t="s">
        <v>1807</v>
      </c>
      <c r="E39" s="2549"/>
      <c r="F39" s="2550"/>
      <c r="G39" s="2062"/>
      <c r="H39" s="2077"/>
      <c r="I39" s="837" t="s">
        <v>1819</v>
      </c>
      <c r="J39" s="845">
        <f ca="1">ROUND(J35/C39,3)</f>
        <v>0.80400000000000005</v>
      </c>
      <c r="K39" s="2083"/>
      <c r="L39" s="2077"/>
      <c r="M39" s="2077"/>
    </row>
    <row r="40" spans="1:18" ht="18" customHeight="1">
      <c r="A40" s="781" t="s">
        <v>1896</v>
      </c>
      <c r="B40" s="2232" t="s">
        <v>2304</v>
      </c>
      <c r="C40" s="783">
        <f ca="1">ROUND(C39*(1-((1+F42)/(1+F40))^F41)/(F40-F42),0)</f>
        <v>23552</v>
      </c>
      <c r="D40" s="814" t="s">
        <v>1808</v>
      </c>
      <c r="E40" s="784" t="s">
        <v>2422</v>
      </c>
      <c r="F40" s="794">
        <f ca="1">INDIRECT("'数据-取费表'!I"&amp;$G$1)</f>
        <v>0.06</v>
      </c>
      <c r="G40" s="2062"/>
      <c r="H40" s="2062"/>
      <c r="I40" s="837" t="s">
        <v>1820</v>
      </c>
      <c r="J40" s="845">
        <f ca="1">1-J39</f>
        <v>0.19599999999999995</v>
      </c>
      <c r="K40" s="2083"/>
      <c r="L40" s="2062"/>
      <c r="M40" s="2062"/>
    </row>
    <row r="41" spans="1:18" ht="18" customHeight="1">
      <c r="A41" s="786"/>
      <c r="B41" s="787"/>
      <c r="C41" s="788"/>
      <c r="D41" s="821" t="s">
        <v>1809</v>
      </c>
      <c r="E41" s="784" t="s">
        <v>2966</v>
      </c>
      <c r="F41" s="822">
        <f ca="1">IF(INDIRECT("'数据-取费表'!af"&amp;$G$1)=0,INDIRECT("'数据-取费表'!ae"&amp;$G$1),INDIRECT("'数据-取费表'!af"&amp;$G$1))</f>
        <v>38.520000000000003</v>
      </c>
      <c r="G41" s="2062"/>
      <c r="H41" s="1988"/>
      <c r="I41" s="843" t="s">
        <v>1821</v>
      </c>
      <c r="J41" s="846"/>
      <c r="K41" s="2082"/>
      <c r="L41" s="1988"/>
      <c r="M41" s="1988"/>
    </row>
    <row r="42" spans="1:18" ht="18" customHeight="1">
      <c r="A42" s="790"/>
      <c r="B42" s="791"/>
      <c r="C42" s="792"/>
      <c r="D42" s="816"/>
      <c r="E42" s="784" t="s">
        <v>1810</v>
      </c>
      <c r="F42" s="794">
        <f ca="1">INDIRECT("'数据-取费表'!v"&amp;$G$1)</f>
        <v>0.03</v>
      </c>
      <c r="G42" s="2062"/>
      <c r="H42" s="1988"/>
      <c r="I42" s="847" t="s">
        <v>1822</v>
      </c>
      <c r="J42" s="845">
        <f ca="1">ROUND(C13/C40,3)</f>
        <v>0.42399999999999999</v>
      </c>
      <c r="K42" s="2082"/>
      <c r="L42" s="1988"/>
      <c r="M42" s="1988"/>
    </row>
    <row r="43" spans="1:18" ht="18" customHeight="1" thickBot="1">
      <c r="A43" s="823" t="s">
        <v>1788</v>
      </c>
      <c r="B43" s="824" t="s">
        <v>1811</v>
      </c>
      <c r="C43" s="825">
        <f ca="1">ROUND(C40*10000/F43,0)</f>
        <v>8224</v>
      </c>
      <c r="D43" s="826" t="s">
        <v>1812</v>
      </c>
      <c r="E43" s="827" t="s">
        <v>1813</v>
      </c>
      <c r="F43" s="828">
        <f ca="1">INDIRECT("'数据-取费表'!k"&amp;$G$1)</f>
        <v>28637.67</v>
      </c>
      <c r="G43" s="2062"/>
      <c r="H43" s="1988"/>
      <c r="I43" s="847" t="s">
        <v>1823</v>
      </c>
      <c r="J43" s="848">
        <f ca="1">1-J42</f>
        <v>0.57600000000000007</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2298</v>
      </c>
      <c r="B46" s="2085"/>
      <c r="C46" s="2574">
        <f ca="1">C67-C40</f>
        <v>-26264</v>
      </c>
      <c r="D46" s="2085"/>
      <c r="E46" s="2085"/>
      <c r="F46" s="2085"/>
      <c r="I46" s="2378" t="s">
        <v>2346</v>
      </c>
      <c r="J46" s="2379"/>
      <c r="K46" s="2380"/>
      <c r="L46" s="3159" t="str">
        <f ca="1">IF(OR(M47="住宅",D1="土地（套用方法）"),0,IF(L48&gt;J51,L60,J60))</f>
        <v>0</v>
      </c>
      <c r="O46" s="2394" t="s">
        <v>2413</v>
      </c>
      <c r="P46" s="1593"/>
      <c r="Q46" s="1605"/>
      <c r="R46" s="1593"/>
    </row>
    <row r="47" spans="1:18" s="2059" customFormat="1" ht="18" customHeight="1" thickBot="1">
      <c r="A47" s="2372">
        <v>1</v>
      </c>
      <c r="B47" s="2373" t="s">
        <v>635</v>
      </c>
      <c r="C47" s="2574">
        <f ca="1">C48+C52+C54</f>
        <v>0</v>
      </c>
      <c r="D47" s="2085"/>
      <c r="E47" s="2085"/>
      <c r="F47" s="2085"/>
      <c r="I47" s="3149" t="s">
        <v>2347</v>
      </c>
      <c r="J47" s="2381" t="s">
        <v>2994</v>
      </c>
      <c r="K47" s="3156" t="s">
        <v>2352</v>
      </c>
      <c r="L47" s="3160">
        <f ca="1">INDIRECT("'数据-取费表'!d"&amp;$G$1)</f>
        <v>40</v>
      </c>
      <c r="M47" s="1605" t="str">
        <f>IF(ISNUMBER(FIND("住宅",C1)),"住宅","非住宅")</f>
        <v>非住宅</v>
      </c>
      <c r="O47" s="2395" t="s">
        <v>2378</v>
      </c>
      <c r="P47" s="2396" t="s">
        <v>2379</v>
      </c>
      <c r="Q47" s="2397" t="s">
        <v>2380</v>
      </c>
      <c r="R47" s="2396" t="s">
        <v>2381</v>
      </c>
    </row>
    <row r="48" spans="1:18" s="2059" customFormat="1" ht="18" customHeight="1" thickBot="1">
      <c r="A48" s="2642" t="s">
        <v>2540</v>
      </c>
      <c r="B48" s="2643" t="s">
        <v>2541</v>
      </c>
      <c r="C48" s="2374">
        <f ca="1">ROUND(F48*F50*F49*(1-F51)/10000,0)</f>
        <v>0</v>
      </c>
      <c r="D48" s="2375" t="s">
        <v>636</v>
      </c>
      <c r="E48" s="2376" t="s">
        <v>2299</v>
      </c>
      <c r="F48" s="2377"/>
      <c r="G48" s="2090"/>
      <c r="I48" s="3125" t="s">
        <v>2348</v>
      </c>
      <c r="J48" s="2382" t="s">
        <v>2353</v>
      </c>
      <c r="K48" s="3157" t="s">
        <v>2354</v>
      </c>
      <c r="L48" s="1910">
        <f ca="1">INDIRECT("'数据-取费表'!f"&amp;$G$1)</f>
        <v>38.520000000000003</v>
      </c>
      <c r="O48" s="2398" t="s">
        <v>2382</v>
      </c>
      <c r="P48" s="2399" t="s">
        <v>2408</v>
      </c>
      <c r="Q48" s="2400">
        <f ca="1">C40+J29</f>
        <v>23552</v>
      </c>
      <c r="R48" s="2399" t="s">
        <v>2383</v>
      </c>
    </row>
    <row r="49" spans="1:18" s="2059" customFormat="1" ht="18" customHeight="1" thickBot="1">
      <c r="A49" s="786"/>
      <c r="B49" s="787"/>
      <c r="C49" s="788"/>
      <c r="D49" s="789"/>
      <c r="E49" s="784" t="s">
        <v>1740</v>
      </c>
      <c r="F49" s="785">
        <f ca="1">F7</f>
        <v>28637.67</v>
      </c>
      <c r="G49" s="2090"/>
      <c r="H49" s="2093"/>
      <c r="I49" s="3125" t="s">
        <v>2349</v>
      </c>
      <c r="J49" s="2383"/>
      <c r="K49" s="3158" t="s">
        <v>2355</v>
      </c>
      <c r="L49" s="2384"/>
      <c r="O49" s="2398" t="s">
        <v>2384</v>
      </c>
      <c r="P49" s="2399" t="s">
        <v>2409</v>
      </c>
      <c r="Q49" s="2400" t="str">
        <f ca="1">J60</f>
        <v>0</v>
      </c>
      <c r="R49" s="2399" t="s">
        <v>2385</v>
      </c>
    </row>
    <row r="50" spans="1:18" s="2059" customFormat="1" ht="18" customHeight="1" thickBot="1">
      <c r="A50" s="786"/>
      <c r="B50" s="787"/>
      <c r="C50" s="788"/>
      <c r="D50" s="789"/>
      <c r="E50" s="784" t="s">
        <v>1741</v>
      </c>
      <c r="F50" s="785">
        <f ca="1">F8</f>
        <v>365</v>
      </c>
      <c r="G50" s="2095"/>
      <c r="H50" s="2093"/>
      <c r="I50" s="3125" t="s">
        <v>2350</v>
      </c>
      <c r="J50" s="3153">
        <f>SUMPRODUCT((I63:I65=J47)*(J62:L62=J48)*(J63:L65))</f>
        <v>60</v>
      </c>
      <c r="K50" s="3158" t="s">
        <v>2356</v>
      </c>
      <c r="L50" s="2384"/>
      <c r="O50" s="2401" t="s">
        <v>2386</v>
      </c>
      <c r="P50" s="2399" t="s">
        <v>2410</v>
      </c>
      <c r="Q50" s="2400">
        <f ca="1">C29</f>
        <v>9985</v>
      </c>
      <c r="R50" s="2399" t="s">
        <v>2383</v>
      </c>
    </row>
    <row r="51" spans="1:18" s="2059" customFormat="1" ht="18" customHeight="1" thickBot="1">
      <c r="A51" s="786"/>
      <c r="B51" s="787"/>
      <c r="C51" s="788"/>
      <c r="D51" s="789"/>
      <c r="E51" s="784" t="s">
        <v>640</v>
      </c>
      <c r="F51" s="2371"/>
      <c r="H51" s="2093"/>
      <c r="I51" s="3150" t="s">
        <v>2351</v>
      </c>
      <c r="J51" s="3154">
        <f>IF(J49="",J50,J49+J50-YEAR('数据-取费表'!B2))</f>
        <v>60</v>
      </c>
      <c r="K51" s="3125" t="s">
        <v>2357</v>
      </c>
      <c r="L51" s="3161">
        <f ca="1">ROUND(-PV(INDIRECT("'数据-取费表'!h"&amp;$G$1),L48,(C39-C13*J36),0),0)</f>
        <v>3513</v>
      </c>
      <c r="O51" s="2401" t="s">
        <v>2387</v>
      </c>
      <c r="P51" s="2399" t="s">
        <v>2388</v>
      </c>
      <c r="Q51" s="2402" t="e">
        <f ca="1">J58</f>
        <v>#VALUE!</v>
      </c>
      <c r="R51" s="2403"/>
    </row>
    <row r="52" spans="1:18" s="2059" customFormat="1" ht="18" customHeight="1" thickBot="1">
      <c r="A52" s="781" t="s">
        <v>2539</v>
      </c>
      <c r="B52" s="2494" t="s">
        <v>2462</v>
      </c>
      <c r="C52" s="799">
        <f ca="1">ROUND(IF(F52="押一",C48/12*F11,IF(F52="押二",C48/12*2*F11,IF(F52="押三",C48/12*3*F11,C53*F11))),0)</f>
        <v>0</v>
      </c>
      <c r="D52" s="2501" t="s">
        <v>2977</v>
      </c>
      <c r="E52" s="2498" t="s">
        <v>2467</v>
      </c>
      <c r="F52" s="2621"/>
      <c r="I52" s="3151" t="s">
        <v>2424</v>
      </c>
      <c r="J52" s="2385"/>
      <c r="K52" s="3151" t="s">
        <v>2423</v>
      </c>
      <c r="L52" s="2385"/>
      <c r="O52" s="2401" t="s">
        <v>2389</v>
      </c>
      <c r="P52" s="2399" t="s">
        <v>2390</v>
      </c>
      <c r="Q52" s="2402">
        <f>J52</f>
        <v>0</v>
      </c>
      <c r="R52" s="2403"/>
    </row>
    <row r="53" spans="1:18" s="2059" customFormat="1" ht="39.75" customHeight="1" thickBot="1">
      <c r="A53" s="786"/>
      <c r="B53" s="2495" t="s">
        <v>2576</v>
      </c>
      <c r="C53" s="2499"/>
      <c r="D53" s="2501"/>
      <c r="E53" s="2498"/>
      <c r="F53" s="800"/>
      <c r="I53" s="3152" t="s">
        <v>2981</v>
      </c>
      <c r="J53" s="3155">
        <f ca="1">IF(M47="住宅",IF(D1="——",MAX(J51,L48),MAX(J51,L48-'数据-取费表'!B20)),IF(D1="——",MIN(J51,L48),MIN(J51,L48-'数据-取费表'!B20)))</f>
        <v>38.520000000000003</v>
      </c>
      <c r="K53" s="3455" t="s">
        <v>2968</v>
      </c>
      <c r="L53" s="3456"/>
      <c r="O53" s="2401" t="s">
        <v>2391</v>
      </c>
      <c r="P53" s="2399" t="s">
        <v>2392</v>
      </c>
      <c r="Q53" s="2400">
        <f ca="1">J53</f>
        <v>38.520000000000003</v>
      </c>
      <c r="R53" s="2399" t="s">
        <v>2393</v>
      </c>
    </row>
    <row r="54" spans="1:18" s="2059" customFormat="1" ht="18" customHeight="1" thickBot="1">
      <c r="A54" s="2537" t="s">
        <v>2470</v>
      </c>
      <c r="B54" s="2538" t="s">
        <v>2463</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2394</v>
      </c>
      <c r="P54" s="2399" t="s">
        <v>2411</v>
      </c>
      <c r="Q54" s="2400">
        <f ca="1">Q48+Q49</f>
        <v>23552</v>
      </c>
      <c r="R54" s="2403" t="s">
        <v>2395</v>
      </c>
    </row>
    <row r="55" spans="1:18" s="2059" customFormat="1" ht="18" customHeight="1" thickTop="1" thickBot="1">
      <c r="A55" s="797">
        <v>2</v>
      </c>
      <c r="B55" s="798" t="s">
        <v>644</v>
      </c>
      <c r="C55" s="799">
        <f ca="1">C13</f>
        <v>9985</v>
      </c>
      <c r="D55" s="795"/>
      <c r="E55" s="795"/>
      <c r="F55" s="800"/>
      <c r="I55" s="3164" t="s">
        <v>2358</v>
      </c>
      <c r="J55" s="3100" t="e">
        <f ca="1">ROUND(IF(J47="钢混",J57/J50,1-(1-2%)*(J50-J57)/J50),3)</f>
        <v>#VALUE!</v>
      </c>
      <c r="K55" s="3165" t="s">
        <v>2359</v>
      </c>
      <c r="L55" s="2386"/>
      <c r="O55" s="2404" t="s">
        <v>2414</v>
      </c>
      <c r="P55" s="1593"/>
      <c r="Q55" s="1605"/>
      <c r="R55" s="1593"/>
    </row>
    <row r="56" spans="1:18" s="2059" customFormat="1" ht="42.75" customHeight="1" thickBot="1">
      <c r="A56" s="1651"/>
      <c r="B56" s="2231" t="s">
        <v>2305</v>
      </c>
      <c r="C56" s="53">
        <f ca="1">C29</f>
        <v>9985</v>
      </c>
      <c r="D56" s="2639"/>
      <c r="E56" s="784"/>
      <c r="F56" s="809"/>
      <c r="I56" s="3166" t="s">
        <v>2360</v>
      </c>
      <c r="J56" s="3176" t="s">
        <v>1679</v>
      </c>
      <c r="K56" s="3125" t="s">
        <v>2365</v>
      </c>
      <c r="L56" s="1910" t="str">
        <f ca="1">IF(L48&lt;J51,"——",L48-J51)</f>
        <v>——</v>
      </c>
      <c r="O56" s="2395" t="s">
        <v>2378</v>
      </c>
      <c r="P56" s="2396" t="s">
        <v>2379</v>
      </c>
      <c r="Q56" s="2397" t="s">
        <v>2380</v>
      </c>
      <c r="R56" s="2396" t="s">
        <v>2381</v>
      </c>
    </row>
    <row r="57" spans="1:18" s="2059" customFormat="1" ht="28.5" customHeight="1" thickBot="1">
      <c r="A57" s="797" t="s">
        <v>1749</v>
      </c>
      <c r="B57" s="798" t="s">
        <v>651</v>
      </c>
      <c r="C57" s="799">
        <f ca="1">ROUND(C58+C63+C64+C65,0)</f>
        <v>182</v>
      </c>
      <c r="D57" s="26" t="s">
        <v>1751</v>
      </c>
      <c r="E57" s="2640"/>
      <c r="F57" s="56"/>
      <c r="I57" s="3167" t="s">
        <v>2361</v>
      </c>
      <c r="J57" s="3168" t="str">
        <f ca="1">IF(OR(M47="住宅",J51&lt;L48,J56="是"),"——",J51-L48)</f>
        <v>——</v>
      </c>
      <c r="K57" s="3125" t="s">
        <v>2366</v>
      </c>
      <c r="L57" s="1910" t="str">
        <f ca="1">IF(L48&lt;J51,"——",IF(L55="比较法",L49,IF(L55="基准地价",L50,L51)))</f>
        <v>——</v>
      </c>
      <c r="O57" s="2398" t="s">
        <v>2382</v>
      </c>
      <c r="P57" s="2399" t="s">
        <v>2412</v>
      </c>
      <c r="Q57" s="2400">
        <f ca="1">C40+J29</f>
        <v>23552</v>
      </c>
      <c r="R57" s="2399" t="s">
        <v>2383</v>
      </c>
    </row>
    <row r="58" spans="1:18" s="2059" customFormat="1" ht="28.5" customHeight="1" thickBot="1">
      <c r="A58" s="1650" t="s">
        <v>1825</v>
      </c>
      <c r="B58" s="784" t="s">
        <v>656</v>
      </c>
      <c r="C58" s="53">
        <f ca="1">ROUND(IF(项目基本情况!B11="自然人",C47*F58,C59+C60+C61),1)</f>
        <v>17.2</v>
      </c>
      <c r="D58" s="2638" t="s">
        <v>657</v>
      </c>
      <c r="E58" s="2639" t="s">
        <v>690</v>
      </c>
      <c r="F58" s="810">
        <f ca="1">IF(项目基本情况!B11="企业","",IF(INDIRECT("'数据-取费表'!c"&amp;$G$1)="住宅",5%,IF(F48*F49*F50/12/(1+'数据-取费表'!C42)&gt;20000,12%,7%)))</f>
        <v>7.0000000000000007E-2</v>
      </c>
      <c r="I58" s="3167" t="s">
        <v>2362</v>
      </c>
      <c r="J58" s="3101" t="e">
        <f ca="1">IF(J55&lt;0.4,0.4,J55)</f>
        <v>#VALUE!</v>
      </c>
      <c r="K58" s="3125" t="s">
        <v>2367</v>
      </c>
      <c r="L58" s="1910" t="e">
        <f ca="1">ROUND(POWER(1+L52,L47-L48)*(POWER(1+L52,L48)-1)/(POWER(1+L52,L47)-1),4)</f>
        <v>#DIV/0!</v>
      </c>
      <c r="O58" s="2398" t="s">
        <v>2384</v>
      </c>
      <c r="P58" s="2399" t="s">
        <v>2415</v>
      </c>
      <c r="Q58" s="2400">
        <f ca="1">L60</f>
        <v>0</v>
      </c>
      <c r="R58" s="2403" t="s">
        <v>2417</v>
      </c>
    </row>
    <row r="59" spans="1:18" s="2059" customFormat="1" ht="28.5" customHeight="1" thickBot="1">
      <c r="A59" s="1649" t="s">
        <v>1832</v>
      </c>
      <c r="B59" s="784" t="s">
        <v>660</v>
      </c>
      <c r="C59" s="53">
        <f ca="1">ROUND(C47*F59/1.05,1)</f>
        <v>0</v>
      </c>
      <c r="D59" s="2639" t="s">
        <v>1757</v>
      </c>
      <c r="E59" s="784" t="s">
        <v>1748</v>
      </c>
      <c r="F59" s="809">
        <f t="shared" ref="F59:F65" si="0">F32</f>
        <v>5.6000000000000001E-2</v>
      </c>
      <c r="I59" s="3167" t="s">
        <v>2363</v>
      </c>
      <c r="J59" s="3168" t="str">
        <f ca="1">IF(OR(M47="住宅",J51&lt;L48,J56="是"),"——",ROUND(C29*J58,0))</f>
        <v>——</v>
      </c>
      <c r="K59" s="3125"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1" t="s">
        <v>2386</v>
      </c>
      <c r="P59" s="2399" t="s">
        <v>2416</v>
      </c>
      <c r="Q59" s="2400">
        <f>IF(L55="比较法",L49,IF(L55="基准地价",L50,0))</f>
        <v>0</v>
      </c>
      <c r="R59" s="2399" t="s">
        <v>2383</v>
      </c>
    </row>
    <row r="60" spans="1:18" s="2059" customFormat="1" ht="18" customHeight="1" thickBot="1">
      <c r="A60" s="1649" t="s">
        <v>1833</v>
      </c>
      <c r="B60" s="784" t="s">
        <v>1759</v>
      </c>
      <c r="C60" s="53">
        <f ca="1">IF(D60="按租金收入计税",ROUND(C47*F60,1),IF(D60="按房产原值计税",ROUND(C56*F60*0.7,1),INDIRECT("'数据-取费表'!Aj"&amp;$G$1)))</f>
        <v>0</v>
      </c>
      <c r="D60" s="2639" t="str">
        <f>D33</f>
        <v>按租金收入计税</v>
      </c>
      <c r="E60" s="784" t="s">
        <v>1748</v>
      </c>
      <c r="F60" s="809">
        <f t="shared" si="0"/>
        <v>0.12</v>
      </c>
      <c r="I60" s="3169" t="s">
        <v>2364</v>
      </c>
      <c r="J60" s="3170" t="str">
        <f ca="1">IF(OR(M47="住宅",J51&lt;L48,J56="是"),"0",ROUND(J59/(1+J52)^J53,0))</f>
        <v>0</v>
      </c>
      <c r="K60" s="3171" t="s">
        <v>2369</v>
      </c>
      <c r="L60" s="3170">
        <f ca="1">IF(OR(M47="住宅",L48&lt;J51),0,ROUND(L57*(L58/L59-1),0))</f>
        <v>0</v>
      </c>
      <c r="O60" s="2401" t="s">
        <v>2387</v>
      </c>
      <c r="P60" s="2399" t="s">
        <v>2396</v>
      </c>
      <c r="Q60" s="2402">
        <f>L52</f>
        <v>0</v>
      </c>
      <c r="R60" s="2403"/>
    </row>
    <row r="61" spans="1:18" s="2059" customFormat="1" ht="18" customHeight="1" thickBot="1">
      <c r="A61" s="1652" t="s">
        <v>1834</v>
      </c>
      <c r="B61" s="341" t="s">
        <v>668</v>
      </c>
      <c r="C61" s="54">
        <f ca="1">ROUND(F61*F62/10000,1)</f>
        <v>17.2</v>
      </c>
      <c r="D61" s="814" t="s">
        <v>669</v>
      </c>
      <c r="E61" s="784" t="s">
        <v>670</v>
      </c>
      <c r="F61" s="640">
        <f t="shared" si="0"/>
        <v>18</v>
      </c>
      <c r="K61" s="2086"/>
      <c r="O61" s="2401" t="s">
        <v>2389</v>
      </c>
      <c r="P61" s="2399" t="s">
        <v>2397</v>
      </c>
      <c r="Q61" s="2400" t="e">
        <f ca="1">L58</f>
        <v>#DIV/0!</v>
      </c>
      <c r="R61" s="2403" t="s">
        <v>2398</v>
      </c>
    </row>
    <row r="62" spans="1:18" s="2059" customFormat="1" ht="15.75" thickBot="1">
      <c r="A62" s="815"/>
      <c r="B62" s="793"/>
      <c r="C62" s="69"/>
      <c r="D62" s="816"/>
      <c r="E62" s="784" t="s">
        <v>674</v>
      </c>
      <c r="F62" s="785">
        <f t="shared" ca="1" si="0"/>
        <v>9545.89</v>
      </c>
      <c r="I62" s="3172" t="s">
        <v>2370</v>
      </c>
      <c r="J62" s="3173" t="s">
        <v>2371</v>
      </c>
      <c r="K62" s="3173" t="s">
        <v>2372</v>
      </c>
      <c r="L62" s="3173" t="s">
        <v>2353</v>
      </c>
      <c r="M62" s="3174" t="s">
        <v>2944</v>
      </c>
      <c r="O62" s="2401" t="s">
        <v>2391</v>
      </c>
      <c r="P62" s="2399" t="str">
        <f>K59</f>
        <v>建筑物剩余耐用年限下的土地年期修正系数Kn</v>
      </c>
      <c r="Q62" s="2400" t="e">
        <f ca="1">L59</f>
        <v>#DIV/0!</v>
      </c>
      <c r="R62" s="2403" t="s">
        <v>2400</v>
      </c>
    </row>
    <row r="63" spans="1:18" s="2059" customFormat="1" ht="15.75" thickBot="1">
      <c r="A63" s="1650" t="s">
        <v>1890</v>
      </c>
      <c r="B63" s="784" t="s">
        <v>676</v>
      </c>
      <c r="C63" s="53">
        <f ca="1">ROUND(C56*F63,1)</f>
        <v>149.80000000000001</v>
      </c>
      <c r="D63" s="2639" t="s">
        <v>1804</v>
      </c>
      <c r="E63" s="784" t="s">
        <v>1748</v>
      </c>
      <c r="F63" s="817">
        <f t="shared" ca="1" si="0"/>
        <v>1.4999999999999999E-2</v>
      </c>
      <c r="I63" s="3172" t="s">
        <v>2373</v>
      </c>
      <c r="J63" s="3173">
        <v>70</v>
      </c>
      <c r="K63" s="3173">
        <v>50</v>
      </c>
      <c r="L63" s="3173">
        <v>80</v>
      </c>
      <c r="M63" s="3175">
        <v>0.02</v>
      </c>
      <c r="O63" s="2398" t="s">
        <v>2394</v>
      </c>
      <c r="P63" s="2399" t="s">
        <v>2411</v>
      </c>
      <c r="Q63" s="2400">
        <f ca="1">Q57+Q58</f>
        <v>23552</v>
      </c>
      <c r="R63" s="2403" t="s">
        <v>2395</v>
      </c>
    </row>
    <row r="64" spans="1:18" s="2059" customFormat="1" ht="16.5" thickBot="1">
      <c r="A64" s="1650" t="s">
        <v>1891</v>
      </c>
      <c r="B64" s="784" t="s">
        <v>679</v>
      </c>
      <c r="C64" s="53">
        <f ca="1">ROUND(C55*F64,1)</f>
        <v>15</v>
      </c>
      <c r="D64" s="2639" t="s">
        <v>680</v>
      </c>
      <c r="E64" s="784" t="s">
        <v>1748</v>
      </c>
      <c r="F64" s="818">
        <f t="shared" ca="1" si="0"/>
        <v>1.5E-3</v>
      </c>
      <c r="I64" s="3172" t="s">
        <v>2374</v>
      </c>
      <c r="J64" s="3173">
        <v>50</v>
      </c>
      <c r="K64" s="3173">
        <v>35</v>
      </c>
      <c r="L64" s="3173">
        <v>60</v>
      </c>
      <c r="M64" s="846">
        <v>0</v>
      </c>
      <c r="O64" s="2404" t="s">
        <v>2418</v>
      </c>
      <c r="P64" s="1593"/>
      <c r="Q64" s="1605"/>
      <c r="R64" s="1593"/>
    </row>
    <row r="65" spans="1:18" s="2059" customFormat="1" ht="15.75" thickBot="1">
      <c r="A65" s="1650" t="s">
        <v>1892</v>
      </c>
      <c r="B65" s="784" t="s">
        <v>666</v>
      </c>
      <c r="C65" s="53">
        <f ca="1">ROUND(C47*F65,1)</f>
        <v>0</v>
      </c>
      <c r="D65" s="2639" t="s">
        <v>683</v>
      </c>
      <c r="E65" s="784" t="s">
        <v>1748</v>
      </c>
      <c r="F65" s="794">
        <f t="shared" ca="1" si="0"/>
        <v>0.02</v>
      </c>
      <c r="I65" s="3172" t="s">
        <v>2375</v>
      </c>
      <c r="J65" s="3173">
        <v>40</v>
      </c>
      <c r="K65" s="3173">
        <v>30</v>
      </c>
      <c r="L65" s="3173">
        <v>50</v>
      </c>
      <c r="M65" s="3175">
        <v>0.02</v>
      </c>
      <c r="O65" s="2395" t="s">
        <v>2378</v>
      </c>
      <c r="P65" s="2396" t="s">
        <v>2379</v>
      </c>
      <c r="Q65" s="2397" t="s">
        <v>2380</v>
      </c>
      <c r="R65" s="2396" t="s">
        <v>2381</v>
      </c>
    </row>
    <row r="66" spans="1:18" s="2059" customFormat="1" ht="24.75" thickBot="1">
      <c r="A66" s="797" t="s">
        <v>1777</v>
      </c>
      <c r="B66" s="3011" t="s">
        <v>2825</v>
      </c>
      <c r="C66" s="799">
        <f ca="1">C47-C57</f>
        <v>-182</v>
      </c>
      <c r="D66" s="2638" t="s">
        <v>700</v>
      </c>
      <c r="E66" s="2637"/>
      <c r="F66" s="820"/>
      <c r="K66" s="2086"/>
      <c r="O66" s="2398" t="s">
        <v>2382</v>
      </c>
      <c r="P66" s="2399" t="s">
        <v>2412</v>
      </c>
      <c r="Q66" s="2400">
        <f ca="1">C40+J29</f>
        <v>23552</v>
      </c>
      <c r="R66" s="2399" t="s">
        <v>2383</v>
      </c>
    </row>
    <row r="67" spans="1:18" s="2059" customFormat="1" ht="20.25" thickBot="1">
      <c r="A67" s="781" t="s">
        <v>1781</v>
      </c>
      <c r="B67" s="2232" t="s">
        <v>2304</v>
      </c>
      <c r="C67" s="783">
        <f ca="1">ROUND(C66*(1-((1+F69)/(1+F67))^F68)/(F67-F69),0)</f>
        <v>-2712</v>
      </c>
      <c r="D67" s="814" t="s">
        <v>704</v>
      </c>
      <c r="E67" s="784" t="s">
        <v>705</v>
      </c>
      <c r="F67" s="794">
        <f ca="1">F40</f>
        <v>0.06</v>
      </c>
      <c r="K67" s="2086"/>
      <c r="O67" s="2398" t="s">
        <v>2384</v>
      </c>
      <c r="P67" s="2399" t="s">
        <v>2415</v>
      </c>
      <c r="Q67" s="2400">
        <f ca="1">L60</f>
        <v>0</v>
      </c>
      <c r="R67" s="2403" t="s">
        <v>2417</v>
      </c>
    </row>
    <row r="68" spans="1:18" ht="21.75" thickBot="1">
      <c r="A68" s="786"/>
      <c r="B68" s="787"/>
      <c r="C68" s="788"/>
      <c r="D68" s="821" t="s">
        <v>1809</v>
      </c>
      <c r="E68" s="784" t="s">
        <v>1785</v>
      </c>
      <c r="F68" s="822">
        <f ca="1">F41</f>
        <v>38.520000000000003</v>
      </c>
      <c r="O68" s="2401" t="s">
        <v>2386</v>
      </c>
      <c r="P68" s="2399" t="s">
        <v>2416</v>
      </c>
      <c r="Q68" s="2405">
        <f ca="1">L51</f>
        <v>3513</v>
      </c>
      <c r="R68" s="2406" t="s">
        <v>2419</v>
      </c>
    </row>
    <row r="69" spans="1:18" ht="20.25" thickBot="1">
      <c r="A69" s="790"/>
      <c r="B69" s="791"/>
      <c r="C69" s="792"/>
      <c r="D69" s="816"/>
      <c r="E69" s="784" t="s">
        <v>710</v>
      </c>
      <c r="F69" s="2371"/>
      <c r="O69" s="2401" t="s">
        <v>2387</v>
      </c>
      <c r="P69" s="2407" t="s">
        <v>2401</v>
      </c>
      <c r="Q69" s="2400">
        <f ca="1">ROUND(Q70-Q71*Q72,0)</f>
        <v>207</v>
      </c>
      <c r="R69" s="2403"/>
    </row>
    <row r="70" spans="1:18" ht="15.75" thickBot="1">
      <c r="A70" s="823" t="s">
        <v>1788</v>
      </c>
      <c r="B70" s="824" t="s">
        <v>1811</v>
      </c>
      <c r="C70" s="825">
        <f ca="1">ROUND(C67*10000/F70,0)</f>
        <v>-947</v>
      </c>
      <c r="D70" s="826" t="s">
        <v>1812</v>
      </c>
      <c r="E70" s="827" t="s">
        <v>1813</v>
      </c>
      <c r="F70" s="828">
        <f ca="1">F43</f>
        <v>28637.67</v>
      </c>
      <c r="O70" s="2401" t="s">
        <v>2402</v>
      </c>
      <c r="P70" s="2407" t="s">
        <v>2403</v>
      </c>
      <c r="Q70" s="2400">
        <f ca="1">C39</f>
        <v>1056</v>
      </c>
      <c r="R70" s="2399" t="s">
        <v>2383</v>
      </c>
    </row>
    <row r="71" spans="1:18" ht="15.75" thickBot="1">
      <c r="O71" s="2401" t="s">
        <v>2404</v>
      </c>
      <c r="P71" s="2407" t="s">
        <v>2405</v>
      </c>
      <c r="Q71" s="2400">
        <f ca="1">C13</f>
        <v>9985</v>
      </c>
      <c r="R71" s="2399" t="s">
        <v>2383</v>
      </c>
    </row>
    <row r="72" spans="1:18" ht="15.75" thickBot="1">
      <c r="O72" s="2401" t="s">
        <v>2406</v>
      </c>
      <c r="P72" s="2407" t="s">
        <v>2407</v>
      </c>
      <c r="Q72" s="2402">
        <f ca="1">J36</f>
        <v>8.5000000000000006E-2</v>
      </c>
      <c r="R72" s="2403"/>
    </row>
    <row r="73" spans="1:18" ht="15.75" thickBot="1">
      <c r="O73" s="2401" t="s">
        <v>2389</v>
      </c>
      <c r="P73" s="2399" t="s">
        <v>2396</v>
      </c>
      <c r="Q73" s="2402">
        <f>L52</f>
        <v>0</v>
      </c>
      <c r="R73" s="2403"/>
    </row>
    <row r="74" spans="1:18" ht="20.25" thickBot="1">
      <c r="O74" s="2401" t="s">
        <v>2391</v>
      </c>
      <c r="P74" s="2399" t="s">
        <v>2397</v>
      </c>
      <c r="Q74" s="2400" t="e">
        <f ca="1">L58</f>
        <v>#DIV/0!</v>
      </c>
      <c r="R74" s="2403" t="s">
        <v>2398</v>
      </c>
    </row>
    <row r="75" spans="1:18" ht="15.75" thickBot="1">
      <c r="O75" s="2401" t="s">
        <v>2420</v>
      </c>
      <c r="P75" s="2399" t="str">
        <f>K59</f>
        <v>建筑物剩余耐用年限下的土地年期修正系数Kn</v>
      </c>
      <c r="Q75" s="2400" t="e">
        <f ca="1">L59</f>
        <v>#DIV/0!</v>
      </c>
      <c r="R75" s="2403" t="s">
        <v>2400</v>
      </c>
    </row>
    <row r="76" spans="1:18" ht="15.75" thickBot="1">
      <c r="O76" s="2398" t="s">
        <v>2394</v>
      </c>
      <c r="P76" s="2399" t="s">
        <v>2411</v>
      </c>
      <c r="Q76" s="2400">
        <f ca="1">Q66+Q67</f>
        <v>23552</v>
      </c>
      <c r="R76" s="2403"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2" sqref="E32:G32"/>
    </sheetView>
  </sheetViews>
  <sheetFormatPr defaultRowHeight="13.5"/>
  <cols>
    <col min="1" max="1" width="10.5" customWidth="1"/>
    <col min="2" max="2" width="12.875" customWidth="1"/>
    <col min="3" max="3" width="8.75" customWidth="1"/>
  </cols>
  <sheetData>
    <row r="1" spans="1:9" ht="14.25">
      <c r="A1" s="3457" t="s">
        <v>2474</v>
      </c>
      <c r="B1" s="3458"/>
      <c r="C1" s="3459"/>
      <c r="D1" s="3460">
        <f>SUM(I10,I15,I20,I21,I23)</f>
        <v>0</v>
      </c>
      <c r="E1" s="3460"/>
      <c r="F1" s="3460"/>
      <c r="G1" s="3460"/>
      <c r="H1" s="3460"/>
      <c r="I1" s="3461"/>
    </row>
    <row r="2" spans="1:9">
      <c r="A2" s="3462" t="s">
        <v>2475</v>
      </c>
      <c r="B2" s="3463" t="s">
        <v>2476</v>
      </c>
      <c r="C2" s="3463"/>
      <c r="D2" s="2507" t="s">
        <v>2477</v>
      </c>
      <c r="E2" s="2507" t="s">
        <v>2478</v>
      </c>
      <c r="F2" s="2507" t="s">
        <v>2479</v>
      </c>
      <c r="G2" s="2507" t="s">
        <v>2480</v>
      </c>
      <c r="H2" s="2507" t="s">
        <v>2481</v>
      </c>
      <c r="I2" s="2508" t="s">
        <v>2482</v>
      </c>
    </row>
    <row r="3" spans="1:9">
      <c r="A3" s="3462"/>
      <c r="B3" s="3463" t="s">
        <v>2483</v>
      </c>
      <c r="C3" s="3463"/>
      <c r="D3" s="2509"/>
      <c r="E3" s="2507"/>
      <c r="F3" s="2510"/>
      <c r="G3" s="2510"/>
      <c r="H3" s="2511"/>
      <c r="I3" s="2512">
        <f>ROUND(D3*E3*F3*G3*H3/10000,0)</f>
        <v>0</v>
      </c>
    </row>
    <row r="4" spans="1:9">
      <c r="A4" s="3462"/>
      <c r="B4" s="3463" t="s">
        <v>2484</v>
      </c>
      <c r="C4" s="3463"/>
      <c r="D4" s="2509"/>
      <c r="E4" s="2507"/>
      <c r="F4" s="2510"/>
      <c r="G4" s="2510"/>
      <c r="H4" s="2511"/>
      <c r="I4" s="2512">
        <f t="shared" ref="I4:I9" si="0">ROUND(D4*E4*F4*G4*H4/10000,0)</f>
        <v>0</v>
      </c>
    </row>
    <row r="5" spans="1:9">
      <c r="A5" s="3462"/>
      <c r="B5" s="3463" t="s">
        <v>2485</v>
      </c>
      <c r="C5" s="3463"/>
      <c r="D5" s="2509"/>
      <c r="E5" s="2507"/>
      <c r="F5" s="2510"/>
      <c r="G5" s="2510"/>
      <c r="H5" s="2511"/>
      <c r="I5" s="2512">
        <f t="shared" si="0"/>
        <v>0</v>
      </c>
    </row>
    <row r="6" spans="1:9">
      <c r="A6" s="3462"/>
      <c r="B6" s="3463" t="s">
        <v>2486</v>
      </c>
      <c r="C6" s="3463"/>
      <c r="D6" s="2509"/>
      <c r="E6" s="2507"/>
      <c r="F6" s="2510"/>
      <c r="G6" s="2510"/>
      <c r="H6" s="2511"/>
      <c r="I6" s="2512">
        <f t="shared" si="0"/>
        <v>0</v>
      </c>
    </row>
    <row r="7" spans="1:9">
      <c r="A7" s="3462"/>
      <c r="B7" s="3463" t="s">
        <v>2487</v>
      </c>
      <c r="C7" s="3463"/>
      <c r="D7" s="2509"/>
      <c r="E7" s="2507"/>
      <c r="F7" s="2510"/>
      <c r="G7" s="2510"/>
      <c r="H7" s="2511"/>
      <c r="I7" s="2512">
        <f t="shared" si="0"/>
        <v>0</v>
      </c>
    </row>
    <row r="8" spans="1:9">
      <c r="A8" s="3462"/>
      <c r="B8" s="3463" t="s">
        <v>2488</v>
      </c>
      <c r="C8" s="3463"/>
      <c r="D8" s="2509"/>
      <c r="E8" s="2507"/>
      <c r="F8" s="2510"/>
      <c r="G8" s="2510"/>
      <c r="H8" s="2511"/>
      <c r="I8" s="2512">
        <f t="shared" si="0"/>
        <v>0</v>
      </c>
    </row>
    <row r="9" spans="1:9">
      <c r="A9" s="3462"/>
      <c r="B9" s="3463" t="s">
        <v>2489</v>
      </c>
      <c r="C9" s="3463"/>
      <c r="D9" s="2509"/>
      <c r="E9" s="2507"/>
      <c r="F9" s="2510"/>
      <c r="G9" s="2510"/>
      <c r="H9" s="2511"/>
      <c r="I9" s="2512">
        <f t="shared" si="0"/>
        <v>0</v>
      </c>
    </row>
    <row r="10" spans="1:9">
      <c r="A10" s="3462"/>
      <c r="B10" s="3464" t="s">
        <v>2490</v>
      </c>
      <c r="C10" s="3464"/>
      <c r="D10" s="2513">
        <v>527</v>
      </c>
      <c r="E10" s="2513" t="e">
        <f>ROUND(D1*10000/D10/H9,0)</f>
        <v>#DIV/0!</v>
      </c>
      <c r="F10" s="2514"/>
      <c r="G10" s="2514"/>
      <c r="H10" s="2515"/>
      <c r="I10" s="2516">
        <f>SUM(I3:I9)</f>
        <v>0</v>
      </c>
    </row>
    <row r="11" spans="1:9" ht="14.25">
      <c r="A11" s="3462" t="s">
        <v>2491</v>
      </c>
      <c r="B11" s="3463" t="s">
        <v>2492</v>
      </c>
      <c r="C11" s="3463"/>
      <c r="D11" s="2509" t="s">
        <v>2493</v>
      </c>
      <c r="E11" s="2509" t="s">
        <v>2494</v>
      </c>
      <c r="F11" s="2510" t="s">
        <v>2495</v>
      </c>
      <c r="G11" s="2510" t="s">
        <v>2496</v>
      </c>
      <c r="H11" s="2517" t="s">
        <v>2497</v>
      </c>
      <c r="I11" s="2508" t="s">
        <v>2498</v>
      </c>
    </row>
    <row r="12" spans="1:9">
      <c r="A12" s="3462"/>
      <c r="B12" s="3463" t="s">
        <v>2499</v>
      </c>
      <c r="C12" s="3463"/>
      <c r="D12" s="2509"/>
      <c r="E12" s="2509"/>
      <c r="F12" s="2510"/>
      <c r="G12" s="2511"/>
      <c r="H12" s="2518"/>
      <c r="I12" s="2508">
        <f>ROUND(D12*E12*F12*G12/10000,0)</f>
        <v>0</v>
      </c>
    </row>
    <row r="13" spans="1:9">
      <c r="A13" s="3462"/>
      <c r="B13" s="3463" t="s">
        <v>2500</v>
      </c>
      <c r="C13" s="3463"/>
      <c r="D13" s="2509"/>
      <c r="E13" s="2509"/>
      <c r="F13" s="2510"/>
      <c r="G13" s="2511"/>
      <c r="H13" s="2518"/>
      <c r="I13" s="2508">
        <f>ROUND(D13*E13*F13*G13/10000,0)</f>
        <v>0</v>
      </c>
    </row>
    <row r="14" spans="1:9">
      <c r="A14" s="3462"/>
      <c r="B14" s="3463" t="s">
        <v>2501</v>
      </c>
      <c r="C14" s="3463"/>
      <c r="D14" s="2509"/>
      <c r="E14" s="2509"/>
      <c r="F14" s="2510"/>
      <c r="G14" s="2511"/>
      <c r="H14" s="2518"/>
      <c r="I14" s="2508">
        <f>ROUND(D14*E14*F14*G14/10000,0)</f>
        <v>0</v>
      </c>
    </row>
    <row r="15" spans="1:9">
      <c r="A15" s="3462"/>
      <c r="B15" s="3464" t="s">
        <v>2490</v>
      </c>
      <c r="C15" s="3464"/>
      <c r="D15" s="2513"/>
      <c r="E15" s="2513">
        <f>SUM(E12:E14)</f>
        <v>0</v>
      </c>
      <c r="F15" s="2514"/>
      <c r="G15" s="2511"/>
      <c r="H15" s="2518"/>
      <c r="I15" s="2519">
        <f>SUM(I12:I14)</f>
        <v>0</v>
      </c>
    </row>
    <row r="16" spans="1:9" ht="24">
      <c r="A16" s="3462" t="s">
        <v>2502</v>
      </c>
      <c r="B16" s="3463" t="s">
        <v>2503</v>
      </c>
      <c r="C16" s="3463"/>
      <c r="D16" s="2509" t="s">
        <v>2504</v>
      </c>
      <c r="E16" s="2520" t="s">
        <v>2505</v>
      </c>
      <c r="F16" s="2510" t="s">
        <v>2506</v>
      </c>
      <c r="G16" s="2511" t="s">
        <v>2496</v>
      </c>
      <c r="H16" s="2517" t="s">
        <v>2497</v>
      </c>
      <c r="I16" s="2508" t="s">
        <v>2498</v>
      </c>
    </row>
    <row r="17" spans="1:9" ht="14.25">
      <c r="A17" s="3462"/>
      <c r="B17" s="3463" t="s">
        <v>2507</v>
      </c>
      <c r="C17" s="3463"/>
      <c r="D17" s="2509"/>
      <c r="E17" s="2509"/>
      <c r="F17" s="2510"/>
      <c r="G17" s="2511"/>
      <c r="H17" s="2521"/>
      <c r="I17" s="2522">
        <f>ROUND(D17*E17*F17*G17/10000,0)</f>
        <v>0</v>
      </c>
    </row>
    <row r="18" spans="1:9" ht="14.25">
      <c r="A18" s="3462"/>
      <c r="B18" s="3463" t="s">
        <v>2508</v>
      </c>
      <c r="C18" s="3463"/>
      <c r="D18" s="2509"/>
      <c r="E18" s="2509"/>
      <c r="F18" s="2510"/>
      <c r="G18" s="2511"/>
      <c r="H18" s="2521"/>
      <c r="I18" s="2522">
        <f>ROUND(D18*E18*F18*G18/10000,0)</f>
        <v>0</v>
      </c>
    </row>
    <row r="19" spans="1:9" ht="14.25">
      <c r="A19" s="3462"/>
      <c r="B19" s="3463" t="s">
        <v>2509</v>
      </c>
      <c r="C19" s="3463"/>
      <c r="D19" s="2509"/>
      <c r="E19" s="2509"/>
      <c r="F19" s="2510"/>
      <c r="G19" s="2511"/>
      <c r="H19" s="2521"/>
      <c r="I19" s="2522">
        <f>ROUND(D19*E19*F19*G19/10000,0)</f>
        <v>0</v>
      </c>
    </row>
    <row r="20" spans="1:9">
      <c r="A20" s="3462"/>
      <c r="B20" s="3464" t="s">
        <v>2490</v>
      </c>
      <c r="C20" s="3464"/>
      <c r="D20" s="2513">
        <f>SUM(D17:D19)</f>
        <v>0</v>
      </c>
      <c r="E20" s="2513"/>
      <c r="F20" s="2514"/>
      <c r="G20" s="2511"/>
      <c r="H20" s="2518"/>
      <c r="I20" s="2519">
        <f>SUM(I17:I19)</f>
        <v>0</v>
      </c>
    </row>
    <row r="21" spans="1:9">
      <c r="A21" s="3462" t="s">
        <v>2510</v>
      </c>
      <c r="B21" s="3466"/>
      <c r="C21" s="3466"/>
      <c r="D21" s="3466"/>
      <c r="E21" s="3466"/>
      <c r="F21" s="3466"/>
      <c r="G21" s="3466"/>
      <c r="H21" s="2523">
        <v>0.1</v>
      </c>
      <c r="I21" s="2516">
        <f>ROUND(I10*H21,0)</f>
        <v>0</v>
      </c>
    </row>
    <row r="22" spans="1:9" ht="14.25">
      <c r="A22" s="3467" t="s">
        <v>2511</v>
      </c>
      <c r="B22" s="3468"/>
      <c r="C22" s="3469"/>
      <c r="D22" s="2524" t="s">
        <v>2512</v>
      </c>
      <c r="E22" s="2524" t="s">
        <v>2513</v>
      </c>
      <c r="F22" s="2525" t="s">
        <v>2514</v>
      </c>
      <c r="G22" s="2525" t="s">
        <v>2515</v>
      </c>
      <c r="H22" s="2517" t="s">
        <v>2516</v>
      </c>
      <c r="I22" s="2508" t="s">
        <v>2517</v>
      </c>
    </row>
    <row r="23" spans="1:9" ht="14.25" thickBot="1">
      <c r="A23" s="3470"/>
      <c r="B23" s="3471"/>
      <c r="C23" s="3472"/>
      <c r="D23" s="2526"/>
      <c r="E23" s="2526"/>
      <c r="F23" s="2526"/>
      <c r="G23" s="2527"/>
      <c r="H23" s="2528"/>
      <c r="I23" s="2529">
        <f>ROUND(E23*D23*F23*(1-G23)/10000,0)</f>
        <v>0</v>
      </c>
    </row>
    <row r="26" spans="1:9">
      <c r="A26" s="2530" t="s">
        <v>2518</v>
      </c>
      <c r="B26" s="2530"/>
      <c r="C26" s="2530"/>
      <c r="D26" s="2530"/>
      <c r="E26" s="3473">
        <f>C27-C30-C31-C32</f>
        <v>0</v>
      </c>
      <c r="F26" s="3473"/>
      <c r="G26" s="3473"/>
      <c r="H26" s="3043" t="s">
        <v>2846</v>
      </c>
    </row>
    <row r="27" spans="1:9">
      <c r="A27" s="2531">
        <v>1</v>
      </c>
      <c r="B27" s="2532" t="s">
        <v>2519</v>
      </c>
      <c r="C27" s="2532"/>
      <c r="D27" s="2532"/>
      <c r="E27" s="3474"/>
      <c r="F27" s="3474"/>
      <c r="G27" s="3474"/>
    </row>
    <row r="28" spans="1:9">
      <c r="A28" s="2533" t="s">
        <v>2520</v>
      </c>
      <c r="B28" s="2532" t="s">
        <v>2521</v>
      </c>
      <c r="C28" s="2532"/>
      <c r="D28" s="2532"/>
      <c r="E28" s="3474"/>
      <c r="F28" s="3474"/>
      <c r="G28" s="3474"/>
    </row>
    <row r="29" spans="1:9">
      <c r="A29" s="2533" t="s">
        <v>2522</v>
      </c>
      <c r="B29" s="2532" t="s">
        <v>2463</v>
      </c>
      <c r="C29" s="2532"/>
      <c r="D29" s="2532"/>
      <c r="E29" s="2532" t="s">
        <v>2523</v>
      </c>
      <c r="F29" s="2532"/>
      <c r="G29" s="2532"/>
    </row>
    <row r="30" spans="1:9">
      <c r="A30" s="2531">
        <v>2</v>
      </c>
      <c r="B30" s="2532" t="s">
        <v>2524</v>
      </c>
      <c r="C30" s="2532">
        <f>C27*D30</f>
        <v>0</v>
      </c>
      <c r="D30" s="2534">
        <v>0.2</v>
      </c>
      <c r="E30" s="2532" t="s">
        <v>2525</v>
      </c>
      <c r="F30" s="2532"/>
      <c r="G30" s="2532"/>
    </row>
    <row r="31" spans="1:9">
      <c r="A31" s="2531">
        <v>3</v>
      </c>
      <c r="B31" s="2532" t="s">
        <v>2526</v>
      </c>
      <c r="C31" s="2532">
        <f>C25*D31</f>
        <v>0</v>
      </c>
      <c r="D31" s="2534">
        <v>0.15</v>
      </c>
      <c r="E31" s="2532" t="s">
        <v>2527</v>
      </c>
      <c r="F31" s="2532"/>
      <c r="G31" s="2532"/>
    </row>
    <row r="32" spans="1:9">
      <c r="A32" s="2531">
        <v>4</v>
      </c>
      <c r="B32" s="2532" t="s">
        <v>2528</v>
      </c>
      <c r="C32" s="2532">
        <f>C27*D32</f>
        <v>0</v>
      </c>
      <c r="D32" s="2534">
        <v>0.05</v>
      </c>
      <c r="E32" s="3465"/>
      <c r="F32" s="3465"/>
      <c r="G32" s="3465"/>
    </row>
    <row r="33" spans="1:7" hidden="1">
      <c r="A33" s="3475" t="s">
        <v>2529</v>
      </c>
      <c r="B33" s="3476"/>
      <c r="C33" s="3476"/>
      <c r="D33" s="3477"/>
      <c r="E33" s="3473"/>
      <c r="F33" s="3473"/>
      <c r="G33" s="3473"/>
    </row>
    <row r="34" spans="1:7" hidden="1">
      <c r="A34" s="2535">
        <v>1</v>
      </c>
      <c r="B34" s="2532" t="s">
        <v>2530</v>
      </c>
      <c r="C34" s="2532"/>
      <c r="D34" s="2532"/>
      <c r="E34" s="3474"/>
      <c r="F34" s="3474"/>
      <c r="G34" s="3474"/>
    </row>
    <row r="35" spans="1:7" hidden="1">
      <c r="A35" s="2535">
        <v>2</v>
      </c>
      <c r="B35" s="2532" t="s">
        <v>2531</v>
      </c>
      <c r="C35" s="2532"/>
      <c r="D35" s="2532"/>
      <c r="E35" s="3474"/>
      <c r="F35" s="3474"/>
      <c r="G35" s="3474"/>
    </row>
    <row r="36" spans="1:7" hidden="1">
      <c r="A36" s="2535">
        <v>3</v>
      </c>
      <c r="B36" s="2532" t="s">
        <v>2532</v>
      </c>
      <c r="C36" s="2532"/>
      <c r="D36" s="2532"/>
      <c r="E36" s="3474"/>
      <c r="F36" s="3474"/>
      <c r="G36" s="3474"/>
    </row>
    <row r="37" spans="1:7" hidden="1">
      <c r="A37" s="2535">
        <v>4</v>
      </c>
      <c r="B37" s="2532" t="s">
        <v>2533</v>
      </c>
      <c r="C37" s="2532"/>
      <c r="D37" s="2532"/>
      <c r="E37" s="3474"/>
      <c r="F37" s="3474"/>
      <c r="G37" s="3474"/>
    </row>
    <row r="38" spans="1:7" hidden="1">
      <c r="A38" s="3475" t="s">
        <v>2534</v>
      </c>
      <c r="B38" s="3476"/>
      <c r="C38" s="3476"/>
      <c r="D38" s="3477"/>
      <c r="E38" s="3473"/>
      <c r="F38" s="3473"/>
      <c r="G38" s="34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80"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69">
        <v>1</v>
      </c>
      <c r="B7" s="748" t="s">
        <v>609</v>
      </c>
      <c r="C7" s="749">
        <f>C8+C9</f>
        <v>0</v>
      </c>
      <c r="D7" s="749"/>
      <c r="E7" s="750"/>
      <c r="F7" s="750"/>
      <c r="G7" s="2479"/>
    </row>
    <row r="8" spans="1:25" s="2183" customFormat="1" ht="13.5" customHeight="1">
      <c r="A8" s="2469" t="s">
        <v>2443</v>
      </c>
      <c r="B8" s="2472" t="s">
        <v>2445</v>
      </c>
      <c r="C8" s="2473"/>
      <c r="D8" s="749"/>
      <c r="E8" s="750"/>
      <c r="F8" s="750"/>
      <c r="G8" s="751"/>
    </row>
    <row r="9" spans="1:25" s="2183" customFormat="1" ht="13.5" customHeight="1">
      <c r="A9" s="2469" t="s">
        <v>2444</v>
      </c>
      <c r="B9" s="2472" t="s">
        <v>2446</v>
      </c>
      <c r="C9" s="2473"/>
      <c r="D9" s="749"/>
      <c r="E9" s="750"/>
      <c r="F9" s="750"/>
      <c r="G9" s="751"/>
    </row>
    <row r="10" spans="1:25" s="2183" customFormat="1" ht="36">
      <c r="A10" s="2469">
        <v>2</v>
      </c>
      <c r="B10" s="748" t="s">
        <v>613</v>
      </c>
      <c r="C10" s="749">
        <f>C11+C14+C15</f>
        <v>0</v>
      </c>
      <c r="D10" s="760">
        <f>'数据-汇总表'!E3</f>
        <v>148915.86318846155</v>
      </c>
      <c r="E10" s="749">
        <f>'数据-取费表'!B31</f>
        <v>110</v>
      </c>
      <c r="F10" s="761"/>
      <c r="G10" s="759" t="s">
        <v>614</v>
      </c>
    </row>
    <row r="11" spans="1:25" s="2183" customFormat="1" ht="13.5" customHeight="1">
      <c r="A11" s="2469" t="s">
        <v>2443</v>
      </c>
      <c r="B11" s="752" t="s">
        <v>610</v>
      </c>
      <c r="C11" s="753">
        <f>'数据-取费表'!B29</f>
        <v>0</v>
      </c>
      <c r="D11" s="754"/>
      <c r="E11" s="753"/>
      <c r="F11" s="755"/>
      <c r="G11" s="2478" t="s">
        <v>2454</v>
      </c>
    </row>
    <row r="12" spans="1:25" s="2183" customFormat="1" ht="13.5" customHeight="1">
      <c r="A12" s="2476" t="s">
        <v>2451</v>
      </c>
      <c r="B12" s="756" t="s">
        <v>611</v>
      </c>
      <c r="C12" s="757">
        <f>ROUND(D12*E12/10000,0)</f>
        <v>599</v>
      </c>
      <c r="D12" s="758">
        <f>'数据-汇总表'!E5</f>
        <v>119886.81318846154</v>
      </c>
      <c r="E12" s="757">
        <f>'数据-取费表'!B27</f>
        <v>50</v>
      </c>
      <c r="F12" s="755"/>
      <c r="G12" s="759"/>
    </row>
    <row r="13" spans="1:25" s="2183" customFormat="1" ht="13.5" customHeight="1">
      <c r="A13" s="2476" t="s">
        <v>2450</v>
      </c>
      <c r="B13" s="756" t="s">
        <v>612</v>
      </c>
      <c r="C13" s="757">
        <f>ROUND(D13*E13/10000,0)</f>
        <v>145</v>
      </c>
      <c r="D13" s="758">
        <f>'数据-汇总表'!E6</f>
        <v>29029.050000000003</v>
      </c>
      <c r="E13" s="757">
        <f>'数据-取费表'!B28</f>
        <v>50</v>
      </c>
      <c r="F13" s="755"/>
      <c r="G13" s="759"/>
    </row>
    <row r="14" spans="1:25" s="2183" customFormat="1" ht="13.5" customHeight="1">
      <c r="A14" s="2469" t="s">
        <v>2444</v>
      </c>
      <c r="B14" s="2475" t="s">
        <v>2447</v>
      </c>
      <c r="C14" s="2473"/>
      <c r="D14" s="758"/>
      <c r="E14" s="757"/>
      <c r="F14" s="2474"/>
      <c r="G14" s="2477" t="s">
        <v>2452</v>
      </c>
    </row>
    <row r="15" spans="1:25" s="2183" customFormat="1" ht="13.5" customHeight="1">
      <c r="A15" s="2469" t="s">
        <v>2449</v>
      </c>
      <c r="B15" s="2475" t="s">
        <v>2448</v>
      </c>
      <c r="C15" s="2473"/>
      <c r="D15" s="758"/>
      <c r="E15" s="757"/>
      <c r="F15" s="2474"/>
      <c r="G15" s="2477" t="s">
        <v>2453</v>
      </c>
    </row>
    <row r="16" spans="1:25" s="2184" customFormat="1" ht="48">
      <c r="A16" s="2469">
        <v>3</v>
      </c>
      <c r="B16" s="748" t="s">
        <v>615</v>
      </c>
      <c r="C16" s="2473"/>
      <c r="D16" s="760"/>
      <c r="E16" s="749"/>
      <c r="F16" s="761"/>
      <c r="G16" s="759" t="s">
        <v>2455</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616</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617</v>
      </c>
      <c r="C18" s="749">
        <f>ROUND((C7+C10+C16)*F18,0)</f>
        <v>0</v>
      </c>
      <c r="D18" s="762"/>
      <c r="E18" s="763"/>
      <c r="F18" s="761">
        <f>'数据-取费表'!Q16</f>
        <v>0.18</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625</v>
      </c>
      <c r="C22" s="749">
        <f ca="1">ROUND(C21*F22,0)</f>
        <v>0</v>
      </c>
      <c r="D22" s="760"/>
      <c r="E22" s="749"/>
      <c r="F22" s="766">
        <f>'数据-取费表'!AP16</f>
        <v>0.93100000000000005</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3" zoomScale="80" zoomScaleNormal="80" workbookViewId="0">
      <selection activeCell="M13" sqref="M13"/>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3" t="s">
        <v>719</v>
      </c>
      <c r="C1" s="2624" t="s">
        <v>720</v>
      </c>
      <c r="D1" s="2625"/>
      <c r="E1" s="2626"/>
      <c r="F1" s="2807"/>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22">
        <f>ROUND(B3*D3/10000,0)</f>
        <v>0</v>
      </c>
      <c r="C2" s="2127"/>
      <c r="D2" s="2127"/>
      <c r="E2" s="2127"/>
      <c r="F2" s="2201"/>
      <c r="G2" s="2127"/>
      <c r="H2" s="2127"/>
      <c r="I2" s="2127"/>
      <c r="J2" s="2127"/>
      <c r="K2" s="2202"/>
      <c r="L2" s="2203"/>
      <c r="M2" s="2204"/>
      <c r="N2" s="2204"/>
      <c r="O2" s="2204"/>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4577.1000000000004</v>
      </c>
      <c r="C3" s="852" t="s">
        <v>722</v>
      </c>
      <c r="D3" s="851">
        <f>SUMIF('数据-汇总表'!$C19:$C33,D1,'数据-汇总表'!$E19:$E33)</f>
        <v>0</v>
      </c>
      <c r="E3" s="2127"/>
      <c r="F3" s="2201"/>
      <c r="G3" s="2127"/>
      <c r="H3" s="2127"/>
      <c r="I3" s="2127"/>
      <c r="J3" s="2127"/>
      <c r="K3" s="2202"/>
      <c r="L3" s="2203"/>
      <c r="M3" s="2204"/>
      <c r="N3" s="2204"/>
      <c r="O3" s="2204"/>
      <c r="P3" s="1603"/>
      <c r="Q3" s="1603"/>
      <c r="R3" s="1603"/>
      <c r="S3" s="1603"/>
      <c r="T3" s="1603"/>
      <c r="U3" s="1603"/>
      <c r="V3" s="1603"/>
      <c r="W3" s="1603"/>
      <c r="X3" s="1603"/>
      <c r="Y3" s="1603"/>
      <c r="Z3" s="1603"/>
      <c r="AA3" s="1603"/>
      <c r="AB3" s="1603"/>
      <c r="AC3" s="1605"/>
    </row>
    <row r="4" spans="1:29" ht="15">
      <c r="A4" s="512" t="s">
        <v>521</v>
      </c>
      <c r="B4" s="513"/>
      <c r="C4" s="3371" t="s">
        <v>522</v>
      </c>
      <c r="D4" s="3372"/>
      <c r="E4" s="3406" t="s">
        <v>523</v>
      </c>
      <c r="F4" s="3407"/>
      <c r="G4" s="3371" t="s">
        <v>524</v>
      </c>
      <c r="H4" s="3372"/>
      <c r="I4" s="3371" t="s">
        <v>525</v>
      </c>
      <c r="J4" s="3372"/>
      <c r="K4" s="853" t="s">
        <v>526</v>
      </c>
      <c r="L4" s="2133"/>
      <c r="M4" s="2134"/>
      <c r="N4" s="2134"/>
      <c r="O4" s="2134"/>
      <c r="P4" s="3373" t="s">
        <v>527</v>
      </c>
      <c r="Q4" s="3374"/>
      <c r="R4" s="3379" t="s">
        <v>523</v>
      </c>
      <c r="S4" s="3380"/>
      <c r="T4" s="3379" t="s">
        <v>524</v>
      </c>
      <c r="U4" s="3380"/>
      <c r="V4" s="3366" t="s">
        <v>525</v>
      </c>
      <c r="W4" s="3366"/>
      <c r="X4" s="1568"/>
      <c r="Y4" s="3379" t="s">
        <v>527</v>
      </c>
      <c r="Z4" s="3380"/>
      <c r="AA4" s="3368" t="s">
        <v>523</v>
      </c>
      <c r="AB4" s="3368" t="s">
        <v>524</v>
      </c>
      <c r="AC4" s="3368" t="s">
        <v>525</v>
      </c>
    </row>
    <row r="5" spans="1:29" ht="15">
      <c r="A5" s="515"/>
      <c r="B5" s="516"/>
      <c r="C5" s="3403" t="s">
        <v>2930</v>
      </c>
      <c r="D5" s="3388"/>
      <c r="E5" s="3481" t="s">
        <v>2996</v>
      </c>
      <c r="F5" s="3409"/>
      <c r="G5" s="3387" t="s">
        <v>2997</v>
      </c>
      <c r="H5" s="3388"/>
      <c r="I5" s="3387" t="s">
        <v>3033</v>
      </c>
      <c r="J5" s="3388"/>
      <c r="K5" s="854"/>
      <c r="L5" s="2133"/>
      <c r="M5" s="2134"/>
      <c r="N5" s="2134"/>
      <c r="O5" s="2134"/>
      <c r="P5" s="3375"/>
      <c r="Q5" s="3376"/>
      <c r="R5" s="3381"/>
      <c r="S5" s="3382"/>
      <c r="T5" s="3381"/>
      <c r="U5" s="3382"/>
      <c r="V5" s="3366"/>
      <c r="W5" s="3366"/>
      <c r="X5" s="1568"/>
      <c r="Y5" s="3381"/>
      <c r="Z5" s="3382"/>
      <c r="AA5" s="3369"/>
      <c r="AB5" s="3369"/>
      <c r="AC5" s="3369"/>
    </row>
    <row r="6" spans="1:29" ht="15.75" thickBot="1">
      <c r="A6" s="517"/>
      <c r="B6" s="518"/>
      <c r="C6" s="3385" t="s">
        <v>2934</v>
      </c>
      <c r="D6" s="3386"/>
      <c r="E6" s="3404" t="s">
        <v>2934</v>
      </c>
      <c r="F6" s="3405"/>
      <c r="G6" s="3385" t="s">
        <v>2934</v>
      </c>
      <c r="H6" s="3386"/>
      <c r="I6" s="3385" t="s">
        <v>2934</v>
      </c>
      <c r="J6" s="3386"/>
      <c r="K6" s="854" t="s">
        <v>528</v>
      </c>
      <c r="L6" s="2133"/>
      <c r="M6" s="2134"/>
      <c r="N6" s="2134"/>
      <c r="O6" s="2134"/>
      <c r="P6" s="3377"/>
      <c r="Q6" s="3378"/>
      <c r="R6" s="3381"/>
      <c r="S6" s="3382"/>
      <c r="T6" s="3383"/>
      <c r="U6" s="3384"/>
      <c r="V6" s="3366"/>
      <c r="W6" s="3366"/>
      <c r="X6" s="1568"/>
      <c r="Y6" s="3383"/>
      <c r="Z6" s="3384"/>
      <c r="AA6" s="3370"/>
      <c r="AB6" s="3370"/>
      <c r="AC6" s="3370"/>
    </row>
    <row r="7" spans="1:29" s="1220" customFormat="1" ht="15.75" thickBot="1">
      <c r="A7" s="2912"/>
      <c r="B7" s="2919" t="s">
        <v>529</v>
      </c>
      <c r="C7" s="519">
        <f>'数据-取费表'!B2</f>
        <v>43361</v>
      </c>
      <c r="D7" s="520">
        <v>100</v>
      </c>
      <c r="E7" s="521">
        <f>C7</f>
        <v>43361</v>
      </c>
      <c r="F7" s="522">
        <f>SUMIF(58:58,YEAR(E7)&amp;"-"&amp;MONTH(E7),59:59)</f>
        <v>100</v>
      </c>
      <c r="G7" s="523">
        <f>C7</f>
        <v>43361</v>
      </c>
      <c r="H7" s="520">
        <f>SUMIF(58:58,YEAR(G7)&amp;"-"&amp;MONTH(G7),59:59)</f>
        <v>100</v>
      </c>
      <c r="I7" s="523">
        <f>C7</f>
        <v>43361</v>
      </c>
      <c r="J7" s="520">
        <f>SUMIF(58:58,YEAR(I7)&amp;"-"&amp;MONTH(I7),59:59)</f>
        <v>100</v>
      </c>
      <c r="K7" s="855"/>
      <c r="L7" s="2135"/>
      <c r="M7" s="2136"/>
      <c r="N7" s="2136"/>
      <c r="O7" s="2136"/>
      <c r="P7" s="3396" t="s">
        <v>530</v>
      </c>
      <c r="Q7" s="3398"/>
      <c r="R7" s="1569" t="s">
        <v>13</v>
      </c>
      <c r="S7" s="1570">
        <f t="shared" ref="S7:S15" si="0">F7</f>
        <v>100</v>
      </c>
      <c r="T7" s="1569" t="s">
        <v>13</v>
      </c>
      <c r="U7" s="1570">
        <f t="shared" ref="U7:U15" si="1">H7</f>
        <v>100</v>
      </c>
      <c r="V7" s="1569" t="s">
        <v>13</v>
      </c>
      <c r="W7" s="1570">
        <f t="shared" ref="W7:W15" si="2">J7</f>
        <v>100</v>
      </c>
      <c r="X7" s="1571"/>
      <c r="Y7" s="3396" t="s">
        <v>530</v>
      </c>
      <c r="Z7" s="3397"/>
      <c r="AA7" s="1572">
        <f>D7/F7</f>
        <v>1</v>
      </c>
      <c r="AB7" s="1572">
        <f>D7/H7</f>
        <v>1</v>
      </c>
      <c r="AC7" s="1572">
        <f>D7/J7</f>
        <v>1</v>
      </c>
    </row>
    <row r="8" spans="1:29" s="1220" customFormat="1" ht="15.75" thickBot="1">
      <c r="A8" s="2913"/>
      <c r="B8" s="2920" t="s">
        <v>531</v>
      </c>
      <c r="C8" s="525" t="s">
        <v>576</v>
      </c>
      <c r="D8" s="520">
        <v>100</v>
      </c>
      <c r="E8" s="856" t="s">
        <v>3003</v>
      </c>
      <c r="F8" s="522">
        <f>SUMIF(61:61,E8,62:62)-SUMIF(61:61,C8,62:62)+100</f>
        <v>100</v>
      </c>
      <c r="G8" s="525" t="s">
        <v>3003</v>
      </c>
      <c r="H8" s="520">
        <f>SUMIF(61:61,G8,62:62)-SUMIF(61:61,C8,62:62)+100</f>
        <v>100</v>
      </c>
      <c r="I8" s="856" t="s">
        <v>3003</v>
      </c>
      <c r="J8" s="520">
        <f>SUMIF(61:61,I8,62:62)-SUMIF(61:61,C8,62:62)+100</f>
        <v>100</v>
      </c>
      <c r="K8" s="855"/>
      <c r="L8" s="2135"/>
      <c r="M8" s="2136"/>
      <c r="N8" s="2136"/>
      <c r="O8" s="2136"/>
      <c r="P8" s="3396" t="s">
        <v>533</v>
      </c>
      <c r="Q8" s="3397"/>
      <c r="R8" s="1569" t="s">
        <v>13</v>
      </c>
      <c r="S8" s="1570">
        <f t="shared" si="0"/>
        <v>100</v>
      </c>
      <c r="T8" s="1569" t="s">
        <v>13</v>
      </c>
      <c r="U8" s="1570">
        <f t="shared" si="1"/>
        <v>100</v>
      </c>
      <c r="V8" s="1569" t="s">
        <v>13</v>
      </c>
      <c r="W8" s="1570">
        <f t="shared" si="2"/>
        <v>100</v>
      </c>
      <c r="X8" s="1571"/>
      <c r="Y8" s="3396" t="s">
        <v>533</v>
      </c>
      <c r="Z8" s="3397"/>
      <c r="AA8" s="1572">
        <f t="shared" ref="AA8:AA46" si="3">D8/F8</f>
        <v>1</v>
      </c>
      <c r="AB8" s="1572">
        <f t="shared" ref="AB8:AB46" si="4">D8/H8</f>
        <v>1</v>
      </c>
      <c r="AC8" s="1572">
        <f t="shared" ref="AC8:AC46" si="5">D8/J8</f>
        <v>1</v>
      </c>
    </row>
    <row r="9" spans="1:29" s="1220" customFormat="1" ht="15">
      <c r="A9" s="2914"/>
      <c r="B9" s="2921" t="s">
        <v>2759</v>
      </c>
      <c r="C9" s="3178" t="s">
        <v>3005</v>
      </c>
      <c r="D9" s="254">
        <v>100</v>
      </c>
      <c r="E9" s="858" t="s">
        <v>923</v>
      </c>
      <c r="F9" s="859">
        <f>SUMIF(63:63,E9,64:64)-SUMIF(63:63,C9,64:64)+100</f>
        <v>100</v>
      </c>
      <c r="G9" s="860" t="s">
        <v>923</v>
      </c>
      <c r="H9" s="254">
        <f>SUMIF(63:63,G9,64:64)-SUMIF(63:63,C9,64:64)+100</f>
        <v>100</v>
      </c>
      <c r="I9" s="860" t="s">
        <v>923</v>
      </c>
      <c r="J9" s="254">
        <f>SUMIF(63:63,I9,64:64)-SUMIF(63:63,C9,64:64)+100</f>
        <v>100</v>
      </c>
      <c r="K9" s="855"/>
      <c r="L9" s="2135"/>
      <c r="M9" s="2136"/>
      <c r="N9" s="2136"/>
      <c r="O9" s="2137"/>
      <c r="P9" s="3365" t="s">
        <v>535</v>
      </c>
      <c r="Q9" s="1151" t="str">
        <f t="shared" ref="Q9:Q15" si="6">B9</f>
        <v>用途</v>
      </c>
      <c r="R9" s="1569" t="s">
        <v>8</v>
      </c>
      <c r="S9" s="1570">
        <f t="shared" si="0"/>
        <v>100</v>
      </c>
      <c r="T9" s="1569" t="s">
        <v>8</v>
      </c>
      <c r="U9" s="1570">
        <f t="shared" si="1"/>
        <v>100</v>
      </c>
      <c r="V9" s="1569" t="s">
        <v>8</v>
      </c>
      <c r="W9" s="1570">
        <f t="shared" si="2"/>
        <v>100</v>
      </c>
      <c r="X9" s="1571"/>
      <c r="Y9" s="3311" t="s">
        <v>536</v>
      </c>
      <c r="Z9" s="1150" t="str">
        <f t="shared" ref="Z9:Z15" si="7">Q9</f>
        <v>用途</v>
      </c>
      <c r="AA9" s="1572">
        <f t="shared" si="3"/>
        <v>1</v>
      </c>
      <c r="AB9" s="1572">
        <f t="shared" si="4"/>
        <v>1</v>
      </c>
      <c r="AC9" s="1572">
        <f t="shared" si="5"/>
        <v>1</v>
      </c>
    </row>
    <row r="10" spans="1:29" s="1338" customFormat="1" ht="27">
      <c r="A10" s="2915"/>
      <c r="B10" s="2920" t="s">
        <v>2760</v>
      </c>
      <c r="C10" s="861" t="s">
        <v>3006</v>
      </c>
      <c r="D10" s="255">
        <v>100</v>
      </c>
      <c r="E10" s="862" t="s">
        <v>3006</v>
      </c>
      <c r="F10" s="863">
        <f>SUMIF(65:65,E10,66:66)-SUMIF(65:65,C10,66:66)+100</f>
        <v>100</v>
      </c>
      <c r="G10" s="861" t="s">
        <v>3006</v>
      </c>
      <c r="H10" s="255">
        <f>SUMIF(65:65,G10,66:66)-SUMIF(65:65,C10,66:66)+100</f>
        <v>100</v>
      </c>
      <c r="I10" s="861" t="s">
        <v>3006</v>
      </c>
      <c r="J10" s="255">
        <f>SUMIF(65:65,I10,66:66)-SUMIF(65:65,C10,66:66)+100</f>
        <v>100</v>
      </c>
      <c r="K10" s="864">
        <v>2</v>
      </c>
      <c r="L10" s="2138"/>
      <c r="M10" s="2178"/>
      <c r="N10" s="2178"/>
      <c r="O10" s="2139"/>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6"/>
      <c r="B11" s="2920" t="s">
        <v>2761</v>
      </c>
      <c r="C11" s="533">
        <v>1</v>
      </c>
      <c r="D11" s="255">
        <v>100</v>
      </c>
      <c r="E11" s="534">
        <v>1</v>
      </c>
      <c r="F11" s="863">
        <f>LOOKUP(E11,68:68,69:69)-LOOKUP(C11,68:68,69:69)+100</f>
        <v>100</v>
      </c>
      <c r="G11" s="533">
        <v>1</v>
      </c>
      <c r="H11" s="255">
        <f>LOOKUP(G11,68:68,69:69)-LOOKUP(C11,68:68,69:69)+100</f>
        <v>100</v>
      </c>
      <c r="I11" s="533">
        <v>1</v>
      </c>
      <c r="J11" s="255">
        <f>LOOKUP(I11,68:68,69:69)-LOOKUP(C11,68:68,69:69)+100</f>
        <v>100</v>
      </c>
      <c r="K11" s="864">
        <v>1</v>
      </c>
      <c r="L11" s="2140"/>
      <c r="M11" s="2134"/>
      <c r="N11" s="2134"/>
      <c r="O11" s="2141"/>
      <c r="P11" s="3365"/>
      <c r="Q11" s="1151" t="str">
        <f t="shared" si="6"/>
        <v>容积率</v>
      </c>
      <c r="R11" s="1569" t="s">
        <v>11</v>
      </c>
      <c r="S11" s="1570">
        <f t="shared" si="0"/>
        <v>100</v>
      </c>
      <c r="T11" s="1569" t="s">
        <v>11</v>
      </c>
      <c r="U11" s="1570">
        <f t="shared" si="1"/>
        <v>100</v>
      </c>
      <c r="V11" s="1569" t="s">
        <v>11</v>
      </c>
      <c r="W11" s="1570">
        <f t="shared" si="2"/>
        <v>100</v>
      </c>
      <c r="X11" s="1571"/>
      <c r="Y11" s="3311"/>
      <c r="Z11" s="1150" t="str">
        <f t="shared" si="7"/>
        <v>容积率</v>
      </c>
      <c r="AA11" s="1572">
        <f t="shared" si="3"/>
        <v>1</v>
      </c>
      <c r="AB11" s="1572">
        <f t="shared" si="4"/>
        <v>1</v>
      </c>
      <c r="AC11" s="1572">
        <f t="shared" si="5"/>
        <v>1</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65"/>
      <c r="Q12" s="1151">
        <f t="shared" si="6"/>
        <v>111</v>
      </c>
      <c r="R12" s="1569" t="s">
        <v>11</v>
      </c>
      <c r="S12" s="1570">
        <f t="shared" si="0"/>
        <v>100</v>
      </c>
      <c r="T12" s="1569" t="s">
        <v>11</v>
      </c>
      <c r="U12" s="1570">
        <f t="shared" si="1"/>
        <v>100</v>
      </c>
      <c r="V12" s="1569" t="s">
        <v>11</v>
      </c>
      <c r="W12" s="1570">
        <f t="shared" si="2"/>
        <v>100</v>
      </c>
      <c r="X12" s="1571"/>
      <c r="Y12" s="3311"/>
      <c r="Z12" s="1150">
        <f t="shared" si="7"/>
        <v>111</v>
      </c>
      <c r="AA12" s="1572">
        <f>D12/F12</f>
        <v>1</v>
      </c>
      <c r="AB12" s="1572">
        <f>D12/H12</f>
        <v>1</v>
      </c>
      <c r="AC12" s="1572">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65"/>
      <c r="Q13" s="1151">
        <f t="shared" si="6"/>
        <v>111</v>
      </c>
      <c r="R13" s="1569" t="s">
        <v>11</v>
      </c>
      <c r="S13" s="1570">
        <f t="shared" si="0"/>
        <v>100</v>
      </c>
      <c r="T13" s="1569" t="s">
        <v>11</v>
      </c>
      <c r="U13" s="1570">
        <f t="shared" si="1"/>
        <v>100</v>
      </c>
      <c r="V13" s="1569" t="s">
        <v>11</v>
      </c>
      <c r="W13" s="1570">
        <f t="shared" si="2"/>
        <v>100</v>
      </c>
      <c r="X13" s="1571"/>
      <c r="Y13" s="3311"/>
      <c r="Z13" s="1150">
        <f t="shared" si="7"/>
        <v>111</v>
      </c>
      <c r="AA13" s="1572">
        <f t="shared" si="3"/>
        <v>1</v>
      </c>
      <c r="AB13" s="1572">
        <f t="shared" si="4"/>
        <v>1</v>
      </c>
      <c r="AC13" s="1572">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65"/>
      <c r="Q14" s="1151">
        <f t="shared" si="6"/>
        <v>111</v>
      </c>
      <c r="R14" s="1569" t="s">
        <v>11</v>
      </c>
      <c r="S14" s="1570">
        <f t="shared" si="0"/>
        <v>100</v>
      </c>
      <c r="T14" s="1569" t="s">
        <v>11</v>
      </c>
      <c r="U14" s="1570">
        <f t="shared" si="1"/>
        <v>100</v>
      </c>
      <c r="V14" s="1569" t="s">
        <v>11</v>
      </c>
      <c r="W14" s="1570">
        <f t="shared" si="2"/>
        <v>100</v>
      </c>
      <c r="X14" s="1571"/>
      <c r="Y14" s="3311"/>
      <c r="Z14" s="1150">
        <f t="shared" si="7"/>
        <v>111</v>
      </c>
      <c r="AA14" s="1572">
        <f t="shared" si="3"/>
        <v>1</v>
      </c>
      <c r="AB14" s="1572">
        <f t="shared" si="4"/>
        <v>1</v>
      </c>
      <c r="AC14" s="1572">
        <f t="shared" si="5"/>
        <v>1</v>
      </c>
    </row>
    <row r="15" spans="1:29" ht="99.75">
      <c r="A15" s="2910" t="s">
        <v>2757</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103</v>
      </c>
      <c r="G15" s="552"/>
      <c r="H15" s="549">
        <f>SUMIF(76:76,G16,77:77)-SUMIF(76:76,C16,77:77)+100</f>
        <v>100</v>
      </c>
      <c r="I15" s="550"/>
      <c r="J15" s="549">
        <f>SUMIF(76:76,I16,77:77)-SUMIF(76:76,C16,77:77)+100</f>
        <v>103</v>
      </c>
      <c r="K15" s="868">
        <v>3</v>
      </c>
      <c r="L15" s="2142"/>
      <c r="M15" s="2134"/>
      <c r="N15" s="2134"/>
      <c r="O15" s="2141"/>
      <c r="P15" s="3399" t="s">
        <v>540</v>
      </c>
      <c r="Q15" s="1573" t="str">
        <f t="shared" si="6"/>
        <v>居住社区成熟度</v>
      </c>
      <c r="R15" s="1574" t="s">
        <v>11</v>
      </c>
      <c r="S15" s="1575">
        <f t="shared" si="0"/>
        <v>103</v>
      </c>
      <c r="T15" s="1574" t="s">
        <v>11</v>
      </c>
      <c r="U15" s="1575">
        <f t="shared" si="1"/>
        <v>100</v>
      </c>
      <c r="V15" s="1574" t="s">
        <v>11</v>
      </c>
      <c r="W15" s="1575">
        <f t="shared" si="2"/>
        <v>103</v>
      </c>
      <c r="X15" s="1568"/>
      <c r="Y15" s="3399" t="s">
        <v>540</v>
      </c>
      <c r="Z15" s="1576" t="str">
        <f t="shared" si="7"/>
        <v>居住社区成熟度</v>
      </c>
      <c r="AA15" s="1577">
        <f t="shared" si="3"/>
        <v>0.970873786407767</v>
      </c>
      <c r="AB15" s="1577">
        <f t="shared" si="4"/>
        <v>1</v>
      </c>
      <c r="AC15" s="1577">
        <f t="shared" si="5"/>
        <v>0.970873786407767</v>
      </c>
    </row>
    <row r="16" spans="1:29" ht="15">
      <c r="A16" s="532"/>
      <c r="B16" s="869"/>
      <c r="C16" s="576" t="s">
        <v>3001</v>
      </c>
      <c r="D16" s="555"/>
      <c r="E16" s="556" t="s">
        <v>3000</v>
      </c>
      <c r="F16" s="557"/>
      <c r="G16" s="558" t="s">
        <v>3001</v>
      </c>
      <c r="H16" s="559"/>
      <c r="I16" s="556" t="s">
        <v>3000</v>
      </c>
      <c r="J16" s="555"/>
      <c r="K16" s="870"/>
      <c r="L16" s="2142"/>
      <c r="M16" s="2134"/>
      <c r="N16" s="2134"/>
      <c r="O16" s="2141"/>
      <c r="P16" s="3400"/>
      <c r="Q16" s="1573"/>
      <c r="R16" s="1574"/>
      <c r="S16" s="1575"/>
      <c r="T16" s="1574"/>
      <c r="U16" s="1575"/>
      <c r="V16" s="1574"/>
      <c r="W16" s="1575"/>
      <c r="X16" s="1568"/>
      <c r="Y16" s="3400"/>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103</v>
      </c>
      <c r="G17" s="564"/>
      <c r="H17" s="565">
        <f>SUMIF(78:78,G18,79:79)-SUMIF(78:78,C18,79:79)+100</f>
        <v>103</v>
      </c>
      <c r="I17" s="562"/>
      <c r="J17" s="565">
        <f>SUMIF(78:78,I18,79:79)-SUMIF(78:78,C18,79:79)+100</f>
        <v>103</v>
      </c>
      <c r="K17" s="868">
        <v>3</v>
      </c>
      <c r="L17" s="2142"/>
      <c r="M17" s="2134"/>
      <c r="N17" s="2134"/>
      <c r="O17" s="2141"/>
      <c r="P17" s="3400"/>
      <c r="Q17" s="1573" t="str">
        <f>B17</f>
        <v>交通便捷度</v>
      </c>
      <c r="R17" s="1574" t="s">
        <v>11</v>
      </c>
      <c r="S17" s="1575">
        <f>F17</f>
        <v>103</v>
      </c>
      <c r="T17" s="1574" t="s">
        <v>11</v>
      </c>
      <c r="U17" s="1575">
        <f>H17</f>
        <v>103</v>
      </c>
      <c r="V17" s="1574" t="s">
        <v>11</v>
      </c>
      <c r="W17" s="1575">
        <f>J17</f>
        <v>103</v>
      </c>
      <c r="X17" s="1568"/>
      <c r="Y17" s="3400"/>
      <c r="Z17" s="1576" t="str">
        <f>Q17</f>
        <v>交通便捷度</v>
      </c>
      <c r="AA17" s="1577">
        <f t="shared" si="3"/>
        <v>0.970873786407767</v>
      </c>
      <c r="AB17" s="1577">
        <f t="shared" si="4"/>
        <v>0.970873786407767</v>
      </c>
      <c r="AC17" s="1577">
        <f t="shared" si="5"/>
        <v>0.970873786407767</v>
      </c>
    </row>
    <row r="18" spans="1:29" ht="15">
      <c r="A18" s="532"/>
      <c r="B18" s="595"/>
      <c r="C18" s="873" t="s">
        <v>3001</v>
      </c>
      <c r="D18" s="559"/>
      <c r="E18" s="568" t="s">
        <v>3000</v>
      </c>
      <c r="F18" s="563"/>
      <c r="G18" s="569" t="s">
        <v>3000</v>
      </c>
      <c r="H18" s="555"/>
      <c r="I18" s="568" t="s">
        <v>3000</v>
      </c>
      <c r="J18" s="555"/>
      <c r="K18" s="870"/>
      <c r="L18" s="2142"/>
      <c r="M18" s="2134"/>
      <c r="N18" s="2134"/>
      <c r="O18" s="2141"/>
      <c r="P18" s="3400"/>
      <c r="Q18" s="1573"/>
      <c r="R18" s="1574"/>
      <c r="S18" s="1575"/>
      <c r="T18" s="1574"/>
      <c r="U18" s="1575"/>
      <c r="V18" s="1574"/>
      <c r="W18" s="1575"/>
      <c r="X18" s="1568"/>
      <c r="Y18" s="3400"/>
      <c r="Z18" s="1576"/>
      <c r="AA18" s="1577">
        <v>1</v>
      </c>
      <c r="AB18" s="1577">
        <v>1</v>
      </c>
      <c r="AC18" s="1577">
        <v>1</v>
      </c>
    </row>
    <row r="19" spans="1:29" ht="42.75">
      <c r="A19" s="532"/>
      <c r="B19" s="2600" t="s">
        <v>2549</v>
      </c>
      <c r="C19" s="872" t="str">
        <f>估价对象房地状况!C7</f>
        <v>估价对象所在区域公共配套设施齐备情况</v>
      </c>
      <c r="D19" s="565">
        <v>100</v>
      </c>
      <c r="E19" s="570"/>
      <c r="F19" s="571">
        <f>SUMIF(80:80,E20,81:81)-SUMIF(80:80,C20,81:81)+100</f>
        <v>103</v>
      </c>
      <c r="G19" s="572"/>
      <c r="H19" s="559">
        <f>SUMIF(80:80,G20,81:81)-SUMIF(80:80,C20,81:81)+100</f>
        <v>103</v>
      </c>
      <c r="I19" s="570"/>
      <c r="J19" s="559">
        <f>SUMIF(80:80,I20,81:81)-SUMIF(80:80,C20,81:81)+100</f>
        <v>103</v>
      </c>
      <c r="K19" s="868">
        <v>3</v>
      </c>
      <c r="L19" s="2142"/>
      <c r="M19" s="2134"/>
      <c r="N19" s="2134"/>
      <c r="O19" s="2141"/>
      <c r="P19" s="3400"/>
      <c r="Q19" s="1573" t="str">
        <f>B19</f>
        <v>公共配套设施</v>
      </c>
      <c r="R19" s="1574" t="s">
        <v>11</v>
      </c>
      <c r="S19" s="1575">
        <f>F19</f>
        <v>103</v>
      </c>
      <c r="T19" s="1574" t="s">
        <v>11</v>
      </c>
      <c r="U19" s="1575">
        <f>H19</f>
        <v>103</v>
      </c>
      <c r="V19" s="1574" t="s">
        <v>11</v>
      </c>
      <c r="W19" s="1575">
        <f>J19</f>
        <v>103</v>
      </c>
      <c r="X19" s="1568"/>
      <c r="Y19" s="3400"/>
      <c r="Z19" s="1576" t="str">
        <f>Q19</f>
        <v>公共配套设施</v>
      </c>
      <c r="AA19" s="1577">
        <f t="shared" si="3"/>
        <v>0.970873786407767</v>
      </c>
      <c r="AB19" s="1577">
        <f t="shared" si="4"/>
        <v>0.970873786407767</v>
      </c>
      <c r="AC19" s="1577">
        <f t="shared" si="5"/>
        <v>0.970873786407767</v>
      </c>
    </row>
    <row r="20" spans="1:29" ht="15">
      <c r="A20" s="532"/>
      <c r="B20" s="595"/>
      <c r="C20" s="576" t="s">
        <v>3001</v>
      </c>
      <c r="D20" s="555"/>
      <c r="E20" s="556" t="s">
        <v>3000</v>
      </c>
      <c r="F20" s="557"/>
      <c r="G20" s="558" t="s">
        <v>3000</v>
      </c>
      <c r="H20" s="555"/>
      <c r="I20" s="556" t="s">
        <v>3000</v>
      </c>
      <c r="J20" s="555"/>
      <c r="K20" s="870"/>
      <c r="L20" s="2142"/>
      <c r="M20" s="2134"/>
      <c r="N20" s="2134"/>
      <c r="O20" s="2141"/>
      <c r="P20" s="3400"/>
      <c r="Q20" s="1573"/>
      <c r="R20" s="1574"/>
      <c r="S20" s="1575"/>
      <c r="T20" s="1574"/>
      <c r="U20" s="1575"/>
      <c r="V20" s="1574"/>
      <c r="W20" s="1575"/>
      <c r="X20" s="1568"/>
      <c r="Y20" s="3400"/>
      <c r="Z20" s="1576"/>
      <c r="AA20" s="1577">
        <v>1</v>
      </c>
      <c r="AB20" s="1577">
        <v>1</v>
      </c>
      <c r="AC20" s="1577">
        <v>1</v>
      </c>
    </row>
    <row r="21" spans="1:29" ht="28.5">
      <c r="A21" s="532"/>
      <c r="B21" s="2593" t="s">
        <v>2561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3</v>
      </c>
      <c r="L21" s="2142"/>
      <c r="M21" s="2134"/>
      <c r="N21" s="2134"/>
      <c r="O21" s="2141"/>
      <c r="P21" s="3400"/>
      <c r="Q21" s="2579" t="str">
        <f>B21</f>
        <v>基础设施水平</v>
      </c>
      <c r="R21" s="1574" t="s">
        <v>11</v>
      </c>
      <c r="S21" s="1575">
        <f>F21</f>
        <v>100</v>
      </c>
      <c r="T21" s="1574" t="s">
        <v>11</v>
      </c>
      <c r="U21" s="1575">
        <f>H21</f>
        <v>100</v>
      </c>
      <c r="V21" s="1574" t="s">
        <v>11</v>
      </c>
      <c r="W21" s="1575">
        <f>J21</f>
        <v>100</v>
      </c>
      <c r="X21" s="2581"/>
      <c r="Y21" s="3400"/>
      <c r="Z21" s="2580" t="str">
        <f>Q21</f>
        <v>基础设施水平</v>
      </c>
      <c r="AA21" s="1577">
        <f t="shared" ref="AA21" si="8">D21/F21</f>
        <v>1</v>
      </c>
      <c r="AB21" s="1577">
        <f t="shared" ref="AB21" si="9">D21/H21</f>
        <v>1</v>
      </c>
      <c r="AC21" s="1577">
        <f t="shared" ref="AC21" si="10">D21/J21</f>
        <v>1</v>
      </c>
    </row>
    <row r="22" spans="1:29" ht="15">
      <c r="A22" s="532"/>
      <c r="B22" s="922"/>
      <c r="C22" s="873" t="s">
        <v>3007</v>
      </c>
      <c r="D22" s="555"/>
      <c r="E22" s="576" t="s">
        <v>3007</v>
      </c>
      <c r="F22" s="557"/>
      <c r="G22" s="576" t="s">
        <v>3007</v>
      </c>
      <c r="H22" s="555"/>
      <c r="I22" s="576" t="s">
        <v>3007</v>
      </c>
      <c r="J22" s="555"/>
      <c r="K22" s="2599"/>
      <c r="L22" s="2142"/>
      <c r="M22" s="2134"/>
      <c r="N22" s="2134"/>
      <c r="O22" s="2141"/>
      <c r="P22" s="3400"/>
      <c r="Q22" s="2579"/>
      <c r="R22" s="1574"/>
      <c r="S22" s="1575"/>
      <c r="T22" s="1574"/>
      <c r="U22" s="1575"/>
      <c r="V22" s="1574"/>
      <c r="W22" s="1575"/>
      <c r="X22" s="2581"/>
      <c r="Y22" s="3400"/>
      <c r="Z22" s="2580"/>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3</v>
      </c>
      <c r="L23" s="2142"/>
      <c r="M23" s="2134"/>
      <c r="N23" s="2134"/>
      <c r="O23" s="2141"/>
      <c r="P23" s="3400"/>
      <c r="Q23" s="1573" t="str">
        <f>B23</f>
        <v>自然及人文环境</v>
      </c>
      <c r="R23" s="1574" t="s">
        <v>11</v>
      </c>
      <c r="S23" s="1575">
        <f>F23</f>
        <v>100</v>
      </c>
      <c r="T23" s="1574" t="s">
        <v>11</v>
      </c>
      <c r="U23" s="1575">
        <f>H23</f>
        <v>100</v>
      </c>
      <c r="V23" s="1574" t="s">
        <v>11</v>
      </c>
      <c r="W23" s="1575">
        <f>J23</f>
        <v>100</v>
      </c>
      <c r="X23" s="1568"/>
      <c r="Y23" s="3400"/>
      <c r="Z23" s="1576" t="str">
        <f>Q23</f>
        <v>自然及人文环境</v>
      </c>
      <c r="AA23" s="1577">
        <f t="shared" si="3"/>
        <v>1</v>
      </c>
      <c r="AB23" s="1577">
        <f t="shared" si="4"/>
        <v>1</v>
      </c>
      <c r="AC23" s="1577">
        <f t="shared" si="5"/>
        <v>1</v>
      </c>
    </row>
    <row r="24" spans="1:29" ht="15">
      <c r="A24" s="532"/>
      <c r="B24" s="595"/>
      <c r="C24" s="576" t="s">
        <v>3001</v>
      </c>
      <c r="D24" s="555"/>
      <c r="E24" s="556" t="s">
        <v>3001</v>
      </c>
      <c r="F24" s="557"/>
      <c r="G24" s="558" t="s">
        <v>3001</v>
      </c>
      <c r="H24" s="555"/>
      <c r="I24" s="556" t="s">
        <v>3001</v>
      </c>
      <c r="J24" s="555"/>
      <c r="K24" s="870"/>
      <c r="L24" s="2142"/>
      <c r="M24" s="2134"/>
      <c r="N24" s="2134"/>
      <c r="O24" s="2141"/>
      <c r="P24" s="3400"/>
      <c r="Q24" s="1573"/>
      <c r="R24" s="1574"/>
      <c r="S24" s="1575"/>
      <c r="T24" s="1574"/>
      <c r="U24" s="1575"/>
      <c r="V24" s="1574"/>
      <c r="W24" s="1575"/>
      <c r="X24" s="1568"/>
      <c r="Y24" s="3400"/>
      <c r="Z24" s="1576"/>
      <c r="AA24" s="1577">
        <v>1</v>
      </c>
      <c r="AB24" s="1577">
        <v>1</v>
      </c>
      <c r="AC24" s="1577">
        <v>1</v>
      </c>
    </row>
    <row r="25" spans="1:29" ht="15">
      <c r="A25" s="532"/>
      <c r="B25" s="1897" t="s">
        <v>2259</v>
      </c>
      <c r="C25" s="574"/>
      <c r="D25" s="540">
        <v>100</v>
      </c>
      <c r="E25" s="874"/>
      <c r="F25" s="575">
        <f>SUMIF(86:86,E25,87:87)-SUMIF(86:86,C25,87:87)+100</f>
        <v>100</v>
      </c>
      <c r="G25" s="599"/>
      <c r="H25" s="540">
        <f>SUMIF(86:86,G25,87:87)-SUMIF(86:86,C25,87:87)+100</f>
        <v>100</v>
      </c>
      <c r="I25" s="874"/>
      <c r="J25" s="540">
        <f>SUMIF(86:86,I25,87:87)-SUMIF(86:86,C25,87:87)+100</f>
        <v>100</v>
      </c>
      <c r="K25" s="864"/>
      <c r="L25" s="2142"/>
      <c r="M25" s="2134"/>
      <c r="N25" s="2134"/>
      <c r="O25" s="2141"/>
      <c r="P25" s="3400"/>
      <c r="Q25" s="1573" t="str">
        <f t="shared" ref="Q25:Q46" si="11">B25</f>
        <v>楼层-1</v>
      </c>
      <c r="R25" s="1574" t="s">
        <v>11</v>
      </c>
      <c r="S25" s="1575">
        <f>F25</f>
        <v>100</v>
      </c>
      <c r="T25" s="1574" t="s">
        <v>11</v>
      </c>
      <c r="U25" s="1575">
        <f>H25</f>
        <v>100</v>
      </c>
      <c r="V25" s="1574" t="s">
        <v>11</v>
      </c>
      <c r="W25" s="1575">
        <f>J25</f>
        <v>100</v>
      </c>
      <c r="X25" s="1568"/>
      <c r="Y25" s="3400"/>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400"/>
      <c r="Q26" s="1573" t="str">
        <f t="shared" si="11"/>
        <v>朝向</v>
      </c>
      <c r="R26" s="1574" t="s">
        <v>11</v>
      </c>
      <c r="S26" s="1575">
        <f>F26</f>
        <v>100</v>
      </c>
      <c r="T26" s="1574" t="s">
        <v>11</v>
      </c>
      <c r="U26" s="1575">
        <f>H26</f>
        <v>100</v>
      </c>
      <c r="V26" s="1574" t="s">
        <v>11</v>
      </c>
      <c r="W26" s="1575">
        <f>J26</f>
        <v>100</v>
      </c>
      <c r="X26" s="1568"/>
      <c r="Y26" s="3400"/>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5"/>
      <c r="M27" s="2136"/>
      <c r="N27" s="2136"/>
      <c r="O27" s="2137"/>
      <c r="P27" s="3400"/>
      <c r="Q27" s="1151" t="str">
        <f t="shared" si="11"/>
        <v>道路级别</v>
      </c>
      <c r="R27" s="1569" t="s">
        <v>11</v>
      </c>
      <c r="S27" s="1570">
        <f>F27</f>
        <v>100</v>
      </c>
      <c r="T27" s="1569" t="s">
        <v>11</v>
      </c>
      <c r="U27" s="1570">
        <f>H27</f>
        <v>100</v>
      </c>
      <c r="V27" s="1569" t="s">
        <v>11</v>
      </c>
      <c r="W27" s="1570">
        <f>J27</f>
        <v>100</v>
      </c>
      <c r="X27" s="1571"/>
      <c r="Y27" s="3400"/>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400"/>
      <c r="Q28" s="1573">
        <f t="shared" si="11"/>
        <v>111</v>
      </c>
      <c r="R28" s="1574" t="s">
        <v>11</v>
      </c>
      <c r="S28" s="1575">
        <f t="shared" ref="S28:S46" si="12">F28</f>
        <v>100</v>
      </c>
      <c r="T28" s="1574" t="s">
        <v>11</v>
      </c>
      <c r="U28" s="1575">
        <f t="shared" ref="U28:U46" si="13">H28</f>
        <v>100</v>
      </c>
      <c r="V28" s="1574" t="s">
        <v>11</v>
      </c>
      <c r="W28" s="1575">
        <f t="shared" ref="W28:W46" si="14">J28</f>
        <v>100</v>
      </c>
      <c r="X28" s="1568"/>
      <c r="Y28" s="3400"/>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400"/>
      <c r="Q29" s="1573">
        <f t="shared" si="11"/>
        <v>111</v>
      </c>
      <c r="R29" s="1574" t="s">
        <v>11</v>
      </c>
      <c r="S29" s="1575">
        <f t="shared" si="12"/>
        <v>100</v>
      </c>
      <c r="T29" s="1574" t="s">
        <v>11</v>
      </c>
      <c r="U29" s="1575">
        <f t="shared" si="13"/>
        <v>100</v>
      </c>
      <c r="V29" s="1574" t="s">
        <v>11</v>
      </c>
      <c r="W29" s="1575">
        <f t="shared" si="14"/>
        <v>100</v>
      </c>
      <c r="X29" s="1568"/>
      <c r="Y29" s="340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400"/>
      <c r="Q30" s="1573">
        <f t="shared" si="11"/>
        <v>111</v>
      </c>
      <c r="R30" s="1574" t="s">
        <v>11</v>
      </c>
      <c r="S30" s="1575">
        <f t="shared" si="12"/>
        <v>100</v>
      </c>
      <c r="T30" s="1574" t="s">
        <v>11</v>
      </c>
      <c r="U30" s="1575">
        <f t="shared" si="13"/>
        <v>100</v>
      </c>
      <c r="V30" s="1574" t="s">
        <v>11</v>
      </c>
      <c r="W30" s="1575">
        <f t="shared" si="14"/>
        <v>100</v>
      </c>
      <c r="X30" s="1568"/>
      <c r="Y30" s="3400"/>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400"/>
      <c r="Q31" s="1573">
        <f t="shared" si="11"/>
        <v>111</v>
      </c>
      <c r="R31" s="1574" t="s">
        <v>11</v>
      </c>
      <c r="S31" s="1575">
        <f t="shared" si="12"/>
        <v>100</v>
      </c>
      <c r="T31" s="1574" t="s">
        <v>11</v>
      </c>
      <c r="U31" s="1575">
        <f t="shared" si="13"/>
        <v>100</v>
      </c>
      <c r="V31" s="1574" t="s">
        <v>11</v>
      </c>
      <c r="W31" s="1575">
        <f t="shared" si="14"/>
        <v>100</v>
      </c>
      <c r="X31" s="1568"/>
      <c r="Y31" s="3400"/>
      <c r="Z31" s="1576">
        <f t="shared" si="15"/>
        <v>111</v>
      </c>
      <c r="AA31" s="1577">
        <f t="shared" si="3"/>
        <v>1</v>
      </c>
      <c r="AB31" s="1577">
        <f t="shared" si="4"/>
        <v>1</v>
      </c>
      <c r="AC31" s="1577">
        <f t="shared" si="5"/>
        <v>1</v>
      </c>
    </row>
    <row r="32" spans="1:29" ht="15">
      <c r="A32" s="2907" t="s">
        <v>2758</v>
      </c>
      <c r="B32" s="172" t="s">
        <v>725</v>
      </c>
      <c r="C32" s="878" t="s">
        <v>3024</v>
      </c>
      <c r="D32" s="597">
        <v>100</v>
      </c>
      <c r="E32" s="879" t="s">
        <v>3024</v>
      </c>
      <c r="F32" s="575">
        <f>SUMIF(100:100,E32,101:101)-SUMIF(100:100,C32,101:101)+100</f>
        <v>100</v>
      </c>
      <c r="G32" s="878" t="s">
        <v>3026</v>
      </c>
      <c r="H32" s="597">
        <f>SUMIF(100:100,G32,101:101)-SUMIF(100:100,C32,101:101)+100</f>
        <v>106</v>
      </c>
      <c r="I32" s="879" t="s">
        <v>3024</v>
      </c>
      <c r="J32" s="540">
        <f>SUMIF(100:100,I32,101:101)-SUMIF(100:100,C32,101:101)+100</f>
        <v>100</v>
      </c>
      <c r="K32" s="864">
        <v>3</v>
      </c>
      <c r="L32" s="2142"/>
      <c r="M32" s="2134"/>
      <c r="N32" s="2134"/>
      <c r="O32" s="2141"/>
      <c r="P32" s="3401" t="s">
        <v>550</v>
      </c>
      <c r="Q32" s="1573" t="str">
        <f t="shared" si="11"/>
        <v>建筑类型</v>
      </c>
      <c r="R32" s="1574" t="s">
        <v>11</v>
      </c>
      <c r="S32" s="1575">
        <f t="shared" si="12"/>
        <v>100</v>
      </c>
      <c r="T32" s="1574" t="s">
        <v>11</v>
      </c>
      <c r="U32" s="1575">
        <f t="shared" si="13"/>
        <v>106</v>
      </c>
      <c r="V32" s="1574" t="s">
        <v>11</v>
      </c>
      <c r="W32" s="1575">
        <f t="shared" si="14"/>
        <v>100</v>
      </c>
      <c r="X32" s="1568"/>
      <c r="Y32" s="3402" t="s">
        <v>550</v>
      </c>
      <c r="Z32" s="1576" t="str">
        <f t="shared" si="15"/>
        <v>建筑类型</v>
      </c>
      <c r="AA32" s="1577">
        <f t="shared" si="3"/>
        <v>1</v>
      </c>
      <c r="AB32" s="1577">
        <f t="shared" si="4"/>
        <v>0.94339622641509435</v>
      </c>
      <c r="AC32" s="1577">
        <f t="shared" si="5"/>
        <v>1</v>
      </c>
    </row>
    <row r="33" spans="1:29" s="1339" customFormat="1" ht="15">
      <c r="A33" s="603"/>
      <c r="B33" s="527" t="s">
        <v>726</v>
      </c>
      <c r="C33" s="880">
        <v>100</v>
      </c>
      <c r="D33" s="255">
        <v>100</v>
      </c>
      <c r="E33" s="534">
        <v>100</v>
      </c>
      <c r="F33" s="863">
        <f>LOOKUP(E33,103:103,104:104)-LOOKUP(C33,103:103,104:104)+100</f>
        <v>100</v>
      </c>
      <c r="G33" s="533">
        <v>120</v>
      </c>
      <c r="H33" s="255">
        <f>LOOKUP(G33,103:103,104:104)-LOOKUP(C33,103:103,104:104)+100</f>
        <v>98</v>
      </c>
      <c r="I33" s="534">
        <v>100</v>
      </c>
      <c r="J33" s="255">
        <f>LOOKUP(I33,103:103,104:104)-LOOKUP(C33,103:103,104:104)+100</f>
        <v>100</v>
      </c>
      <c r="K33" s="865"/>
      <c r="L33" s="2140"/>
      <c r="M33" s="2171"/>
      <c r="N33" s="2171"/>
      <c r="O33" s="2143"/>
      <c r="P33" s="3402"/>
      <c r="Q33" s="1606" t="str">
        <f t="shared" si="11"/>
        <v>项目建筑规模</v>
      </c>
      <c r="R33" s="1578" t="s">
        <v>11</v>
      </c>
      <c r="S33" s="1579">
        <f t="shared" si="12"/>
        <v>100</v>
      </c>
      <c r="T33" s="1578" t="s">
        <v>11</v>
      </c>
      <c r="U33" s="1579">
        <f t="shared" si="13"/>
        <v>98</v>
      </c>
      <c r="V33" s="1578" t="s">
        <v>11</v>
      </c>
      <c r="W33" s="1579">
        <f t="shared" si="14"/>
        <v>100</v>
      </c>
      <c r="X33" s="1580"/>
      <c r="Y33" s="3402"/>
      <c r="Z33" s="1581" t="str">
        <f t="shared" si="15"/>
        <v>项目建筑规模</v>
      </c>
      <c r="AA33" s="1577">
        <f t="shared" si="3"/>
        <v>1</v>
      </c>
      <c r="AB33" s="1577">
        <f t="shared" si="4"/>
        <v>1.0204081632653061</v>
      </c>
      <c r="AC33" s="1577">
        <f t="shared" si="5"/>
        <v>1</v>
      </c>
    </row>
    <row r="34" spans="1:29" ht="15">
      <c r="A34" s="594"/>
      <c r="B34" s="527" t="s">
        <v>727</v>
      </c>
      <c r="C34" s="881" t="s">
        <v>2994</v>
      </c>
      <c r="D34" s="540">
        <v>100</v>
      </c>
      <c r="E34" s="882" t="s">
        <v>2994</v>
      </c>
      <c r="F34" s="575">
        <f>SUMIF(105:105,E34,106:106)-SUMIF(105:105,C34,106:106)+100</f>
        <v>100</v>
      </c>
      <c r="G34" s="881" t="s">
        <v>2994</v>
      </c>
      <c r="H34" s="540">
        <f>SUMIF(105:105,G34,106:106)-SUMIF(105:105,C34,106:106)+100</f>
        <v>100</v>
      </c>
      <c r="I34" s="882" t="s">
        <v>2994</v>
      </c>
      <c r="J34" s="540">
        <f>SUMIF(105:105,I34,106:106)-SUMIF(105:105,C34,106:106)+100</f>
        <v>100</v>
      </c>
      <c r="K34" s="864">
        <v>2</v>
      </c>
      <c r="L34" s="2142"/>
      <c r="M34" s="2134"/>
      <c r="N34" s="2134"/>
      <c r="O34" s="2141"/>
      <c r="P34" s="3402"/>
      <c r="Q34" s="1573" t="str">
        <f t="shared" si="11"/>
        <v>建筑结构</v>
      </c>
      <c r="R34" s="1574" t="s">
        <v>11</v>
      </c>
      <c r="S34" s="1575">
        <f t="shared" si="12"/>
        <v>100</v>
      </c>
      <c r="T34" s="1574" t="s">
        <v>11</v>
      </c>
      <c r="U34" s="1575">
        <f t="shared" si="13"/>
        <v>100</v>
      </c>
      <c r="V34" s="1574" t="s">
        <v>11</v>
      </c>
      <c r="W34" s="1575">
        <f t="shared" si="14"/>
        <v>100</v>
      </c>
      <c r="X34" s="1568"/>
      <c r="Y34" s="3402"/>
      <c r="Z34" s="1576" t="str">
        <f t="shared" si="15"/>
        <v>建筑结构</v>
      </c>
      <c r="AA34" s="1577">
        <f t="shared" si="3"/>
        <v>1</v>
      </c>
      <c r="AB34" s="1577">
        <f t="shared" si="4"/>
        <v>1</v>
      </c>
      <c r="AC34" s="157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3002</v>
      </c>
      <c r="J35" s="540">
        <f>SUMIF(107:107,I35,108:108)-SUMIF(107:107,C35,108:108)+100</f>
        <v>103</v>
      </c>
      <c r="K35" s="864">
        <v>3</v>
      </c>
      <c r="L35" s="2142"/>
      <c r="M35" s="2134"/>
      <c r="N35" s="2134"/>
      <c r="O35" s="2141"/>
      <c r="P35" s="3402"/>
      <c r="Q35" s="1573" t="str">
        <f t="shared" si="11"/>
        <v>建筑品质</v>
      </c>
      <c r="R35" s="1574" t="s">
        <v>11</v>
      </c>
      <c r="S35" s="1575">
        <f t="shared" si="12"/>
        <v>100</v>
      </c>
      <c r="T35" s="1574" t="s">
        <v>11</v>
      </c>
      <c r="U35" s="1575">
        <f t="shared" si="13"/>
        <v>100</v>
      </c>
      <c r="V35" s="1574" t="s">
        <v>11</v>
      </c>
      <c r="W35" s="1575">
        <f t="shared" si="14"/>
        <v>103</v>
      </c>
      <c r="X35" s="1568"/>
      <c r="Y35" s="3402"/>
      <c r="Z35" s="1576" t="str">
        <f t="shared" si="15"/>
        <v>建筑品质</v>
      </c>
      <c r="AA35" s="1577">
        <f t="shared" si="3"/>
        <v>1</v>
      </c>
      <c r="AB35" s="1577">
        <f t="shared" si="4"/>
        <v>1</v>
      </c>
      <c r="AC35" s="1577">
        <f t="shared" si="5"/>
        <v>0.970873786407767</v>
      </c>
    </row>
    <row r="36" spans="1:29" ht="15">
      <c r="A36" s="594"/>
      <c r="B36" s="527" t="s">
        <v>729</v>
      </c>
      <c r="C36" s="599" t="s">
        <v>3008</v>
      </c>
      <c r="D36" s="540">
        <v>100</v>
      </c>
      <c r="E36" s="874" t="s">
        <v>3008</v>
      </c>
      <c r="F36" s="575">
        <f>SUMIF(109:109,E36,110:110)-SUMIF(109:109,C36,110:110)+100</f>
        <v>100</v>
      </c>
      <c r="G36" s="599" t="s">
        <v>3008</v>
      </c>
      <c r="H36" s="540">
        <f>SUMIF(109:109,G36,110:110)-SUMIF(109:109,C36,110:110)+100</f>
        <v>100</v>
      </c>
      <c r="I36" s="874" t="s">
        <v>3008</v>
      </c>
      <c r="J36" s="540">
        <f>SUMIF(109:109,I36,110:110)-SUMIF(109:109,C36,110:110)+100</f>
        <v>100</v>
      </c>
      <c r="K36" s="864"/>
      <c r="L36" s="2142"/>
      <c r="M36" s="2134"/>
      <c r="N36" s="2134"/>
      <c r="O36" s="2141"/>
      <c r="P36" s="3402"/>
      <c r="Q36" s="1573" t="str">
        <f t="shared" si="11"/>
        <v>公共部分装修</v>
      </c>
      <c r="R36" s="1574" t="s">
        <v>11</v>
      </c>
      <c r="S36" s="1575">
        <f t="shared" si="12"/>
        <v>100</v>
      </c>
      <c r="T36" s="1574" t="s">
        <v>11</v>
      </c>
      <c r="U36" s="1575">
        <f t="shared" si="13"/>
        <v>100</v>
      </c>
      <c r="V36" s="1574" t="s">
        <v>11</v>
      </c>
      <c r="W36" s="1575">
        <f t="shared" si="14"/>
        <v>100</v>
      </c>
      <c r="X36" s="1568"/>
      <c r="Y36" s="3402"/>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35"/>
      <c r="M37" s="2136"/>
      <c r="N37" s="2136"/>
      <c r="O37" s="2137"/>
      <c r="P37" s="3402"/>
      <c r="Q37" s="1151" t="str">
        <f t="shared" si="11"/>
        <v>成新度</v>
      </c>
      <c r="R37" s="1569" t="s">
        <v>11</v>
      </c>
      <c r="S37" s="1570">
        <f t="shared" si="12"/>
        <v>100</v>
      </c>
      <c r="T37" s="1569" t="s">
        <v>11</v>
      </c>
      <c r="U37" s="1570">
        <f t="shared" si="13"/>
        <v>100</v>
      </c>
      <c r="V37" s="1569" t="s">
        <v>11</v>
      </c>
      <c r="W37" s="1570">
        <f t="shared" si="14"/>
        <v>100</v>
      </c>
      <c r="X37" s="1571"/>
      <c r="Y37" s="3402"/>
      <c r="Z37" s="1150" t="str">
        <f t="shared" si="15"/>
        <v>成新度</v>
      </c>
      <c r="AA37" s="1572">
        <f t="shared" si="3"/>
        <v>1</v>
      </c>
      <c r="AB37" s="1572">
        <f t="shared" si="4"/>
        <v>1</v>
      </c>
      <c r="AC37" s="1572">
        <f t="shared" si="5"/>
        <v>1</v>
      </c>
    </row>
    <row r="38" spans="1:29" ht="15">
      <c r="A38" s="594"/>
      <c r="B38" s="527" t="s">
        <v>731</v>
      </c>
      <c r="C38" s="599" t="s">
        <v>3014</v>
      </c>
      <c r="D38" s="540">
        <v>100</v>
      </c>
      <c r="E38" s="874" t="s">
        <v>3014</v>
      </c>
      <c r="F38" s="575">
        <f>SUMIF(114:114,E38,115:115)-SUMIF(114:114,C38,115:115)+100</f>
        <v>100</v>
      </c>
      <c r="G38" s="599" t="s">
        <v>3014</v>
      </c>
      <c r="H38" s="540">
        <f>SUMIF(114:114,G38,115:115)-SUMIF(114:114,C38,115:115)+100</f>
        <v>100</v>
      </c>
      <c r="I38" s="874" t="s">
        <v>3014</v>
      </c>
      <c r="J38" s="540">
        <f>SUMIF(114:114,I38,115:115)-SUMIF(114:114,C38,115:115)+100</f>
        <v>100</v>
      </c>
      <c r="K38" s="864">
        <v>2</v>
      </c>
      <c r="L38" s="2142"/>
      <c r="M38" s="2134"/>
      <c r="N38" s="2134"/>
      <c r="O38" s="2141"/>
      <c r="P38" s="3402" t="s">
        <v>550</v>
      </c>
      <c r="Q38" s="1573" t="str">
        <f t="shared" si="11"/>
        <v>物业管理</v>
      </c>
      <c r="R38" s="1574" t="s">
        <v>11</v>
      </c>
      <c r="S38" s="1575">
        <f t="shared" si="12"/>
        <v>100</v>
      </c>
      <c r="T38" s="1574" t="s">
        <v>11</v>
      </c>
      <c r="U38" s="1575">
        <f t="shared" si="13"/>
        <v>100</v>
      </c>
      <c r="V38" s="1574" t="s">
        <v>11</v>
      </c>
      <c r="W38" s="1575">
        <f t="shared" si="14"/>
        <v>100</v>
      </c>
      <c r="X38" s="1568"/>
      <c r="Y38" s="3402" t="s">
        <v>550</v>
      </c>
      <c r="Z38" s="1576" t="str">
        <f t="shared" si="15"/>
        <v>物业管理</v>
      </c>
      <c r="AA38" s="1577">
        <f t="shared" si="3"/>
        <v>1</v>
      </c>
      <c r="AB38" s="1577">
        <f t="shared" si="4"/>
        <v>1</v>
      </c>
      <c r="AC38" s="1577">
        <f t="shared" si="5"/>
        <v>1</v>
      </c>
    </row>
    <row r="39" spans="1:29" ht="15">
      <c r="A39" s="594"/>
      <c r="B39" s="1897" t="s">
        <v>2567</v>
      </c>
      <c r="C39" s="599" t="s">
        <v>3007</v>
      </c>
      <c r="D39" s="540">
        <v>100</v>
      </c>
      <c r="E39" s="874" t="s">
        <v>3007</v>
      </c>
      <c r="F39" s="575">
        <f>SUMIF(116:116,E39,117:117)-SUMIF(116:116,C39,117:117)+100</f>
        <v>100</v>
      </c>
      <c r="G39" s="599" t="s">
        <v>3007</v>
      </c>
      <c r="H39" s="540">
        <f>SUMIF(116:116,G39,117:117)-SUMIF(116:116,C39,117:117)+100</f>
        <v>100</v>
      </c>
      <c r="I39" s="874" t="s">
        <v>3007</v>
      </c>
      <c r="J39" s="540">
        <f>SUMIF(116:116,I39,117:117)-SUMIF(116:116,C39,117:117)+100</f>
        <v>100</v>
      </c>
      <c r="K39" s="864">
        <v>1</v>
      </c>
      <c r="L39" s="2142"/>
      <c r="M39" s="2134"/>
      <c r="N39" s="2134"/>
      <c r="O39" s="2141"/>
      <c r="P39" s="3402"/>
      <c r="Q39" s="1573" t="str">
        <f t="shared" si="11"/>
        <v>市政基础设施</v>
      </c>
      <c r="R39" s="1574" t="s">
        <v>11</v>
      </c>
      <c r="S39" s="1575">
        <f t="shared" si="12"/>
        <v>100</v>
      </c>
      <c r="T39" s="1574" t="s">
        <v>11</v>
      </c>
      <c r="U39" s="1575">
        <f t="shared" si="13"/>
        <v>100</v>
      </c>
      <c r="V39" s="1574" t="s">
        <v>11</v>
      </c>
      <c r="W39" s="1575">
        <f t="shared" si="14"/>
        <v>100</v>
      </c>
      <c r="X39" s="1568"/>
      <c r="Y39" s="3402"/>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2"/>
      <c r="M40" s="2134"/>
      <c r="N40" s="2134"/>
      <c r="O40" s="2141"/>
      <c r="P40" s="3402"/>
      <c r="Q40" s="1573" t="str">
        <f t="shared" si="11"/>
        <v>房型</v>
      </c>
      <c r="R40" s="1574" t="s">
        <v>11</v>
      </c>
      <c r="S40" s="1575">
        <f t="shared" si="12"/>
        <v>100</v>
      </c>
      <c r="T40" s="1574" t="s">
        <v>11</v>
      </c>
      <c r="U40" s="1575">
        <f t="shared" si="13"/>
        <v>100</v>
      </c>
      <c r="V40" s="1574" t="s">
        <v>11</v>
      </c>
      <c r="W40" s="1575">
        <f t="shared" si="14"/>
        <v>100</v>
      </c>
      <c r="X40" s="1568"/>
      <c r="Y40" s="3402"/>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0"/>
      <c r="M41" s="2171"/>
      <c r="N41" s="2171"/>
      <c r="O41" s="2143"/>
      <c r="P41" s="3402"/>
      <c r="Q41" s="1606" t="str">
        <f t="shared" si="11"/>
        <v>单套/主力户型建筑面积</v>
      </c>
      <c r="R41" s="1578" t="s">
        <v>11</v>
      </c>
      <c r="S41" s="1579">
        <f t="shared" si="12"/>
        <v>100</v>
      </c>
      <c r="T41" s="1578" t="s">
        <v>11</v>
      </c>
      <c r="U41" s="1579">
        <f t="shared" si="13"/>
        <v>100</v>
      </c>
      <c r="V41" s="1578" t="s">
        <v>11</v>
      </c>
      <c r="W41" s="1579">
        <f t="shared" si="14"/>
        <v>100</v>
      </c>
      <c r="X41" s="1580"/>
      <c r="Y41" s="3402"/>
      <c r="Z41" s="1581" t="str">
        <f t="shared" si="15"/>
        <v>单套/主力户型建筑面积</v>
      </c>
      <c r="AA41" s="1577">
        <f t="shared" si="3"/>
        <v>1</v>
      </c>
      <c r="AB41" s="1577">
        <f t="shared" si="4"/>
        <v>1</v>
      </c>
      <c r="AC41" s="1577">
        <f t="shared" si="5"/>
        <v>1</v>
      </c>
    </row>
    <row r="42" spans="1:29" ht="15">
      <c r="A42" s="594"/>
      <c r="B42" s="527" t="s">
        <v>734</v>
      </c>
      <c r="C42" s="599" t="s">
        <v>3010</v>
      </c>
      <c r="D42" s="540">
        <v>100</v>
      </c>
      <c r="E42" s="874" t="s">
        <v>3010</v>
      </c>
      <c r="F42" s="575">
        <f>SUMIF(122:122,E42,123:123)-SUMIF(122:122,C42,123:123)+100</f>
        <v>100</v>
      </c>
      <c r="G42" s="599" t="s">
        <v>3010</v>
      </c>
      <c r="H42" s="540">
        <f>SUMIF(122:122,G42,123:123)-SUMIF(122:122,C42,123:123)+100</f>
        <v>100</v>
      </c>
      <c r="I42" s="874" t="s">
        <v>3008</v>
      </c>
      <c r="J42" s="540">
        <f>SUMIF(122:122,I42,123:123)-SUMIF(122:122,C42,123:123)+100</f>
        <v>109</v>
      </c>
      <c r="K42" s="864">
        <v>3</v>
      </c>
      <c r="L42" s="2142"/>
      <c r="M42" s="2134"/>
      <c r="N42" s="2134"/>
      <c r="O42" s="2141"/>
      <c r="P42" s="3402"/>
      <c r="Q42" s="1573" t="str">
        <f t="shared" si="11"/>
        <v>内部装修</v>
      </c>
      <c r="R42" s="1574" t="s">
        <v>11</v>
      </c>
      <c r="S42" s="1575">
        <f t="shared" si="12"/>
        <v>100</v>
      </c>
      <c r="T42" s="1574" t="s">
        <v>11</v>
      </c>
      <c r="U42" s="1575">
        <f t="shared" si="13"/>
        <v>100</v>
      </c>
      <c r="V42" s="1574" t="s">
        <v>11</v>
      </c>
      <c r="W42" s="1575">
        <f t="shared" si="14"/>
        <v>109</v>
      </c>
      <c r="X42" s="1568"/>
      <c r="Y42" s="3402"/>
      <c r="Z42" s="1576" t="str">
        <f t="shared" si="15"/>
        <v>内部装修</v>
      </c>
      <c r="AA42" s="1577">
        <f t="shared" si="3"/>
        <v>1</v>
      </c>
      <c r="AB42" s="1577">
        <f t="shared" si="4"/>
        <v>1</v>
      </c>
      <c r="AC42" s="1577">
        <f t="shared" si="5"/>
        <v>0.91743119266055051</v>
      </c>
    </row>
    <row r="43" spans="1:29" ht="27">
      <c r="A43" s="594"/>
      <c r="B43" s="527" t="s">
        <v>735</v>
      </c>
      <c r="C43" s="599" t="s">
        <v>3000</v>
      </c>
      <c r="D43" s="540">
        <v>100</v>
      </c>
      <c r="E43" s="874" t="s">
        <v>3000</v>
      </c>
      <c r="F43" s="575">
        <f>SUMIF(124:124,E43,125:125)-SUMIF(124:124,C43,125:125)+100</f>
        <v>100</v>
      </c>
      <c r="G43" s="599" t="s">
        <v>3000</v>
      </c>
      <c r="H43" s="540">
        <f>SUMIF(124:124,G43,125:125)-SUMIF(124:124,C43,125:125)+100</f>
        <v>100</v>
      </c>
      <c r="I43" s="874" t="s">
        <v>3000</v>
      </c>
      <c r="J43" s="540">
        <f>SUMIF(124:124,I43,125:125)-SUMIF(124:124,C43,125:125)+100</f>
        <v>100</v>
      </c>
      <c r="K43" s="864">
        <v>2</v>
      </c>
      <c r="L43" s="2142"/>
      <c r="M43" s="2134"/>
      <c r="N43" s="2134"/>
      <c r="O43" s="2141"/>
      <c r="P43" s="3402"/>
      <c r="Q43" s="1573" t="str">
        <f t="shared" si="11"/>
        <v>内部装修维护情况</v>
      </c>
      <c r="R43" s="1574" t="s">
        <v>11</v>
      </c>
      <c r="S43" s="1575">
        <f t="shared" si="12"/>
        <v>100</v>
      </c>
      <c r="T43" s="1574" t="s">
        <v>11</v>
      </c>
      <c r="U43" s="1575">
        <f t="shared" si="13"/>
        <v>100</v>
      </c>
      <c r="V43" s="1574" t="s">
        <v>11</v>
      </c>
      <c r="W43" s="1575">
        <f t="shared" si="14"/>
        <v>100</v>
      </c>
      <c r="X43" s="1568"/>
      <c r="Y43" s="340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402"/>
      <c r="Q44" s="1151">
        <f t="shared" si="11"/>
        <v>111</v>
      </c>
      <c r="R44" s="1569" t="s">
        <v>11</v>
      </c>
      <c r="S44" s="1570">
        <f t="shared" si="12"/>
        <v>100</v>
      </c>
      <c r="T44" s="1569" t="s">
        <v>11</v>
      </c>
      <c r="U44" s="1570">
        <f t="shared" si="13"/>
        <v>100</v>
      </c>
      <c r="V44" s="1569" t="s">
        <v>11</v>
      </c>
      <c r="W44" s="1570">
        <f t="shared" si="14"/>
        <v>100</v>
      </c>
      <c r="X44" s="1571"/>
      <c r="Y44" s="340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402"/>
      <c r="Q45" s="1573">
        <f t="shared" si="11"/>
        <v>111</v>
      </c>
      <c r="R45" s="1574" t="s">
        <v>11</v>
      </c>
      <c r="S45" s="1575">
        <f t="shared" si="12"/>
        <v>100</v>
      </c>
      <c r="T45" s="1574" t="s">
        <v>11</v>
      </c>
      <c r="U45" s="1575">
        <f t="shared" si="13"/>
        <v>100</v>
      </c>
      <c r="V45" s="1574" t="s">
        <v>11</v>
      </c>
      <c r="W45" s="1575">
        <f t="shared" si="14"/>
        <v>100</v>
      </c>
      <c r="X45" s="1568"/>
      <c r="Y45" s="3402"/>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80"/>
      <c r="Q46" s="1573">
        <f t="shared" si="11"/>
        <v>111</v>
      </c>
      <c r="R46" s="1574" t="s">
        <v>10</v>
      </c>
      <c r="S46" s="1575">
        <f t="shared" si="12"/>
        <v>100</v>
      </c>
      <c r="T46" s="1574" t="s">
        <v>10</v>
      </c>
      <c r="U46" s="1575">
        <f t="shared" si="13"/>
        <v>100</v>
      </c>
      <c r="V46" s="1574" t="s">
        <v>10</v>
      </c>
      <c r="W46" s="1575">
        <f t="shared" si="14"/>
        <v>100</v>
      </c>
      <c r="X46" s="1568"/>
      <c r="Y46" s="3480"/>
      <c r="Z46" s="1576">
        <f t="shared" si="15"/>
        <v>111</v>
      </c>
      <c r="AA46" s="1577">
        <f t="shared" si="3"/>
        <v>1</v>
      </c>
      <c r="AB46" s="1577">
        <f t="shared" si="4"/>
        <v>1</v>
      </c>
      <c r="AC46" s="1577">
        <f t="shared" si="5"/>
        <v>1</v>
      </c>
    </row>
    <row r="47" spans="1:29" ht="15">
      <c r="A47" s="607" t="s">
        <v>736</v>
      </c>
      <c r="B47" s="887"/>
      <c r="C47" s="2627" t="s">
        <v>9</v>
      </c>
      <c r="D47" s="2628"/>
      <c r="E47" s="2629">
        <v>5000</v>
      </c>
      <c r="F47" s="2630"/>
      <c r="G47" s="2631">
        <v>4700</v>
      </c>
      <c r="H47" s="2632"/>
      <c r="I47" s="2629">
        <v>6000</v>
      </c>
      <c r="J47" s="2632"/>
      <c r="K47" s="1607"/>
      <c r="L47" s="2144"/>
      <c r="M47" s="2145"/>
      <c r="N47" s="2134"/>
      <c r="O47" s="2145"/>
      <c r="P47" s="3365" t="str">
        <f>A47</f>
        <v>成交单价（元/平方米）</v>
      </c>
      <c r="Q47" s="3365"/>
      <c r="R47" s="3479">
        <f>E47</f>
        <v>5000</v>
      </c>
      <c r="S47" s="3479"/>
      <c r="T47" s="3479">
        <f>G47</f>
        <v>4700</v>
      </c>
      <c r="U47" s="3479"/>
      <c r="V47" s="3479">
        <f>I47</f>
        <v>6000</v>
      </c>
      <c r="W47" s="3479"/>
      <c r="X47" s="1560"/>
      <c r="Y47" s="1582"/>
      <c r="Z47" s="1560"/>
      <c r="AA47" s="1560"/>
      <c r="AB47" s="1560"/>
      <c r="AC47" s="1560"/>
    </row>
    <row r="48" spans="1:29" ht="15.75" thickBot="1">
      <c r="A48" s="615" t="s">
        <v>2763</v>
      </c>
      <c r="B48" s="888"/>
      <c r="C48" s="2633">
        <f>R49</f>
        <v>4577.1000000000004</v>
      </c>
      <c r="D48" s="2634"/>
      <c r="E48" s="2635">
        <f>R48</f>
        <v>4575.7</v>
      </c>
      <c r="F48" s="2635"/>
      <c r="G48" s="2633">
        <f>T48</f>
        <v>4264.7</v>
      </c>
      <c r="H48" s="2634"/>
      <c r="I48" s="2635">
        <f>V48</f>
        <v>4890.8</v>
      </c>
      <c r="J48" s="2634"/>
      <c r="K48" s="1608"/>
      <c r="L48" s="2144"/>
      <c r="M48" s="2145"/>
      <c r="N48" s="2145"/>
      <c r="O48" s="2145"/>
      <c r="P48" s="3365" t="str">
        <f>A48</f>
        <v>比较价格（元/平方米）</v>
      </c>
      <c r="Q48" s="3365"/>
      <c r="R48" s="3479">
        <f>IF(F1="售价",ROUND(PRODUCT(R47,AA7:AA46),0),ROUND(PRODUCT(R47,AA7:AA46),1))</f>
        <v>4575.7</v>
      </c>
      <c r="S48" s="3479"/>
      <c r="T48" s="3479">
        <f>IF(F1="售价",ROUND(PRODUCT(T47,AB7:AB46),0),ROUND(PRODUCT(T47,AB7:AB46),1))</f>
        <v>4264.7</v>
      </c>
      <c r="U48" s="3479"/>
      <c r="V48" s="3479">
        <f>IF(F1="售价",ROUND(PRODUCT(V47,AC7:AC46),0),ROUND(PRODUCT(V47,AC7:AC46),1))</f>
        <v>4890.8</v>
      </c>
      <c r="W48" s="3479"/>
      <c r="X48" s="1560"/>
      <c r="Y48" s="1560"/>
      <c r="Z48" s="1560"/>
      <c r="AA48" s="1560"/>
      <c r="AB48" s="1560"/>
      <c r="AC48" s="1560"/>
    </row>
    <row r="49" spans="1:29" ht="15.75" thickBot="1">
      <c r="A49" s="621" t="s">
        <v>2936</v>
      </c>
      <c r="B49" s="622"/>
      <c r="C49" s="2636">
        <f>R49</f>
        <v>4577.1000000000004</v>
      </c>
      <c r="D49" s="2636"/>
      <c r="E49" s="2636"/>
      <c r="F49" s="2636"/>
      <c r="G49" s="2636"/>
      <c r="H49" s="2636"/>
      <c r="I49" s="2636"/>
      <c r="J49" s="2636"/>
      <c r="K49" s="1609"/>
      <c r="L49" s="2144"/>
      <c r="M49" s="2145"/>
      <c r="N49" s="2145"/>
      <c r="O49" s="2145"/>
      <c r="P49" s="3362" t="str">
        <f>A49</f>
        <v>估价对象XX用房的比较价格（楼面单价，元/平方米）</v>
      </c>
      <c r="Q49" s="3363"/>
      <c r="R49" s="3478">
        <f>IF(F1="售价",ROUND(AVERAGE(R48:V48),0),ROUND(AVERAGE(R48:V48),1))</f>
        <v>4577.1000000000004</v>
      </c>
      <c r="S49" s="3478"/>
      <c r="T49" s="3478"/>
      <c r="U49" s="3478"/>
      <c r="V49" s="3478"/>
      <c r="W49" s="3478"/>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9.2728981358043638E-2</v>
      </c>
      <c r="F52" s="627" t="str">
        <f>IF(OR(E52&gt;=0.3,E52&lt;=-0.3),"超过30%","")</f>
        <v/>
      </c>
      <c r="G52" s="626">
        <f>IF(G47&lt;G48,G48/G47-1,G47/G48-1)</f>
        <v>0.10207048561446297</v>
      </c>
      <c r="H52" s="627" t="str">
        <f>IF(OR(G52&gt;=0.3,G52&lt;=-0.3),"超过30%","")</f>
        <v/>
      </c>
      <c r="I52" s="626">
        <f>IF(I47&lt;I48,I48/I47-1,I47/I48-1)</f>
        <v>0.22679316267277327</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7.2924238516191009E-2</v>
      </c>
      <c r="F53" s="627" t="str">
        <f>IF(OR(E53&gt;=0.2,E53&lt;=-0.2),"超过20%","")</f>
        <v/>
      </c>
      <c r="G53" s="626">
        <f>IF(G48&lt;I48,I48/G48-1,G48/I48-1)</f>
        <v>0.14680985766876931</v>
      </c>
      <c r="H53" s="627" t="str">
        <f>IF(OR(G53&gt;=0.2,G53&lt;=-0.2),"超过20%","")</f>
        <v/>
      </c>
      <c r="I53" s="626">
        <f>IF(I48&lt;E48,E48/I48-1,I48/E48-1)</f>
        <v>6.8863780405183928E-2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6.3829787234042534E-2</v>
      </c>
      <c r="F54" s="627" t="str">
        <f>IF(OR(E54&gt;=0.3,E54&lt;=-0.3),"超过30%","")</f>
        <v/>
      </c>
      <c r="G54" s="626">
        <f>IF(G47&lt;I47,I47/G47-1,G47/I47-1)</f>
        <v>0.27659574468085113</v>
      </c>
      <c r="H54" s="627" t="str">
        <f>IF(OR(G54&gt;=0.3,G54&lt;=-0.3),"超过30%","")</f>
        <v/>
      </c>
      <c r="I54" s="626">
        <f>IF(I47&lt;E47,E47/I47-1,I47/E47-1)</f>
        <v>0.19999999999999996</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5">
      <c r="A58" s="645" t="s">
        <v>529</v>
      </c>
      <c r="B58" s="646"/>
      <c r="C58" s="2804" t="str">
        <f>YEAR(C7)&amp;"-"&amp;MONTH(C7)</f>
        <v>2018-9</v>
      </c>
      <c r="D58" s="2804">
        <f>EDATE(C58,-1)</f>
        <v>43313</v>
      </c>
      <c r="E58" s="2804">
        <f t="shared" ref="E58:O58" si="16">EDATE(D58,-1)</f>
        <v>43282</v>
      </c>
      <c r="F58" s="2804">
        <f t="shared" si="16"/>
        <v>43252</v>
      </c>
      <c r="G58" s="2804">
        <f t="shared" si="16"/>
        <v>43221</v>
      </c>
      <c r="H58" s="2804">
        <f t="shared" si="16"/>
        <v>43191</v>
      </c>
      <c r="I58" s="2804">
        <f t="shared" si="16"/>
        <v>43160</v>
      </c>
      <c r="J58" s="2804">
        <f t="shared" si="16"/>
        <v>43132</v>
      </c>
      <c r="K58" s="2804">
        <f t="shared" si="16"/>
        <v>43101</v>
      </c>
      <c r="L58" s="2804">
        <f t="shared" si="16"/>
        <v>43070</v>
      </c>
      <c r="M58" s="2804">
        <f t="shared" si="16"/>
        <v>43040</v>
      </c>
      <c r="N58" s="2804">
        <f t="shared" si="16"/>
        <v>43009</v>
      </c>
      <c r="O58" s="2804">
        <f t="shared" si="16"/>
        <v>42979</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3177" t="s">
        <v>3004</v>
      </c>
      <c r="D64" s="671"/>
      <c r="E64" s="1610"/>
      <c r="F64" s="1610"/>
      <c r="G64" s="1610"/>
      <c r="H64" s="1610"/>
      <c r="I64" s="1610"/>
      <c r="J64" s="1610"/>
      <c r="K64" s="1610"/>
      <c r="L64" s="1610"/>
      <c r="M64" s="1611"/>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1（含）-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1</v>
      </c>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8" t="s">
        <v>2560</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97</v>
      </c>
      <c r="E81" s="679">
        <f>D81-$K19</f>
        <v>94</v>
      </c>
      <c r="F81" s="679">
        <f>E81-$K19</f>
        <v>91</v>
      </c>
      <c r="G81" s="679">
        <f>F81-$K19</f>
        <v>88</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2561</v>
      </c>
      <c r="C82" s="2598" t="s">
        <v>2562</v>
      </c>
      <c r="D82" s="2598" t="s">
        <v>2563</v>
      </c>
      <c r="E82" s="2598" t="s">
        <v>2564</v>
      </c>
      <c r="F82" s="2598" t="s">
        <v>2565</v>
      </c>
      <c r="G82" s="2598" t="s">
        <v>2566</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97</v>
      </c>
      <c r="E83" s="679">
        <f>D83-$K21</f>
        <v>94</v>
      </c>
      <c r="F83" s="679">
        <f>E83-$K21</f>
        <v>91</v>
      </c>
      <c r="G83" s="679">
        <f>F83-$K21</f>
        <v>88</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97</v>
      </c>
      <c r="E85" s="679">
        <f>D85-$K23</f>
        <v>94</v>
      </c>
      <c r="F85" s="679">
        <f>E85-$K23</f>
        <v>91</v>
      </c>
      <c r="G85" s="679">
        <f>F85-$K23</f>
        <v>88</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8" t="s">
        <v>2260</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747</v>
      </c>
      <c r="C100" s="3179" t="s">
        <v>3027</v>
      </c>
      <c r="D100" s="3179" t="s">
        <v>3025</v>
      </c>
      <c r="E100" s="3179" t="s">
        <v>3028</v>
      </c>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748</v>
      </c>
      <c r="C102" s="708" t="str">
        <f>C103&amp;"(含)"&amp;"-"&amp;D103</f>
        <v>0(含)-50</v>
      </c>
      <c r="D102" s="708" t="str">
        <f t="shared" ref="D102:L102" si="23">D103&amp;"(含)"&amp;"-"&amp;E103</f>
        <v>50(含)-90</v>
      </c>
      <c r="E102" s="708" t="str">
        <f t="shared" si="23"/>
        <v>90(含)-120</v>
      </c>
      <c r="F102" s="708" t="str">
        <f t="shared" si="23"/>
        <v>120(含)-150</v>
      </c>
      <c r="G102" s="708" t="str">
        <f t="shared" si="23"/>
        <v>150(含)-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50</v>
      </c>
      <c r="E103" s="730">
        <v>90</v>
      </c>
      <c r="F103" s="730">
        <v>120</v>
      </c>
      <c r="G103" s="730">
        <v>150</v>
      </c>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98</v>
      </c>
      <c r="E104" s="671">
        <v>96</v>
      </c>
      <c r="F104" s="692">
        <v>94</v>
      </c>
      <c r="G104" s="671">
        <v>92</v>
      </c>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181" t="s">
        <v>3022</v>
      </c>
      <c r="D105" s="3181" t="s">
        <v>3023</v>
      </c>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3180" t="s">
        <v>3017</v>
      </c>
      <c r="D107" s="3180" t="s">
        <v>3018</v>
      </c>
      <c r="E107" s="3180" t="s">
        <v>3019</v>
      </c>
      <c r="F107" s="3180" t="s">
        <v>3020</v>
      </c>
      <c r="G107" s="3180" t="s">
        <v>3021</v>
      </c>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97</v>
      </c>
      <c r="E108" s="679">
        <f t="shared" si="25"/>
        <v>94</v>
      </c>
      <c r="F108" s="679">
        <f t="shared" si="25"/>
        <v>91</v>
      </c>
      <c r="G108" s="679">
        <f t="shared" si="25"/>
        <v>88</v>
      </c>
      <c r="H108" s="679">
        <f t="shared" si="25"/>
        <v>85</v>
      </c>
      <c r="I108" s="679">
        <f t="shared" si="25"/>
        <v>82</v>
      </c>
      <c r="J108" s="679">
        <f t="shared" si="25"/>
        <v>79</v>
      </c>
      <c r="K108" s="679">
        <f t="shared" si="25"/>
        <v>76</v>
      </c>
      <c r="L108" s="679">
        <f t="shared" si="25"/>
        <v>73</v>
      </c>
      <c r="M108" s="679">
        <f t="shared" si="25"/>
        <v>70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3181" t="s">
        <v>3011</v>
      </c>
      <c r="D109" s="3181" t="s">
        <v>3012</v>
      </c>
      <c r="E109" s="3181" t="s">
        <v>3009</v>
      </c>
      <c r="F109" s="3180" t="s">
        <v>3029</v>
      </c>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3181" t="s">
        <v>3015</v>
      </c>
      <c r="D114" s="3181" t="s">
        <v>3016</v>
      </c>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8" t="s">
        <v>2559</v>
      </c>
      <c r="C116" s="3181" t="s">
        <v>3030</v>
      </c>
      <c r="D116" s="3181" t="s">
        <v>3031</v>
      </c>
      <c r="E116" s="3181" t="s">
        <v>3032</v>
      </c>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6"/>
      <c r="O119" s="2166"/>
      <c r="P119" s="2165"/>
      <c r="Q119" s="2158"/>
      <c r="R119" s="2145"/>
      <c r="S119" s="2145"/>
      <c r="T119" s="2145"/>
      <c r="U119" s="2145"/>
      <c r="V119" s="2145"/>
      <c r="W119" s="2145"/>
      <c r="X119" s="2145"/>
      <c r="Y119" s="2145"/>
      <c r="Z119" s="2145"/>
      <c r="AA119" s="2145"/>
      <c r="AB119" s="2145"/>
      <c r="AC119" s="2145"/>
    </row>
    <row r="120" spans="1:29" s="1339" customFormat="1" ht="28.5" thickTop="1">
      <c r="A120" s="728"/>
      <c r="B120" s="673" t="s">
        <v>733</v>
      </c>
      <c r="C120" s="688"/>
      <c r="D120" s="688"/>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c r="D121" s="671"/>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181" t="s">
        <v>3011</v>
      </c>
      <c r="D122" s="3181" t="s">
        <v>3012</v>
      </c>
      <c r="E122" s="3181" t="s">
        <v>3009</v>
      </c>
      <c r="F122" s="3180" t="s">
        <v>3013</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7" t="s">
        <v>2261</v>
      </c>
      <c r="C136" s="1918"/>
      <c r="D136" s="1918"/>
      <c r="E136" s="1918"/>
      <c r="F136" s="1918"/>
      <c r="G136" s="1918"/>
      <c r="H136" s="1918"/>
      <c r="I136" s="1918"/>
      <c r="J136" s="1918"/>
      <c r="K136" s="1919"/>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20" t="s">
        <v>2262</v>
      </c>
      <c r="C137" s="1921"/>
      <c r="D137" s="1921"/>
      <c r="E137" s="1921"/>
      <c r="F137" s="1921"/>
      <c r="G137" s="1922"/>
      <c r="H137" s="1923"/>
      <c r="I137" s="1924" t="s">
        <v>2263</v>
      </c>
      <c r="J137" s="1921"/>
      <c r="K137" s="1925"/>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6"/>
      <c r="C138" s="1927" t="s">
        <v>2264</v>
      </c>
      <c r="D138" s="1927" t="s">
        <v>2265</v>
      </c>
      <c r="E138" s="1928" t="s">
        <v>2266</v>
      </c>
      <c r="F138" s="1929" t="s">
        <v>2267</v>
      </c>
      <c r="G138" s="1927" t="s">
        <v>2268</v>
      </c>
      <c r="H138" s="1930" t="s">
        <v>2269</v>
      </c>
      <c r="I138" s="1931"/>
      <c r="J138" s="1927" t="s">
        <v>2270</v>
      </c>
      <c r="K138" s="1930" t="s">
        <v>2271</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9">
        <v>6</v>
      </c>
      <c r="C139" s="1900">
        <v>96</v>
      </c>
      <c r="D139" s="1932" t="s">
        <v>2272</v>
      </c>
      <c r="E139" s="1901">
        <v>100</v>
      </c>
      <c r="F139" s="1902">
        <v>102.5</v>
      </c>
      <c r="G139" s="1932" t="s">
        <v>2273</v>
      </c>
      <c r="H139" s="1903">
        <v>105</v>
      </c>
      <c r="I139" s="1933" t="s">
        <v>2274</v>
      </c>
      <c r="J139" s="1900">
        <v>20</v>
      </c>
      <c r="K139" s="1904">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5">
        <v>5</v>
      </c>
      <c r="C140" s="1906">
        <v>100</v>
      </c>
      <c r="D140" s="1934"/>
      <c r="E140" s="1907"/>
      <c r="F140" s="1908">
        <v>102</v>
      </c>
      <c r="G140" s="1934"/>
      <c r="H140" s="1909"/>
      <c r="I140" s="1935" t="s">
        <v>2275</v>
      </c>
      <c r="J140" s="846">
        <f>ROUNDUP((J139-1)/2,0)</f>
        <v>10</v>
      </c>
      <c r="K140" s="1910">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5">
        <v>4</v>
      </c>
      <c r="C141" s="1906">
        <v>102</v>
      </c>
      <c r="D141" s="1934"/>
      <c r="E141" s="1907"/>
      <c r="F141" s="1908">
        <v>101.5</v>
      </c>
      <c r="G141" s="1934"/>
      <c r="H141" s="1909"/>
      <c r="I141" s="1935" t="s">
        <v>2276</v>
      </c>
      <c r="J141" s="846">
        <v>1</v>
      </c>
      <c r="K141" s="1911">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5">
        <v>3</v>
      </c>
      <c r="C142" s="1906">
        <v>103</v>
      </c>
      <c r="D142" s="1934"/>
      <c r="E142" s="1907"/>
      <c r="F142" s="1908">
        <v>101</v>
      </c>
      <c r="G142" s="1934"/>
      <c r="H142" s="1909"/>
      <c r="I142" s="1935" t="s">
        <v>2277</v>
      </c>
      <c r="J142" s="846">
        <f>J139</f>
        <v>20</v>
      </c>
      <c r="K142" s="1912">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5">
        <v>2</v>
      </c>
      <c r="C143" s="1906">
        <v>100</v>
      </c>
      <c r="D143" s="1934"/>
      <c r="E143" s="1907"/>
      <c r="F143" s="1908">
        <v>100.5</v>
      </c>
      <c r="G143" s="1934"/>
      <c r="H143" s="1909"/>
      <c r="I143" s="1935" t="s">
        <v>2278</v>
      </c>
      <c r="J143" s="1906">
        <v>15</v>
      </c>
      <c r="K143" s="1911">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5">
        <v>1</v>
      </c>
      <c r="C144" s="1906">
        <v>98</v>
      </c>
      <c r="D144" s="1936" t="s">
        <v>2279</v>
      </c>
      <c r="E144" s="1907">
        <v>102</v>
      </c>
      <c r="F144" s="1913">
        <v>100</v>
      </c>
      <c r="G144" s="1936" t="s">
        <v>2279</v>
      </c>
      <c r="H144" s="1909">
        <v>105</v>
      </c>
      <c r="I144" s="1935" t="s">
        <v>2278</v>
      </c>
      <c r="J144" s="1906">
        <v>18</v>
      </c>
      <c r="K144" s="1911">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7" t="s">
        <v>2280</v>
      </c>
      <c r="C145" s="1914">
        <f>ROUND(MAX(C139:C144)/MIN(C139:C144)-1,3)</f>
        <v>7.2999999999999995E-2</v>
      </c>
      <c r="D145" s="1938"/>
      <c r="E145" s="1938"/>
      <c r="F145" s="1939" t="s">
        <v>2281</v>
      </c>
      <c r="G145" s="1940"/>
      <c r="H145" s="1941"/>
      <c r="I145" s="1942" t="s">
        <v>2278</v>
      </c>
      <c r="J145" s="1915">
        <v>8</v>
      </c>
      <c r="K145" s="1916">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61" t="s">
        <v>2290</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61" t="s">
        <v>2291</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L50" sqref="L5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0"/>
      <c r="E1" s="506"/>
      <c r="F1" s="2807"/>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#N/A</v>
      </c>
      <c r="C2" s="2127"/>
      <c r="D2" s="2127"/>
      <c r="E2" s="2061"/>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#N/A</v>
      </c>
      <c r="C3" s="852" t="s">
        <v>722</v>
      </c>
      <c r="D3" s="851">
        <f>SUMIF('数据-汇总表'!$C19:$C33,D1,'数据-汇总表'!$E19:$E33)</f>
        <v>0</v>
      </c>
      <c r="E3" s="2061"/>
      <c r="F3" s="2129"/>
      <c r="G3" s="2128"/>
      <c r="H3" s="2128"/>
      <c r="I3" s="2128"/>
      <c r="J3" s="2128"/>
      <c r="K3" s="2130"/>
      <c r="L3" s="2131"/>
      <c r="M3" s="2132"/>
      <c r="N3" s="2132"/>
      <c r="O3" s="2132"/>
      <c r="P3" s="1565"/>
      <c r="Q3" s="1565"/>
      <c r="R3" s="1565"/>
      <c r="S3" s="1565"/>
      <c r="T3" s="1565"/>
      <c r="U3" s="1565"/>
      <c r="V3" s="1565"/>
      <c r="W3" s="1565"/>
      <c r="X3" s="1565"/>
      <c r="Y3" s="1565"/>
      <c r="Z3" s="1565"/>
      <c r="AA3" s="1565"/>
      <c r="AB3" s="1565"/>
      <c r="AC3" s="428"/>
    </row>
    <row r="4" spans="1:29" ht="15">
      <c r="A4" s="512" t="s">
        <v>521</v>
      </c>
      <c r="B4" s="513"/>
      <c r="C4" s="3371" t="s">
        <v>522</v>
      </c>
      <c r="D4" s="3372"/>
      <c r="E4" s="3406" t="s">
        <v>523</v>
      </c>
      <c r="F4" s="3407"/>
      <c r="G4" s="3371" t="s">
        <v>524</v>
      </c>
      <c r="H4" s="3372"/>
      <c r="I4" s="3371" t="s">
        <v>525</v>
      </c>
      <c r="J4" s="3372"/>
      <c r="K4" s="514" t="s">
        <v>526</v>
      </c>
      <c r="L4" s="2133"/>
      <c r="M4" s="2134"/>
      <c r="N4" s="2134"/>
      <c r="O4" s="2134"/>
      <c r="P4" s="3373" t="s">
        <v>527</v>
      </c>
      <c r="Q4" s="3374"/>
      <c r="R4" s="3379" t="s">
        <v>523</v>
      </c>
      <c r="S4" s="3380"/>
      <c r="T4" s="3379" t="s">
        <v>524</v>
      </c>
      <c r="U4" s="3380"/>
      <c r="V4" s="3366" t="s">
        <v>525</v>
      </c>
      <c r="W4" s="3366"/>
      <c r="X4" s="1568"/>
      <c r="Y4" s="3379" t="s">
        <v>527</v>
      </c>
      <c r="Z4" s="3380"/>
      <c r="AA4" s="3368" t="s">
        <v>523</v>
      </c>
      <c r="AB4" s="3366" t="s">
        <v>524</v>
      </c>
      <c r="AC4" s="3368" t="s">
        <v>525</v>
      </c>
    </row>
    <row r="5" spans="1:29" ht="15">
      <c r="A5" s="515"/>
      <c r="B5" s="516"/>
      <c r="C5" s="3403" t="s">
        <v>2930</v>
      </c>
      <c r="D5" s="3388"/>
      <c r="E5" s="3408" t="s">
        <v>2931</v>
      </c>
      <c r="F5" s="3409"/>
      <c r="G5" s="3403" t="s">
        <v>2932</v>
      </c>
      <c r="H5" s="3388"/>
      <c r="I5" s="3403" t="s">
        <v>2933</v>
      </c>
      <c r="J5" s="3388"/>
      <c r="K5" s="514"/>
      <c r="L5" s="2133"/>
      <c r="M5" s="2134"/>
      <c r="N5" s="2134"/>
      <c r="O5" s="2134"/>
      <c r="P5" s="3375"/>
      <c r="Q5" s="3376"/>
      <c r="R5" s="3381"/>
      <c r="S5" s="3382"/>
      <c r="T5" s="3381"/>
      <c r="U5" s="3382"/>
      <c r="V5" s="3366"/>
      <c r="W5" s="3366"/>
      <c r="X5" s="1568"/>
      <c r="Y5" s="3381"/>
      <c r="Z5" s="3382"/>
      <c r="AA5" s="3369"/>
      <c r="AB5" s="3366"/>
      <c r="AC5" s="3369"/>
    </row>
    <row r="6" spans="1:29" ht="15.75" thickBot="1">
      <c r="A6" s="517"/>
      <c r="B6" s="518"/>
      <c r="C6" s="3385" t="s">
        <v>2934</v>
      </c>
      <c r="D6" s="3386"/>
      <c r="E6" s="3404" t="s">
        <v>2934</v>
      </c>
      <c r="F6" s="3405"/>
      <c r="G6" s="3385" t="s">
        <v>2934</v>
      </c>
      <c r="H6" s="3386"/>
      <c r="I6" s="3385" t="s">
        <v>2934</v>
      </c>
      <c r="J6" s="3386"/>
      <c r="K6" s="514" t="s">
        <v>528</v>
      </c>
      <c r="L6" s="2133"/>
      <c r="M6" s="2134"/>
      <c r="N6" s="2134"/>
      <c r="O6" s="2134"/>
      <c r="P6" s="3377"/>
      <c r="Q6" s="3378"/>
      <c r="R6" s="3381"/>
      <c r="S6" s="3382"/>
      <c r="T6" s="3383"/>
      <c r="U6" s="3384"/>
      <c r="V6" s="3366"/>
      <c r="W6" s="3366"/>
      <c r="X6" s="1568"/>
      <c r="Y6" s="3383"/>
      <c r="Z6" s="3384"/>
      <c r="AA6" s="3370"/>
      <c r="AB6" s="3366"/>
      <c r="AC6" s="3370"/>
    </row>
    <row r="7" spans="1:29" s="1220" customFormat="1" ht="15.75" thickBot="1">
      <c r="A7" s="2912"/>
      <c r="B7" s="2919" t="s">
        <v>529</v>
      </c>
      <c r="C7" s="519">
        <f>'数据-取费表'!B2</f>
        <v>43361</v>
      </c>
      <c r="D7" s="520">
        <v>100</v>
      </c>
      <c r="E7" s="521">
        <f>C7</f>
        <v>43361</v>
      </c>
      <c r="F7" s="522">
        <f>SUMIF(58:58,YEAR(E7)&amp;"-"&amp;MONTH(E7),59:59)</f>
        <v>100</v>
      </c>
      <c r="G7" s="521">
        <f>C7</f>
        <v>43361</v>
      </c>
      <c r="H7" s="520">
        <f>SUMIF(58:58,YEAR(G7)&amp;"-"&amp;MONTH(G7),59:59)</f>
        <v>100</v>
      </c>
      <c r="I7" s="521">
        <f>C7</f>
        <v>43361</v>
      </c>
      <c r="J7" s="520">
        <f>SUMIF(58:58,YEAR(I7)&amp;"-"&amp;MONTH(I7),59:59)</f>
        <v>100</v>
      </c>
      <c r="K7" s="524"/>
      <c r="L7" s="2135"/>
      <c r="M7" s="2136"/>
      <c r="N7" s="2136"/>
      <c r="O7" s="2136"/>
      <c r="P7" s="3396" t="s">
        <v>530</v>
      </c>
      <c r="Q7" s="3398"/>
      <c r="R7" s="1569" t="s">
        <v>8</v>
      </c>
      <c r="S7" s="1570">
        <f t="shared" ref="S7:S15" si="0">F7</f>
        <v>100</v>
      </c>
      <c r="T7" s="1569" t="s">
        <v>8</v>
      </c>
      <c r="U7" s="1570">
        <f t="shared" ref="U7:U15" si="1">H7</f>
        <v>100</v>
      </c>
      <c r="V7" s="1569" t="s">
        <v>8</v>
      </c>
      <c r="W7" s="1570">
        <f t="shared" ref="W7:W15" si="2">J7</f>
        <v>100</v>
      </c>
      <c r="X7" s="1571"/>
      <c r="Y7" s="3396" t="s">
        <v>530</v>
      </c>
      <c r="Z7" s="3397"/>
      <c r="AA7" s="1572">
        <f>D7/F7</f>
        <v>1</v>
      </c>
      <c r="AB7" s="1572">
        <f>D7/H7</f>
        <v>1</v>
      </c>
      <c r="AC7" s="1572">
        <f>D7/J7</f>
        <v>1</v>
      </c>
    </row>
    <row r="8" spans="1:29" s="1220" customFormat="1" ht="15.75" thickBot="1">
      <c r="A8" s="2913"/>
      <c r="B8" s="2920" t="s">
        <v>531</v>
      </c>
      <c r="C8" s="525" t="s">
        <v>576</v>
      </c>
      <c r="D8" s="520">
        <v>100</v>
      </c>
      <c r="E8" s="525" t="s">
        <v>3003</v>
      </c>
      <c r="F8" s="522">
        <f>SUMIF(61:61,E8,62:62)-SUMIF(61:61,C8,62:62)+100</f>
        <v>100</v>
      </c>
      <c r="G8" s="525" t="s">
        <v>3003</v>
      </c>
      <c r="H8" s="520">
        <f>SUMIF(61:61,G8,62:62)-SUMIF(61:61,C8,62:62)+100</f>
        <v>100</v>
      </c>
      <c r="I8" s="525" t="s">
        <v>3003</v>
      </c>
      <c r="J8" s="520">
        <f>SUMIF(61:61,I8,62:62)-SUMIF(61:61,C8,62:62)+100</f>
        <v>100</v>
      </c>
      <c r="K8" s="524"/>
      <c r="L8" s="2135"/>
      <c r="M8" s="2136"/>
      <c r="N8" s="2136"/>
      <c r="O8" s="2136"/>
      <c r="P8" s="3396" t="s">
        <v>533</v>
      </c>
      <c r="Q8" s="3397"/>
      <c r="R8" s="1569" t="s">
        <v>8</v>
      </c>
      <c r="S8" s="1570">
        <f t="shared" si="0"/>
        <v>100</v>
      </c>
      <c r="T8" s="1569" t="s">
        <v>8</v>
      </c>
      <c r="U8" s="1570">
        <f t="shared" si="1"/>
        <v>100</v>
      </c>
      <c r="V8" s="1569" t="s">
        <v>8</v>
      </c>
      <c r="W8" s="1570">
        <f t="shared" si="2"/>
        <v>100</v>
      </c>
      <c r="X8" s="1571"/>
      <c r="Y8" s="3396" t="s">
        <v>533</v>
      </c>
      <c r="Z8" s="3397"/>
      <c r="AA8" s="1572">
        <f t="shared" ref="AA8:AA46" si="3">D8/F8</f>
        <v>1</v>
      </c>
      <c r="AB8" s="1572">
        <f t="shared" ref="AB8:AB46" si="4">D8/H8</f>
        <v>1</v>
      </c>
      <c r="AC8" s="1572">
        <f t="shared" ref="AC8:AC46" si="5">D8/J8</f>
        <v>1</v>
      </c>
    </row>
    <row r="9" spans="1:29" s="1220" customFormat="1" ht="15">
      <c r="A9" s="2914"/>
      <c r="B9" s="2921" t="s">
        <v>2759</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65" t="s">
        <v>535</v>
      </c>
      <c r="Q9" s="1151" t="str">
        <f t="shared" ref="Q9:Q15" si="6">B9</f>
        <v>用途</v>
      </c>
      <c r="R9" s="1569" t="s">
        <v>8</v>
      </c>
      <c r="S9" s="1570">
        <f t="shared" si="0"/>
        <v>100</v>
      </c>
      <c r="T9" s="1569" t="s">
        <v>8</v>
      </c>
      <c r="U9" s="1570">
        <f t="shared" si="1"/>
        <v>100</v>
      </c>
      <c r="V9" s="1569" t="s">
        <v>8</v>
      </c>
      <c r="W9" s="1570">
        <f t="shared" si="2"/>
        <v>100</v>
      </c>
      <c r="X9" s="1571"/>
      <c r="Y9" s="3311" t="s">
        <v>536</v>
      </c>
      <c r="Z9" s="1150" t="str">
        <f t="shared" ref="Z9:Z15" si="7">Q9</f>
        <v>用途</v>
      </c>
      <c r="AA9" s="1572">
        <f t="shared" si="3"/>
        <v>1</v>
      </c>
      <c r="AB9" s="1572">
        <f t="shared" si="4"/>
        <v>1</v>
      </c>
      <c r="AC9" s="1572">
        <f t="shared" si="5"/>
        <v>1</v>
      </c>
    </row>
    <row r="10" spans="1:29" s="1338" customFormat="1" ht="27">
      <c r="A10" s="2915"/>
      <c r="B10" s="2920" t="s">
        <v>2760</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6"/>
      <c r="B11" s="2920" t="s">
        <v>2761</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65"/>
      <c r="Q11" s="1151" t="str">
        <f t="shared" si="6"/>
        <v>容积率</v>
      </c>
      <c r="R11" s="1569" t="s">
        <v>8</v>
      </c>
      <c r="S11" s="1570" t="e">
        <f t="shared" si="0"/>
        <v>#N/A</v>
      </c>
      <c r="T11" s="1569" t="s">
        <v>8</v>
      </c>
      <c r="U11" s="1570" t="e">
        <f t="shared" si="1"/>
        <v>#N/A</v>
      </c>
      <c r="V11" s="1569" t="s">
        <v>8</v>
      </c>
      <c r="W11" s="1570" t="e">
        <f t="shared" si="2"/>
        <v>#N/A</v>
      </c>
      <c r="X11" s="1571"/>
      <c r="Y11" s="3311"/>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 t="shared" si="3"/>
        <v>1</v>
      </c>
      <c r="AB14" s="1572">
        <f t="shared" si="4"/>
        <v>1</v>
      </c>
      <c r="AC14" s="1572">
        <f t="shared" si="5"/>
        <v>1</v>
      </c>
    </row>
    <row r="15" spans="1:29" ht="71.25">
      <c r="A15" s="2910" t="s">
        <v>2757</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99" t="s">
        <v>540</v>
      </c>
      <c r="Q15" s="1573" t="str">
        <f t="shared" si="6"/>
        <v>商业繁华度</v>
      </c>
      <c r="R15" s="1574" t="s">
        <v>8</v>
      </c>
      <c r="S15" s="1575">
        <f t="shared" si="0"/>
        <v>100</v>
      </c>
      <c r="T15" s="1574" t="s">
        <v>8</v>
      </c>
      <c r="U15" s="1575">
        <f t="shared" si="1"/>
        <v>100</v>
      </c>
      <c r="V15" s="1574" t="s">
        <v>8</v>
      </c>
      <c r="W15" s="1575">
        <f t="shared" si="2"/>
        <v>100</v>
      </c>
      <c r="X15" s="1568"/>
      <c r="Y15" s="3399"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400"/>
      <c r="Q16" s="1573"/>
      <c r="R16" s="1574"/>
      <c r="S16" s="1575"/>
      <c r="T16" s="1574"/>
      <c r="U16" s="1575"/>
      <c r="V16" s="1574"/>
      <c r="W16" s="1575"/>
      <c r="X16" s="1568"/>
      <c r="Y16" s="3400"/>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400"/>
      <c r="Q17" s="1573" t="str">
        <f>B17</f>
        <v>交通便捷度</v>
      </c>
      <c r="R17" s="1574" t="s">
        <v>8</v>
      </c>
      <c r="S17" s="1575">
        <f>F17</f>
        <v>100</v>
      </c>
      <c r="T17" s="1574" t="s">
        <v>8</v>
      </c>
      <c r="U17" s="1575">
        <f>H17</f>
        <v>100</v>
      </c>
      <c r="V17" s="1574" t="s">
        <v>8</v>
      </c>
      <c r="W17" s="1575">
        <f>J17</f>
        <v>100</v>
      </c>
      <c r="X17" s="1568"/>
      <c r="Y17" s="340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400"/>
      <c r="Q18" s="1573"/>
      <c r="R18" s="1574"/>
      <c r="S18" s="1575"/>
      <c r="T18" s="1574"/>
      <c r="U18" s="1575"/>
      <c r="V18" s="1574"/>
      <c r="W18" s="1575"/>
      <c r="X18" s="1568"/>
      <c r="Y18" s="3400"/>
      <c r="Z18" s="1576"/>
      <c r="AA18" s="1577">
        <v>1</v>
      </c>
      <c r="AB18" s="1577">
        <v>1</v>
      </c>
      <c r="AC18" s="1577">
        <v>1</v>
      </c>
    </row>
    <row r="19" spans="1:29" ht="42.75">
      <c r="A19" s="532"/>
      <c r="B19" s="2600" t="s">
        <v>2549</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400"/>
      <c r="Q19" s="1573" t="str">
        <f>B19</f>
        <v>公共配套设施</v>
      </c>
      <c r="R19" s="1574" t="s">
        <v>8</v>
      </c>
      <c r="S19" s="1575">
        <f>F19</f>
        <v>100</v>
      </c>
      <c r="T19" s="1574" t="s">
        <v>8</v>
      </c>
      <c r="U19" s="1575">
        <f>H19</f>
        <v>100</v>
      </c>
      <c r="V19" s="1574" t="s">
        <v>8</v>
      </c>
      <c r="W19" s="1575">
        <f>J19</f>
        <v>100</v>
      </c>
      <c r="X19" s="1568"/>
      <c r="Y19" s="340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2"/>
      <c r="M20" s="2134"/>
      <c r="N20" s="2134"/>
      <c r="O20" s="2141"/>
      <c r="P20" s="3400"/>
      <c r="Q20" s="1573"/>
      <c r="R20" s="1574"/>
      <c r="S20" s="1575"/>
      <c r="T20" s="1574"/>
      <c r="U20" s="1575"/>
      <c r="V20" s="1574"/>
      <c r="W20" s="1575"/>
      <c r="X20" s="1568"/>
      <c r="Y20" s="3400"/>
      <c r="Z20" s="1576"/>
      <c r="AA20" s="1577">
        <v>1</v>
      </c>
      <c r="AB20" s="1577">
        <v>1</v>
      </c>
      <c r="AC20" s="1577">
        <v>1</v>
      </c>
    </row>
    <row r="21" spans="1:29" ht="28.5">
      <c r="A21" s="532"/>
      <c r="B21" s="2593" t="s">
        <v>2561</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400"/>
      <c r="Q21" s="2579" t="str">
        <f>B21</f>
        <v>基础设施水平</v>
      </c>
      <c r="R21" s="1574" t="s">
        <v>8</v>
      </c>
      <c r="S21" s="1575">
        <f>F21</f>
        <v>100</v>
      </c>
      <c r="T21" s="1574" t="s">
        <v>8</v>
      </c>
      <c r="U21" s="1575">
        <f>H21</f>
        <v>100</v>
      </c>
      <c r="V21" s="1574" t="s">
        <v>8</v>
      </c>
      <c r="W21" s="1575">
        <f>J21</f>
        <v>100</v>
      </c>
      <c r="X21" s="2581"/>
      <c r="Y21" s="3400"/>
      <c r="Z21" s="258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2"/>
      <c r="L22" s="2142"/>
      <c r="M22" s="2134"/>
      <c r="N22" s="2134"/>
      <c r="O22" s="2141"/>
      <c r="P22" s="3400"/>
      <c r="Q22" s="2579"/>
      <c r="R22" s="1574"/>
      <c r="S22" s="1575"/>
      <c r="T22" s="1574"/>
      <c r="U22" s="1575"/>
      <c r="V22" s="1574"/>
      <c r="W22" s="1575"/>
      <c r="X22" s="2581"/>
      <c r="Y22" s="3400"/>
      <c r="Z22" s="2580"/>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400"/>
      <c r="Q23" s="1573" t="str">
        <f>B23</f>
        <v>自然及人文环境</v>
      </c>
      <c r="R23" s="1574" t="s">
        <v>8</v>
      </c>
      <c r="S23" s="1575">
        <f>F23</f>
        <v>100</v>
      </c>
      <c r="T23" s="1574" t="s">
        <v>8</v>
      </c>
      <c r="U23" s="1575">
        <f>H23</f>
        <v>100</v>
      </c>
      <c r="V23" s="1574" t="s">
        <v>8</v>
      </c>
      <c r="W23" s="1575">
        <f>J23</f>
        <v>100</v>
      </c>
      <c r="X23" s="1568"/>
      <c r="Y23" s="340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2"/>
      <c r="M24" s="2134"/>
      <c r="N24" s="2134"/>
      <c r="O24" s="2141"/>
      <c r="P24" s="3400"/>
      <c r="Q24" s="1573"/>
      <c r="R24" s="1574"/>
      <c r="S24" s="1575"/>
      <c r="T24" s="1574"/>
      <c r="U24" s="1575"/>
      <c r="V24" s="1574"/>
      <c r="W24" s="1575"/>
      <c r="X24" s="1568"/>
      <c r="Y24" s="3400"/>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400"/>
      <c r="Q25" s="1573" t="str">
        <f t="shared" ref="Q25:Q46" si="11">B25</f>
        <v>临街状况</v>
      </c>
      <c r="R25" s="1574" t="s">
        <v>8</v>
      </c>
      <c r="S25" s="1575">
        <f>F25</f>
        <v>100</v>
      </c>
      <c r="T25" s="1574" t="s">
        <v>8</v>
      </c>
      <c r="U25" s="1575">
        <f>H25</f>
        <v>100</v>
      </c>
      <c r="V25" s="1574" t="s">
        <v>8</v>
      </c>
      <c r="W25" s="1575">
        <f>J25</f>
        <v>100</v>
      </c>
      <c r="X25" s="1568"/>
      <c r="Y25" s="3400"/>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400"/>
      <c r="Q26" s="1573" t="str">
        <f t="shared" si="11"/>
        <v>平面位置/可视性</v>
      </c>
      <c r="R26" s="1574" t="s">
        <v>8</v>
      </c>
      <c r="S26" s="1575">
        <f>F26</f>
        <v>100</v>
      </c>
      <c r="T26" s="1574" t="s">
        <v>8</v>
      </c>
      <c r="U26" s="1575">
        <f>H26</f>
        <v>100</v>
      </c>
      <c r="V26" s="1574" t="s">
        <v>8</v>
      </c>
      <c r="W26" s="1575">
        <f>J26</f>
        <v>100</v>
      </c>
      <c r="X26" s="1568"/>
      <c r="Y26" s="3400"/>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400"/>
      <c r="Q27" s="1151" t="str">
        <f t="shared" si="11"/>
        <v>人流量</v>
      </c>
      <c r="R27" s="1569" t="s">
        <v>8</v>
      </c>
      <c r="S27" s="1570">
        <f>F27</f>
        <v>100</v>
      </c>
      <c r="T27" s="1569" t="s">
        <v>8</v>
      </c>
      <c r="U27" s="1570">
        <f>H27</f>
        <v>100</v>
      </c>
      <c r="V27" s="1569" t="s">
        <v>8</v>
      </c>
      <c r="W27" s="1570">
        <f>J27</f>
        <v>100</v>
      </c>
      <c r="X27" s="1571"/>
      <c r="Y27" s="3400"/>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400"/>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00"/>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400"/>
      <c r="Q29" s="1573">
        <f t="shared" si="11"/>
        <v>111</v>
      </c>
      <c r="R29" s="1574" t="s">
        <v>8</v>
      </c>
      <c r="S29" s="1575">
        <f t="shared" si="12"/>
        <v>100</v>
      </c>
      <c r="T29" s="1574" t="s">
        <v>8</v>
      </c>
      <c r="U29" s="1575">
        <f t="shared" si="13"/>
        <v>100</v>
      </c>
      <c r="V29" s="1574" t="s">
        <v>8</v>
      </c>
      <c r="W29" s="1575">
        <f t="shared" si="14"/>
        <v>100</v>
      </c>
      <c r="X29" s="1568"/>
      <c r="Y29" s="340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400"/>
      <c r="Q30" s="1573">
        <f t="shared" si="11"/>
        <v>111</v>
      </c>
      <c r="R30" s="1574" t="s">
        <v>8</v>
      </c>
      <c r="S30" s="1575">
        <f t="shared" si="12"/>
        <v>100</v>
      </c>
      <c r="T30" s="1574" t="s">
        <v>8</v>
      </c>
      <c r="U30" s="1575">
        <f t="shared" si="13"/>
        <v>100</v>
      </c>
      <c r="V30" s="1574" t="s">
        <v>8</v>
      </c>
      <c r="W30" s="1575">
        <f t="shared" si="14"/>
        <v>100</v>
      </c>
      <c r="X30" s="1568"/>
      <c r="Y30" s="3400"/>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400"/>
      <c r="Q31" s="1573">
        <f t="shared" si="11"/>
        <v>111</v>
      </c>
      <c r="R31" s="1574" t="s">
        <v>8</v>
      </c>
      <c r="S31" s="1575">
        <f t="shared" si="12"/>
        <v>100</v>
      </c>
      <c r="T31" s="1574" t="s">
        <v>8</v>
      </c>
      <c r="U31" s="1575">
        <f t="shared" si="13"/>
        <v>100</v>
      </c>
      <c r="V31" s="1574" t="s">
        <v>8</v>
      </c>
      <c r="W31" s="1575">
        <f t="shared" si="14"/>
        <v>100</v>
      </c>
      <c r="X31" s="1568"/>
      <c r="Y31" s="3400"/>
      <c r="Z31" s="1576">
        <f t="shared" si="15"/>
        <v>111</v>
      </c>
      <c r="AA31" s="1577">
        <f t="shared" si="3"/>
        <v>1</v>
      </c>
      <c r="AB31" s="1577">
        <f t="shared" si="4"/>
        <v>1</v>
      </c>
      <c r="AC31" s="1577">
        <f t="shared" si="5"/>
        <v>1</v>
      </c>
    </row>
    <row r="32" spans="1:29" ht="15">
      <c r="A32" s="2907" t="s">
        <v>2758</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401" t="s">
        <v>550</v>
      </c>
      <c r="Q32" s="1573" t="str">
        <f t="shared" si="11"/>
        <v>商业类型</v>
      </c>
      <c r="R32" s="1574" t="s">
        <v>8</v>
      </c>
      <c r="S32" s="1575">
        <f t="shared" si="12"/>
        <v>100</v>
      </c>
      <c r="T32" s="1574" t="s">
        <v>8</v>
      </c>
      <c r="U32" s="1575">
        <f t="shared" si="13"/>
        <v>100</v>
      </c>
      <c r="V32" s="1574" t="s">
        <v>8</v>
      </c>
      <c r="W32" s="1575">
        <f t="shared" si="14"/>
        <v>100</v>
      </c>
      <c r="X32" s="1568"/>
      <c r="Y32" s="3402"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402"/>
      <c r="Q33" s="1606" t="str">
        <f t="shared" si="11"/>
        <v>项目建筑规模</v>
      </c>
      <c r="R33" s="1578" t="s">
        <v>8</v>
      </c>
      <c r="S33" s="1579" t="e">
        <f t="shared" si="12"/>
        <v>#N/A</v>
      </c>
      <c r="T33" s="1578" t="s">
        <v>8</v>
      </c>
      <c r="U33" s="1579" t="e">
        <f t="shared" si="13"/>
        <v>#N/A</v>
      </c>
      <c r="V33" s="1578" t="s">
        <v>8</v>
      </c>
      <c r="W33" s="1579" t="e">
        <f t="shared" si="14"/>
        <v>#N/A</v>
      </c>
      <c r="X33" s="1580"/>
      <c r="Y33" s="3402"/>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402"/>
      <c r="Q34" s="1573" t="str">
        <f t="shared" si="11"/>
        <v>建筑结构</v>
      </c>
      <c r="R34" s="1574" t="s">
        <v>8</v>
      </c>
      <c r="S34" s="1575">
        <f t="shared" si="12"/>
        <v>100</v>
      </c>
      <c r="T34" s="1574" t="s">
        <v>8</v>
      </c>
      <c r="U34" s="1575">
        <f t="shared" si="13"/>
        <v>100</v>
      </c>
      <c r="V34" s="1574" t="s">
        <v>8</v>
      </c>
      <c r="W34" s="1575">
        <f t="shared" si="14"/>
        <v>100</v>
      </c>
      <c r="X34" s="1568"/>
      <c r="Y34" s="3402"/>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402"/>
      <c r="Q35" s="1573" t="str">
        <f t="shared" si="11"/>
        <v>公共部分装修</v>
      </c>
      <c r="R35" s="1574" t="s">
        <v>8</v>
      </c>
      <c r="S35" s="1575">
        <f t="shared" si="12"/>
        <v>100</v>
      </c>
      <c r="T35" s="1574" t="s">
        <v>8</v>
      </c>
      <c r="U35" s="1575">
        <f t="shared" si="13"/>
        <v>100</v>
      </c>
      <c r="V35" s="1574" t="s">
        <v>8</v>
      </c>
      <c r="W35" s="1575">
        <f t="shared" si="14"/>
        <v>100</v>
      </c>
      <c r="X35" s="1568"/>
      <c r="Y35" s="3402"/>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402"/>
      <c r="Q36" s="1573" t="str">
        <f t="shared" si="11"/>
        <v>成新度</v>
      </c>
      <c r="R36" s="1574" t="s">
        <v>8</v>
      </c>
      <c r="S36" s="1575" t="e">
        <f t="shared" si="12"/>
        <v>#N/A</v>
      </c>
      <c r="T36" s="1574" t="s">
        <v>8</v>
      </c>
      <c r="U36" s="1575" t="e">
        <f t="shared" si="13"/>
        <v>#N/A</v>
      </c>
      <c r="V36" s="1574" t="s">
        <v>8</v>
      </c>
      <c r="W36" s="1575" t="e">
        <f t="shared" si="14"/>
        <v>#N/A</v>
      </c>
      <c r="X36" s="1568"/>
      <c r="Y36" s="3402"/>
      <c r="Z36" s="1576" t="str">
        <f t="shared" si="15"/>
        <v>成新度</v>
      </c>
      <c r="AA36" s="1577" t="e">
        <f t="shared" si="3"/>
        <v>#N/A</v>
      </c>
      <c r="AB36" s="1577" t="e">
        <f t="shared" si="4"/>
        <v>#N/A</v>
      </c>
      <c r="AC36" s="1577" t="e">
        <f t="shared" si="5"/>
        <v>#N/A</v>
      </c>
    </row>
    <row r="37" spans="1:29" s="1220" customFormat="1" ht="15">
      <c r="A37" s="600"/>
      <c r="B37" s="1897" t="s">
        <v>2568</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402"/>
      <c r="Q37" s="1151" t="str">
        <f t="shared" si="11"/>
        <v>市政基础设施</v>
      </c>
      <c r="R37" s="1569" t="s">
        <v>8</v>
      </c>
      <c r="S37" s="1570">
        <f t="shared" si="12"/>
        <v>100</v>
      </c>
      <c r="T37" s="1569" t="s">
        <v>8</v>
      </c>
      <c r="U37" s="1570">
        <f t="shared" si="13"/>
        <v>100</v>
      </c>
      <c r="V37" s="1569" t="s">
        <v>8</v>
      </c>
      <c r="W37" s="1570">
        <f t="shared" si="14"/>
        <v>100</v>
      </c>
      <c r="X37" s="1571"/>
      <c r="Y37" s="3402"/>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402" t="s">
        <v>766</v>
      </c>
      <c r="Q38" s="1573" t="str">
        <f t="shared" si="11"/>
        <v>业态</v>
      </c>
      <c r="R38" s="1574" t="s">
        <v>8</v>
      </c>
      <c r="S38" s="1575">
        <f t="shared" si="12"/>
        <v>100</v>
      </c>
      <c r="T38" s="1574" t="s">
        <v>8</v>
      </c>
      <c r="U38" s="1575">
        <f t="shared" si="13"/>
        <v>100</v>
      </c>
      <c r="V38" s="1574" t="s">
        <v>8</v>
      </c>
      <c r="W38" s="1575">
        <f t="shared" si="14"/>
        <v>100</v>
      </c>
      <c r="X38" s="1568"/>
      <c r="Y38" s="3402"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402"/>
      <c r="Q39" s="1573" t="str">
        <f t="shared" si="11"/>
        <v>层高</v>
      </c>
      <c r="R39" s="1574" t="s">
        <v>8</v>
      </c>
      <c r="S39" s="1575">
        <f t="shared" si="12"/>
        <v>100</v>
      </c>
      <c r="T39" s="1574" t="s">
        <v>8</v>
      </c>
      <c r="U39" s="1575">
        <f t="shared" si="13"/>
        <v>100</v>
      </c>
      <c r="V39" s="1574" t="s">
        <v>8</v>
      </c>
      <c r="W39" s="1575">
        <f t="shared" si="14"/>
        <v>100</v>
      </c>
      <c r="X39" s="1568"/>
      <c r="Y39" s="3402"/>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402"/>
      <c r="Q40" s="1573" t="str">
        <f t="shared" si="11"/>
        <v>单套建筑面积</v>
      </c>
      <c r="R40" s="1574" t="s">
        <v>8</v>
      </c>
      <c r="S40" s="1575">
        <f t="shared" si="12"/>
        <v>100</v>
      </c>
      <c r="T40" s="1574" t="s">
        <v>8</v>
      </c>
      <c r="U40" s="1575">
        <f t="shared" si="13"/>
        <v>100</v>
      </c>
      <c r="V40" s="1574" t="s">
        <v>8</v>
      </c>
      <c r="W40" s="1575">
        <f t="shared" si="14"/>
        <v>100</v>
      </c>
      <c r="X40" s="1568"/>
      <c r="Y40" s="3402"/>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402"/>
      <c r="Q41" s="1606" t="str">
        <f t="shared" si="11"/>
        <v>进深比</v>
      </c>
      <c r="R41" s="1578" t="s">
        <v>8</v>
      </c>
      <c r="S41" s="1579">
        <f t="shared" si="12"/>
        <v>100</v>
      </c>
      <c r="T41" s="1578" t="s">
        <v>8</v>
      </c>
      <c r="U41" s="1579">
        <f t="shared" si="13"/>
        <v>100</v>
      </c>
      <c r="V41" s="1578" t="s">
        <v>8</v>
      </c>
      <c r="W41" s="1579">
        <f t="shared" si="14"/>
        <v>100</v>
      </c>
      <c r="X41" s="1580"/>
      <c r="Y41" s="3402"/>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402"/>
      <c r="Q42" s="1573" t="str">
        <f t="shared" si="11"/>
        <v>内部装修</v>
      </c>
      <c r="R42" s="1574" t="s">
        <v>8</v>
      </c>
      <c r="S42" s="1575">
        <f t="shared" si="12"/>
        <v>100</v>
      </c>
      <c r="T42" s="1574" t="s">
        <v>8</v>
      </c>
      <c r="U42" s="1575">
        <f t="shared" si="13"/>
        <v>100</v>
      </c>
      <c r="V42" s="1574" t="s">
        <v>8</v>
      </c>
      <c r="W42" s="1575">
        <f t="shared" si="14"/>
        <v>100</v>
      </c>
      <c r="X42" s="1568"/>
      <c r="Y42" s="3402"/>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402"/>
      <c r="Q43" s="1573" t="str">
        <f t="shared" si="11"/>
        <v>内部装修维护情况</v>
      </c>
      <c r="R43" s="1574" t="s">
        <v>8</v>
      </c>
      <c r="S43" s="1575">
        <f t="shared" si="12"/>
        <v>100</v>
      </c>
      <c r="T43" s="1574" t="s">
        <v>8</v>
      </c>
      <c r="U43" s="1575">
        <f t="shared" si="13"/>
        <v>100</v>
      </c>
      <c r="V43" s="1574" t="s">
        <v>8</v>
      </c>
      <c r="W43" s="1575">
        <f t="shared" si="14"/>
        <v>100</v>
      </c>
      <c r="X43" s="1568"/>
      <c r="Y43" s="340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402"/>
      <c r="Q44" s="1151">
        <f t="shared" si="11"/>
        <v>111</v>
      </c>
      <c r="R44" s="1569" t="s">
        <v>8</v>
      </c>
      <c r="S44" s="1570">
        <f t="shared" si="12"/>
        <v>100</v>
      </c>
      <c r="T44" s="1569" t="s">
        <v>8</v>
      </c>
      <c r="U44" s="1570">
        <f t="shared" si="13"/>
        <v>100</v>
      </c>
      <c r="V44" s="1569" t="s">
        <v>8</v>
      </c>
      <c r="W44" s="1570">
        <f t="shared" si="14"/>
        <v>100</v>
      </c>
      <c r="X44" s="1571"/>
      <c r="Y44" s="340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402"/>
      <c r="Q45" s="1573">
        <f t="shared" si="11"/>
        <v>111</v>
      </c>
      <c r="R45" s="1574" t="s">
        <v>8</v>
      </c>
      <c r="S45" s="1575">
        <f t="shared" si="12"/>
        <v>100</v>
      </c>
      <c r="T45" s="1574" t="s">
        <v>8</v>
      </c>
      <c r="U45" s="1575">
        <f t="shared" si="13"/>
        <v>100</v>
      </c>
      <c r="V45" s="1574" t="s">
        <v>8</v>
      </c>
      <c r="W45" s="1575">
        <f t="shared" si="14"/>
        <v>100</v>
      </c>
      <c r="X45" s="1568"/>
      <c r="Y45" s="3402"/>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80"/>
      <c r="Q46" s="1573">
        <f t="shared" si="11"/>
        <v>111</v>
      </c>
      <c r="R46" s="1574" t="s">
        <v>8</v>
      </c>
      <c r="S46" s="1575">
        <f t="shared" si="12"/>
        <v>100</v>
      </c>
      <c r="T46" s="1574" t="s">
        <v>8</v>
      </c>
      <c r="U46" s="1575">
        <f t="shared" si="13"/>
        <v>100</v>
      </c>
      <c r="V46" s="1574" t="s">
        <v>8</v>
      </c>
      <c r="W46" s="1575">
        <f t="shared" si="14"/>
        <v>100</v>
      </c>
      <c r="X46" s="1568"/>
      <c r="Y46" s="3480"/>
      <c r="Z46" s="1576">
        <f t="shared" si="15"/>
        <v>111</v>
      </c>
      <c r="AA46" s="1577">
        <f t="shared" si="3"/>
        <v>1</v>
      </c>
      <c r="AB46" s="1577">
        <f t="shared" si="4"/>
        <v>1</v>
      </c>
      <c r="AC46" s="1577">
        <f t="shared" si="5"/>
        <v>1</v>
      </c>
    </row>
    <row r="47" spans="1:29" ht="15">
      <c r="A47" s="607" t="s">
        <v>736</v>
      </c>
      <c r="B47" s="887"/>
      <c r="C47" s="2627" t="s">
        <v>1</v>
      </c>
      <c r="D47" s="2628"/>
      <c r="E47" s="2629">
        <v>25000</v>
      </c>
      <c r="F47" s="2630"/>
      <c r="G47" s="2631">
        <v>20000</v>
      </c>
      <c r="H47" s="2632"/>
      <c r="I47" s="2629">
        <v>15000</v>
      </c>
      <c r="J47" s="2632"/>
      <c r="K47" s="1612"/>
      <c r="L47" s="2144"/>
      <c r="M47" s="2145"/>
      <c r="N47" s="2134"/>
      <c r="O47" s="2145"/>
      <c r="P47" s="3365" t="str">
        <f>A47</f>
        <v>成交单价（元/平方米）</v>
      </c>
      <c r="Q47" s="3365"/>
      <c r="R47" s="3479">
        <f>E47</f>
        <v>25000</v>
      </c>
      <c r="S47" s="3479"/>
      <c r="T47" s="3479">
        <f>G47</f>
        <v>20000</v>
      </c>
      <c r="U47" s="3479"/>
      <c r="V47" s="3479">
        <f>I47</f>
        <v>15000</v>
      </c>
      <c r="W47" s="3479"/>
      <c r="X47" s="1560"/>
      <c r="Y47" s="1582"/>
      <c r="Z47" s="1560"/>
      <c r="AA47" s="1560"/>
      <c r="AB47" s="1560"/>
      <c r="AC47" s="1560"/>
    </row>
    <row r="48" spans="1:29" ht="15.75" thickBot="1">
      <c r="A48" s="615" t="s">
        <v>2763</v>
      </c>
      <c r="B48" s="888"/>
      <c r="C48" s="2633" t="e">
        <f>R49</f>
        <v>#N/A</v>
      </c>
      <c r="D48" s="2634"/>
      <c r="E48" s="2635" t="e">
        <f>R48</f>
        <v>#N/A</v>
      </c>
      <c r="F48" s="2635"/>
      <c r="G48" s="2633" t="e">
        <f>T48</f>
        <v>#N/A</v>
      </c>
      <c r="H48" s="2634"/>
      <c r="I48" s="2635" t="e">
        <f>V48</f>
        <v>#N/A</v>
      </c>
      <c r="J48" s="2634"/>
      <c r="K48" s="1613"/>
      <c r="L48" s="2144"/>
      <c r="M48" s="2145"/>
      <c r="N48" s="2134"/>
      <c r="O48" s="2145"/>
      <c r="P48" s="3365" t="str">
        <f>A48</f>
        <v>比较价格（元/平方米）</v>
      </c>
      <c r="Q48" s="3365"/>
      <c r="R48" s="3479" t="e">
        <f>IF(F1="售价",ROUND(PRODUCT(R47,AA7:AA46),0),ROUND(PRODUCT(R47,AA7:AA46),1))</f>
        <v>#N/A</v>
      </c>
      <c r="S48" s="3479"/>
      <c r="T48" s="3479" t="e">
        <f>IF(F1="售价",ROUND(PRODUCT(T47,AB7:AB46),0),ROUND(PRODUCT(T47,AB7:AB46),1))</f>
        <v>#N/A</v>
      </c>
      <c r="U48" s="3479"/>
      <c r="V48" s="3479" t="e">
        <f>IF(F1="售价",ROUND(PRODUCT(V47,AC7:AC46),0),ROUND(PRODUCT(V47,AC7:AC46),1))</f>
        <v>#N/A</v>
      </c>
      <c r="W48" s="3479"/>
      <c r="X48" s="1560"/>
      <c r="Y48" s="1560"/>
      <c r="Z48" s="1560"/>
      <c r="AA48" s="1560"/>
      <c r="AB48" s="1560"/>
      <c r="AC48" s="1560"/>
    </row>
    <row r="49" spans="1:29" ht="15.75" thickBot="1">
      <c r="A49" s="621" t="s">
        <v>2936</v>
      </c>
      <c r="B49" s="622"/>
      <c r="C49" s="2636" t="e">
        <f>R49</f>
        <v>#N/A</v>
      </c>
      <c r="D49" s="2636"/>
      <c r="E49" s="2636"/>
      <c r="F49" s="2636"/>
      <c r="G49" s="2636"/>
      <c r="H49" s="2636"/>
      <c r="I49" s="2636"/>
      <c r="J49" s="2636"/>
      <c r="K49" s="1614"/>
      <c r="L49" s="2144"/>
      <c r="M49" s="2145"/>
      <c r="N49" s="2134"/>
      <c r="O49" s="2145"/>
      <c r="P49" s="3362" t="str">
        <f>A49</f>
        <v>估价对象XX用房的比较价格（楼面单价，元/平方米）</v>
      </c>
      <c r="Q49" s="3363"/>
      <c r="R49" s="3478" t="e">
        <f>IF(F1="售价",ROUND(AVERAGE(R48:V48),0),ROUND(AVERAGE(R48:V48),1))</f>
        <v>#N/A</v>
      </c>
      <c r="S49" s="3478"/>
      <c r="T49" s="3478"/>
      <c r="U49" s="3478"/>
      <c r="V49" s="3478"/>
      <c r="W49" s="3478"/>
      <c r="X49" s="1560"/>
      <c r="Y49" s="1560"/>
      <c r="Z49" s="1560"/>
      <c r="AA49" s="1560"/>
      <c r="AB49" s="1560"/>
      <c r="AC49" s="1560"/>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#N/A</v>
      </c>
      <c r="F52" s="627" t="e">
        <f>IF(OR(E52&gt;=0.3,E52&lt;=-0.3),"超过30%","")</f>
        <v>#N/A</v>
      </c>
      <c r="G52" s="626" t="e">
        <f>IF(G47&lt;G48,G48/G47-1,G47/G48-1)</f>
        <v>#N/A</v>
      </c>
      <c r="H52" s="627" t="e">
        <f>IF(OR(G52&gt;=0.3,G52&lt;=-0.3),"超过30%","")</f>
        <v>#N/A</v>
      </c>
      <c r="I52" s="626" t="e">
        <f>IF(I47&lt;I48,I48/I47-1,I47/I48-1)</f>
        <v>#N/A</v>
      </c>
      <c r="J52" s="627" t="e">
        <f>IF(OR(I52&gt;=0.3,I52&lt;=-0.3),"超过30%","")</f>
        <v>#N/A</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#N/A</v>
      </c>
      <c r="F53" s="627" t="e">
        <f>IF(OR(E53&gt;=0.2,E53&lt;=-0.2),"超过20%","")</f>
        <v>#N/A</v>
      </c>
      <c r="G53" s="626" t="e">
        <f>IF(G48&lt;I48,I48/G48-1,G48/I48-1)</f>
        <v>#N/A</v>
      </c>
      <c r="H53" s="627" t="e">
        <f>IF(OR(G53&gt;=0.2,G53&lt;=-0.2),"超过20%","")</f>
        <v>#N/A</v>
      </c>
      <c r="I53" s="626" t="e">
        <f>IF(I48&lt;E48,E48/I48-1,I48/E48-1)</f>
        <v>#N/A</v>
      </c>
      <c r="J53" s="627" t="e">
        <f>IF(OR(I53&gt;=0.2,I53&lt;=-0.2),"超过20%","")</f>
        <v>#N/A</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0.25</v>
      </c>
      <c r="F54" s="627" t="str">
        <f>IF(OR(E54&gt;=0.3,E54&lt;=-0.3),"超过30%","")</f>
        <v/>
      </c>
      <c r="G54" s="626">
        <f>IF(G47&lt;I47,I47/G47-1,G47/I47-1)</f>
        <v>0.33333333333333326</v>
      </c>
      <c r="H54" s="627" t="str">
        <f>IF(OR(G54&gt;=0.3,G54&lt;=-0.3),"超过30%","")</f>
        <v>超过30%</v>
      </c>
      <c r="I54" s="626">
        <f>IF(I47&lt;E47,E47/I47-1,I47/E47-1)</f>
        <v>0.66666666666666674</v>
      </c>
      <c r="J54" s="627" t="str">
        <f>IF(OR(I54&gt;=0.3,I54&lt;=-0.3),"超过30%","")</f>
        <v>超过30%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5" t="s">
        <v>574</v>
      </c>
      <c r="B57" s="1560"/>
      <c r="C57" s="1584"/>
      <c r="D57" s="1584"/>
      <c r="E57" s="1584"/>
      <c r="F57" s="1586"/>
      <c r="G57" s="1586"/>
      <c r="H57" s="1584"/>
      <c r="I57" s="1584"/>
      <c r="J57" s="1584"/>
      <c r="K57" s="1587"/>
      <c r="L57" s="1583"/>
      <c r="M57" s="1584"/>
      <c r="N57" s="1584"/>
      <c r="O57" s="1584"/>
      <c r="P57" s="2157"/>
      <c r="Q57" s="2158"/>
      <c r="R57" s="2145"/>
      <c r="S57" s="2145"/>
      <c r="T57" s="2145"/>
      <c r="U57" s="2145"/>
      <c r="V57" s="2145"/>
      <c r="W57" s="2145"/>
      <c r="X57" s="2145"/>
      <c r="Y57" s="2145"/>
      <c r="Z57" s="2145"/>
      <c r="AA57" s="2145"/>
      <c r="AB57" s="2145"/>
      <c r="AC57" s="2145"/>
    </row>
    <row r="58" spans="1:29" s="1347" customFormat="1" ht="15">
      <c r="A58" s="645" t="s">
        <v>529</v>
      </c>
      <c r="B58" s="646"/>
      <c r="C58" s="2802" t="str">
        <f>YEAR(C7)&amp;"-"&amp;MONTH(C7)</f>
        <v>2018-9</v>
      </c>
      <c r="D58" s="2804">
        <f>EDATE(C58,-1)</f>
        <v>43313</v>
      </c>
      <c r="E58" s="2804">
        <f t="shared" ref="E58:O58" si="16">EDATE(D58,-1)</f>
        <v>43282</v>
      </c>
      <c r="F58" s="2804">
        <f t="shared" si="16"/>
        <v>43252</v>
      </c>
      <c r="G58" s="2804">
        <f t="shared" si="16"/>
        <v>43221</v>
      </c>
      <c r="H58" s="2804">
        <f t="shared" si="16"/>
        <v>43191</v>
      </c>
      <c r="I58" s="2804">
        <f t="shared" si="16"/>
        <v>43160</v>
      </c>
      <c r="J58" s="2804">
        <f t="shared" si="16"/>
        <v>43132</v>
      </c>
      <c r="K58" s="2804">
        <f t="shared" si="16"/>
        <v>43101</v>
      </c>
      <c r="L58" s="2804">
        <f t="shared" si="16"/>
        <v>43070</v>
      </c>
      <c r="M58" s="2804">
        <f t="shared" si="16"/>
        <v>43040</v>
      </c>
      <c r="N58" s="2804">
        <f t="shared" si="16"/>
        <v>43009</v>
      </c>
      <c r="O58" s="2804">
        <f t="shared" si="16"/>
        <v>42979</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577</v>
      </c>
      <c r="B63" s="665" t="s">
        <v>534</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8" t="s">
        <v>2560</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2561</v>
      </c>
      <c r="C82" s="2598" t="s">
        <v>2562</v>
      </c>
      <c r="D82" s="2598" t="s">
        <v>2563</v>
      </c>
      <c r="E82" s="2598" t="s">
        <v>2564</v>
      </c>
      <c r="F82" s="2598" t="s">
        <v>2565</v>
      </c>
      <c r="G82" s="2598" t="s">
        <v>2566</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772</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8" t="s">
        <v>2559</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7"/>
      <c r="G1" s="1602" t="s">
        <v>721</v>
      </c>
      <c r="H1" s="506"/>
      <c r="I1" s="506"/>
      <c r="J1" s="506"/>
      <c r="K1" s="507"/>
      <c r="L1" s="1563"/>
      <c r="M1" s="1564"/>
      <c r="N1" s="1564"/>
      <c r="O1" s="1564"/>
      <c r="P1" s="2207"/>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5"/>
      <c r="R3" s="1565"/>
      <c r="S3" s="1565"/>
      <c r="T3" s="1565"/>
      <c r="U3" s="1565"/>
      <c r="V3" s="1565"/>
      <c r="W3" s="1565"/>
      <c r="X3" s="1565"/>
      <c r="Y3" s="1565"/>
      <c r="Z3" s="1565"/>
      <c r="AA3" s="1565"/>
      <c r="AB3" s="1565"/>
      <c r="AC3" s="1566"/>
    </row>
    <row r="4" spans="1:29" ht="15">
      <c r="A4" s="512" t="s">
        <v>521</v>
      </c>
      <c r="B4" s="513"/>
      <c r="C4" s="3371" t="s">
        <v>522</v>
      </c>
      <c r="D4" s="3372"/>
      <c r="E4" s="3406" t="s">
        <v>523</v>
      </c>
      <c r="F4" s="3407"/>
      <c r="G4" s="3371" t="s">
        <v>524</v>
      </c>
      <c r="H4" s="3372"/>
      <c r="I4" s="3371" t="s">
        <v>525</v>
      </c>
      <c r="J4" s="3372"/>
      <c r="K4" s="514" t="s">
        <v>526</v>
      </c>
      <c r="L4" s="2133"/>
      <c r="M4" s="2134"/>
      <c r="N4" s="2134"/>
      <c r="O4" s="2134"/>
      <c r="P4" s="3483" t="s">
        <v>527</v>
      </c>
      <c r="Q4" s="3374"/>
      <c r="R4" s="3379" t="s">
        <v>523</v>
      </c>
      <c r="S4" s="3380"/>
      <c r="T4" s="3379" t="s">
        <v>524</v>
      </c>
      <c r="U4" s="3380"/>
      <c r="V4" s="3366" t="s">
        <v>525</v>
      </c>
      <c r="W4" s="3366"/>
      <c r="X4" s="1568"/>
      <c r="Y4" s="3379" t="s">
        <v>527</v>
      </c>
      <c r="Z4" s="3380"/>
      <c r="AA4" s="3368" t="s">
        <v>523</v>
      </c>
      <c r="AB4" s="3368" t="s">
        <v>524</v>
      </c>
      <c r="AC4" s="3368" t="s">
        <v>525</v>
      </c>
    </row>
    <row r="5" spans="1:29" ht="15">
      <c r="A5" s="515"/>
      <c r="B5" s="516"/>
      <c r="C5" s="3403" t="s">
        <v>2930</v>
      </c>
      <c r="D5" s="3388"/>
      <c r="E5" s="3408" t="s">
        <v>2931</v>
      </c>
      <c r="F5" s="3409"/>
      <c r="G5" s="3403" t="s">
        <v>2932</v>
      </c>
      <c r="H5" s="3388"/>
      <c r="I5" s="3403" t="s">
        <v>2933</v>
      </c>
      <c r="J5" s="3388"/>
      <c r="K5" s="514"/>
      <c r="L5" s="2133"/>
      <c r="M5" s="2134"/>
      <c r="N5" s="2134"/>
      <c r="O5" s="2134"/>
      <c r="P5" s="3484"/>
      <c r="Q5" s="3376"/>
      <c r="R5" s="3381"/>
      <c r="S5" s="3382"/>
      <c r="T5" s="3381"/>
      <c r="U5" s="3382"/>
      <c r="V5" s="3366"/>
      <c r="W5" s="3366"/>
      <c r="X5" s="1568"/>
      <c r="Y5" s="3381"/>
      <c r="Z5" s="3382"/>
      <c r="AA5" s="3369"/>
      <c r="AB5" s="3369"/>
      <c r="AC5" s="3369"/>
    </row>
    <row r="6" spans="1:29" ht="15.75" thickBot="1">
      <c r="A6" s="517"/>
      <c r="B6" s="518"/>
      <c r="C6" s="3385" t="s">
        <v>2934</v>
      </c>
      <c r="D6" s="3386"/>
      <c r="E6" s="3404" t="s">
        <v>2934</v>
      </c>
      <c r="F6" s="3405"/>
      <c r="G6" s="3385" t="s">
        <v>2934</v>
      </c>
      <c r="H6" s="3386"/>
      <c r="I6" s="3385" t="s">
        <v>2934</v>
      </c>
      <c r="J6" s="3386"/>
      <c r="K6" s="514" t="s">
        <v>528</v>
      </c>
      <c r="L6" s="2133"/>
      <c r="M6" s="2134"/>
      <c r="N6" s="2134"/>
      <c r="O6" s="2134"/>
      <c r="P6" s="3485"/>
      <c r="Q6" s="3378"/>
      <c r="R6" s="3381"/>
      <c r="S6" s="3382"/>
      <c r="T6" s="3383"/>
      <c r="U6" s="3384"/>
      <c r="V6" s="3366"/>
      <c r="W6" s="3366"/>
      <c r="X6" s="1568"/>
      <c r="Y6" s="3383"/>
      <c r="Z6" s="3384"/>
      <c r="AA6" s="3370"/>
      <c r="AB6" s="3370"/>
      <c r="AC6" s="3370"/>
    </row>
    <row r="7" spans="1:29" s="1220" customFormat="1" ht="15.75" thickBot="1">
      <c r="A7" s="2912"/>
      <c r="B7" s="2919" t="s">
        <v>529</v>
      </c>
      <c r="C7" s="519">
        <f>'数据-取费表'!B2</f>
        <v>43361</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98" t="s">
        <v>530</v>
      </c>
      <c r="Q7" s="3398"/>
      <c r="R7" s="1569" t="s">
        <v>8</v>
      </c>
      <c r="S7" s="1570">
        <f t="shared" ref="S7:S15" si="0">F7</f>
        <v>0</v>
      </c>
      <c r="T7" s="1569" t="s">
        <v>8</v>
      </c>
      <c r="U7" s="1570">
        <f t="shared" ref="U7:U15" si="1">H7</f>
        <v>0</v>
      </c>
      <c r="V7" s="1569" t="s">
        <v>8</v>
      </c>
      <c r="W7" s="1570">
        <f t="shared" ref="W7:W15" si="2">J7</f>
        <v>0</v>
      </c>
      <c r="X7" s="1571"/>
      <c r="Y7" s="3396" t="s">
        <v>530</v>
      </c>
      <c r="Z7" s="3397"/>
      <c r="AA7" s="1572" t="e">
        <f>D7/F7</f>
        <v>#DIV/0!</v>
      </c>
      <c r="AB7" s="1572" t="e">
        <f>D7/H7</f>
        <v>#DIV/0!</v>
      </c>
      <c r="AC7" s="1572" t="e">
        <f>D7/J7</f>
        <v>#DIV/0!</v>
      </c>
    </row>
    <row r="8" spans="1:29" s="1220" customFormat="1" ht="15.75" thickBot="1">
      <c r="A8" s="2913"/>
      <c r="B8" s="2920"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98" t="s">
        <v>533</v>
      </c>
      <c r="Q8" s="3397"/>
      <c r="R8" s="1569" t="s">
        <v>8</v>
      </c>
      <c r="S8" s="1570">
        <f t="shared" si="0"/>
        <v>0</v>
      </c>
      <c r="T8" s="1569" t="s">
        <v>8</v>
      </c>
      <c r="U8" s="1570">
        <f t="shared" si="1"/>
        <v>0</v>
      </c>
      <c r="V8" s="1569" t="s">
        <v>8</v>
      </c>
      <c r="W8" s="1570">
        <f t="shared" si="2"/>
        <v>0</v>
      </c>
      <c r="X8" s="1571"/>
      <c r="Y8" s="3396" t="s">
        <v>533</v>
      </c>
      <c r="Z8" s="3397"/>
      <c r="AA8" s="1572" t="e">
        <f t="shared" ref="AA8:AA47" si="3">D8/F8</f>
        <v>#DIV/0!</v>
      </c>
      <c r="AB8" s="1572" t="e">
        <f t="shared" ref="AB8:AB47" si="4">D8/H8</f>
        <v>#DIV/0!</v>
      </c>
      <c r="AC8" s="1572" t="e">
        <f t="shared" ref="AC8:AC47" si="5">D8/J8</f>
        <v>#DIV/0!</v>
      </c>
    </row>
    <row r="9" spans="1:29" s="1220" customFormat="1" ht="15">
      <c r="A9" s="2914"/>
      <c r="B9" s="2921" t="s">
        <v>2759</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65" t="s">
        <v>535</v>
      </c>
      <c r="Q9" s="1151" t="str">
        <f t="shared" ref="Q9:Q15" si="6">B9</f>
        <v>用途</v>
      </c>
      <c r="R9" s="1569" t="s">
        <v>8</v>
      </c>
      <c r="S9" s="1570">
        <f t="shared" si="0"/>
        <v>100</v>
      </c>
      <c r="T9" s="1569" t="s">
        <v>8</v>
      </c>
      <c r="U9" s="1570">
        <f t="shared" si="1"/>
        <v>100</v>
      </c>
      <c r="V9" s="1569" t="s">
        <v>8</v>
      </c>
      <c r="W9" s="1570">
        <f t="shared" si="2"/>
        <v>100</v>
      </c>
      <c r="X9" s="1571"/>
      <c r="Y9" s="3311" t="s">
        <v>536</v>
      </c>
      <c r="Z9" s="1150" t="str">
        <f t="shared" ref="Z9:Z15" si="7">Q9</f>
        <v>用途</v>
      </c>
      <c r="AA9" s="1572">
        <f t="shared" si="3"/>
        <v>1</v>
      </c>
      <c r="AB9" s="1572">
        <f t="shared" si="4"/>
        <v>1</v>
      </c>
      <c r="AC9" s="1572">
        <f t="shared" si="5"/>
        <v>1</v>
      </c>
    </row>
    <row r="10" spans="1:29" s="1338" customFormat="1" ht="27">
      <c r="A10" s="2915"/>
      <c r="B10" s="2920" t="s">
        <v>2760</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6"/>
      <c r="B11" s="2920" t="s">
        <v>2761</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65"/>
      <c r="Q11" s="1151" t="str">
        <f t="shared" si="6"/>
        <v>容积率</v>
      </c>
      <c r="R11" s="1569" t="s">
        <v>8</v>
      </c>
      <c r="S11" s="1570" t="e">
        <f t="shared" si="0"/>
        <v>#N/A</v>
      </c>
      <c r="T11" s="1569" t="s">
        <v>8</v>
      </c>
      <c r="U11" s="1570" t="e">
        <f t="shared" si="1"/>
        <v>#N/A</v>
      </c>
      <c r="V11" s="1569" t="s">
        <v>8</v>
      </c>
      <c r="W11" s="1570" t="e">
        <f t="shared" si="2"/>
        <v>#N/A</v>
      </c>
      <c r="X11" s="1571"/>
      <c r="Y11" s="3311"/>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 t="shared" si="3"/>
        <v>1</v>
      </c>
      <c r="AB14" s="1572">
        <f t="shared" si="4"/>
        <v>1</v>
      </c>
      <c r="AC14" s="1572">
        <f t="shared" si="5"/>
        <v>1</v>
      </c>
    </row>
    <row r="15" spans="1:29" ht="71.25">
      <c r="A15" s="2910" t="s">
        <v>2757</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99" t="s">
        <v>540</v>
      </c>
      <c r="Q15" s="1573" t="str">
        <f t="shared" si="6"/>
        <v>办公集聚程度</v>
      </c>
      <c r="R15" s="1574" t="s">
        <v>8</v>
      </c>
      <c r="S15" s="1575">
        <f t="shared" si="0"/>
        <v>100</v>
      </c>
      <c r="T15" s="1574" t="s">
        <v>8</v>
      </c>
      <c r="U15" s="1575">
        <f t="shared" si="1"/>
        <v>100</v>
      </c>
      <c r="V15" s="1574" t="s">
        <v>8</v>
      </c>
      <c r="W15" s="1575">
        <f t="shared" si="2"/>
        <v>100</v>
      </c>
      <c r="X15" s="1568"/>
      <c r="Y15" s="3399"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2"/>
      <c r="M16" s="2134"/>
      <c r="N16" s="2134"/>
      <c r="O16" s="2134"/>
      <c r="P16" s="3400"/>
      <c r="Q16" s="1573"/>
      <c r="R16" s="1574"/>
      <c r="S16" s="1575"/>
      <c r="T16" s="1574"/>
      <c r="U16" s="1575"/>
      <c r="V16" s="1574"/>
      <c r="W16" s="1575"/>
      <c r="X16" s="1568"/>
      <c r="Y16" s="3400"/>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400"/>
      <c r="Q17" s="1573" t="str">
        <f>B17</f>
        <v>交通便捷度</v>
      </c>
      <c r="R17" s="1574" t="s">
        <v>8</v>
      </c>
      <c r="S17" s="1575">
        <f>F17</f>
        <v>100</v>
      </c>
      <c r="T17" s="1574" t="s">
        <v>8</v>
      </c>
      <c r="U17" s="1575">
        <f>H17</f>
        <v>100</v>
      </c>
      <c r="V17" s="1574" t="s">
        <v>8</v>
      </c>
      <c r="W17" s="1575">
        <f>J17</f>
        <v>100</v>
      </c>
      <c r="X17" s="1568"/>
      <c r="Y17" s="3400"/>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2"/>
      <c r="M18" s="2134"/>
      <c r="N18" s="2134"/>
      <c r="O18" s="2134"/>
      <c r="P18" s="3400"/>
      <c r="Q18" s="1573"/>
      <c r="R18" s="1574"/>
      <c r="S18" s="1575"/>
      <c r="T18" s="1574"/>
      <c r="U18" s="1575"/>
      <c r="V18" s="1574"/>
      <c r="W18" s="1575"/>
      <c r="X18" s="1568"/>
      <c r="Y18" s="3400"/>
      <c r="Z18" s="1576"/>
      <c r="AA18" s="1577">
        <v>1</v>
      </c>
      <c r="AB18" s="1577">
        <v>1</v>
      </c>
      <c r="AC18" s="1577">
        <v>1</v>
      </c>
    </row>
    <row r="19" spans="1:29" ht="42.75">
      <c r="A19" s="532"/>
      <c r="B19" s="2603" t="s">
        <v>2549</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400"/>
      <c r="Q19" s="1573" t="str">
        <f>B19</f>
        <v>公共配套设施</v>
      </c>
      <c r="R19" s="1574" t="s">
        <v>8</v>
      </c>
      <c r="S19" s="1575">
        <f>F19</f>
        <v>100</v>
      </c>
      <c r="T19" s="1574" t="s">
        <v>8</v>
      </c>
      <c r="U19" s="1575">
        <f>H19</f>
        <v>100</v>
      </c>
      <c r="V19" s="1574" t="s">
        <v>8</v>
      </c>
      <c r="W19" s="1575">
        <f>J19</f>
        <v>100</v>
      </c>
      <c r="X19" s="1568"/>
      <c r="Y19" s="3400"/>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2"/>
      <c r="M20" s="2134"/>
      <c r="N20" s="2134"/>
      <c r="O20" s="2134"/>
      <c r="P20" s="3400"/>
      <c r="Q20" s="1573"/>
      <c r="R20" s="1574"/>
      <c r="S20" s="1575"/>
      <c r="T20" s="1574"/>
      <c r="U20" s="1575"/>
      <c r="V20" s="1574"/>
      <c r="W20" s="1575"/>
      <c r="X20" s="1568"/>
      <c r="Y20" s="3400"/>
      <c r="Z20" s="1576"/>
      <c r="AA20" s="1577">
        <v>1</v>
      </c>
      <c r="AB20" s="1577">
        <v>1</v>
      </c>
      <c r="AC20" s="1577">
        <v>1</v>
      </c>
    </row>
    <row r="21" spans="1:29" ht="28.5">
      <c r="A21" s="532"/>
      <c r="B21" s="2591" t="s">
        <v>2561</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400"/>
      <c r="Q21" s="2579" t="str">
        <f>B21</f>
        <v>基础设施水平</v>
      </c>
      <c r="R21" s="1574" t="s">
        <v>8</v>
      </c>
      <c r="S21" s="1575">
        <f>F21</f>
        <v>100</v>
      </c>
      <c r="T21" s="1574" t="s">
        <v>8</v>
      </c>
      <c r="U21" s="1575">
        <f>H21</f>
        <v>100</v>
      </c>
      <c r="V21" s="1574" t="s">
        <v>8</v>
      </c>
      <c r="W21" s="1575">
        <f>J21</f>
        <v>100</v>
      </c>
      <c r="X21" s="2581"/>
      <c r="Y21" s="3400"/>
      <c r="Z21" s="2580"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2"/>
      <c r="L22" s="2142"/>
      <c r="M22" s="2134"/>
      <c r="N22" s="2134"/>
      <c r="O22" s="2134"/>
      <c r="P22" s="3400"/>
      <c r="Q22" s="2579"/>
      <c r="R22" s="1574"/>
      <c r="S22" s="1575"/>
      <c r="T22" s="1574"/>
      <c r="U22" s="1575"/>
      <c r="V22" s="1574"/>
      <c r="W22" s="1575"/>
      <c r="X22" s="2581"/>
      <c r="Y22" s="3400"/>
      <c r="Z22" s="2580"/>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400"/>
      <c r="Q23" s="1573" t="str">
        <f>B23</f>
        <v>环境质量</v>
      </c>
      <c r="R23" s="1574" t="s">
        <v>8</v>
      </c>
      <c r="S23" s="1575">
        <f>F23</f>
        <v>100</v>
      </c>
      <c r="T23" s="1574" t="s">
        <v>8</v>
      </c>
      <c r="U23" s="1575">
        <f>H23</f>
        <v>100</v>
      </c>
      <c r="V23" s="1574" t="s">
        <v>8</v>
      </c>
      <c r="W23" s="1575">
        <f>J23</f>
        <v>100</v>
      </c>
      <c r="X23" s="1568"/>
      <c r="Y23" s="3400"/>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2"/>
      <c r="M24" s="2134"/>
      <c r="N24" s="2134"/>
      <c r="O24" s="2134"/>
      <c r="P24" s="3400"/>
      <c r="Q24" s="1573"/>
      <c r="R24" s="1574"/>
      <c r="S24" s="1575"/>
      <c r="T24" s="1574"/>
      <c r="U24" s="1575"/>
      <c r="V24" s="1574"/>
      <c r="W24" s="1575"/>
      <c r="X24" s="1568"/>
      <c r="Y24" s="3400"/>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400"/>
      <c r="Q25" s="1573" t="str">
        <f>B25</f>
        <v>毗邻道路的类型与等级</v>
      </c>
      <c r="R25" s="1574" t="s">
        <v>8</v>
      </c>
      <c r="S25" s="1575">
        <f>F25</f>
        <v>100</v>
      </c>
      <c r="T25" s="1574" t="s">
        <v>8</v>
      </c>
      <c r="U25" s="1575">
        <f>H25</f>
        <v>100</v>
      </c>
      <c r="V25" s="1574" t="s">
        <v>8</v>
      </c>
      <c r="W25" s="1575">
        <f>J25</f>
        <v>100</v>
      </c>
      <c r="X25" s="1568"/>
      <c r="Y25" s="3400"/>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2"/>
      <c r="M26" s="2134"/>
      <c r="N26" s="2134"/>
      <c r="O26" s="2134"/>
      <c r="P26" s="3400"/>
      <c r="Q26" s="1573"/>
      <c r="R26" s="1574"/>
      <c r="S26" s="1575"/>
      <c r="T26" s="1574"/>
      <c r="U26" s="1575"/>
      <c r="V26" s="1574"/>
      <c r="W26" s="1575"/>
      <c r="X26" s="1568"/>
      <c r="Y26" s="3400"/>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400"/>
      <c r="Q27" s="1573" t="str">
        <f t="shared" ref="Q27:Q47" si="11">B27</f>
        <v>楼层</v>
      </c>
      <c r="R27" s="1574" t="s">
        <v>8</v>
      </c>
      <c r="S27" s="1575">
        <f>F27</f>
        <v>100</v>
      </c>
      <c r="T27" s="1574" t="s">
        <v>8</v>
      </c>
      <c r="U27" s="1575">
        <f>H27</f>
        <v>100</v>
      </c>
      <c r="V27" s="1574" t="s">
        <v>8</v>
      </c>
      <c r="W27" s="1575">
        <f>J27</f>
        <v>100</v>
      </c>
      <c r="X27" s="1568"/>
      <c r="Y27" s="3400"/>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400"/>
      <c r="Q28" s="1151" t="str">
        <f t="shared" si="11"/>
        <v>朝向</v>
      </c>
      <c r="R28" s="1569" t="s">
        <v>8</v>
      </c>
      <c r="S28" s="1570">
        <f>F28</f>
        <v>100</v>
      </c>
      <c r="T28" s="1569" t="s">
        <v>8</v>
      </c>
      <c r="U28" s="1570">
        <f>H28</f>
        <v>100</v>
      </c>
      <c r="V28" s="1569" t="s">
        <v>8</v>
      </c>
      <c r="W28" s="1570">
        <f>J28</f>
        <v>100</v>
      </c>
      <c r="X28" s="1571"/>
      <c r="Y28" s="3400"/>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400"/>
      <c r="Q29" s="1573">
        <f t="shared" si="11"/>
        <v>111</v>
      </c>
      <c r="R29" s="1574" t="s">
        <v>8</v>
      </c>
      <c r="S29" s="1575">
        <f t="shared" ref="S29:S47" si="12">F29</f>
        <v>100</v>
      </c>
      <c r="T29" s="1574" t="s">
        <v>8</v>
      </c>
      <c r="U29" s="1575">
        <f t="shared" ref="U29:U47" si="13">H29</f>
        <v>100</v>
      </c>
      <c r="V29" s="1574" t="s">
        <v>8</v>
      </c>
      <c r="W29" s="1575">
        <f t="shared" ref="W29:W47" si="14">J29</f>
        <v>100</v>
      </c>
      <c r="X29" s="1568"/>
      <c r="Y29" s="3400"/>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400"/>
      <c r="Q30" s="1573">
        <f t="shared" si="11"/>
        <v>111</v>
      </c>
      <c r="R30" s="1574" t="s">
        <v>8</v>
      </c>
      <c r="S30" s="1575">
        <f t="shared" si="12"/>
        <v>100</v>
      </c>
      <c r="T30" s="1574" t="s">
        <v>8</v>
      </c>
      <c r="U30" s="1575">
        <f t="shared" si="13"/>
        <v>100</v>
      </c>
      <c r="V30" s="1574" t="s">
        <v>8</v>
      </c>
      <c r="W30" s="1575">
        <f t="shared" si="14"/>
        <v>100</v>
      </c>
      <c r="X30" s="1568"/>
      <c r="Y30" s="3400"/>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400"/>
      <c r="Q31" s="1573">
        <f t="shared" si="11"/>
        <v>111</v>
      </c>
      <c r="R31" s="1574" t="s">
        <v>8</v>
      </c>
      <c r="S31" s="1575">
        <f t="shared" si="12"/>
        <v>100</v>
      </c>
      <c r="T31" s="1574" t="s">
        <v>8</v>
      </c>
      <c r="U31" s="1575">
        <f t="shared" si="13"/>
        <v>100</v>
      </c>
      <c r="V31" s="1574" t="s">
        <v>8</v>
      </c>
      <c r="W31" s="1575">
        <f t="shared" si="14"/>
        <v>100</v>
      </c>
      <c r="X31" s="1568"/>
      <c r="Y31" s="3400"/>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400"/>
      <c r="Q32" s="1573">
        <f t="shared" si="11"/>
        <v>111</v>
      </c>
      <c r="R32" s="1574" t="s">
        <v>8</v>
      </c>
      <c r="S32" s="1575">
        <f t="shared" si="12"/>
        <v>100</v>
      </c>
      <c r="T32" s="1574" t="s">
        <v>8</v>
      </c>
      <c r="U32" s="1575">
        <f t="shared" si="13"/>
        <v>100</v>
      </c>
      <c r="V32" s="1574" t="s">
        <v>8</v>
      </c>
      <c r="W32" s="1575">
        <f t="shared" si="14"/>
        <v>100</v>
      </c>
      <c r="X32" s="1568"/>
      <c r="Y32" s="3400"/>
      <c r="Z32" s="1576">
        <f t="shared" si="15"/>
        <v>111</v>
      </c>
      <c r="AA32" s="1577">
        <f t="shared" si="3"/>
        <v>1</v>
      </c>
      <c r="AB32" s="1577">
        <f t="shared" si="4"/>
        <v>1</v>
      </c>
      <c r="AC32" s="1577">
        <f t="shared" si="5"/>
        <v>1</v>
      </c>
    </row>
    <row r="33" spans="1:29" ht="15">
      <c r="A33" s="2907" t="s">
        <v>2758</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401" t="s">
        <v>550</v>
      </c>
      <c r="Q33" s="1573" t="str">
        <f t="shared" si="11"/>
        <v>建筑类型</v>
      </c>
      <c r="R33" s="1574" t="s">
        <v>8</v>
      </c>
      <c r="S33" s="1575">
        <f t="shared" si="12"/>
        <v>100</v>
      </c>
      <c r="T33" s="1574" t="s">
        <v>8</v>
      </c>
      <c r="U33" s="1575">
        <f t="shared" si="13"/>
        <v>100</v>
      </c>
      <c r="V33" s="1574" t="s">
        <v>8</v>
      </c>
      <c r="W33" s="1575">
        <f t="shared" si="14"/>
        <v>100</v>
      </c>
      <c r="X33" s="1568"/>
      <c r="Y33" s="3402"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402"/>
      <c r="Q34" s="1606" t="str">
        <f t="shared" si="11"/>
        <v>项目建筑规模</v>
      </c>
      <c r="R34" s="1578" t="s">
        <v>8</v>
      </c>
      <c r="S34" s="1579" t="e">
        <f t="shared" si="12"/>
        <v>#N/A</v>
      </c>
      <c r="T34" s="1578" t="s">
        <v>8</v>
      </c>
      <c r="U34" s="1579" t="e">
        <f t="shared" si="13"/>
        <v>#N/A</v>
      </c>
      <c r="V34" s="1578" t="s">
        <v>8</v>
      </c>
      <c r="W34" s="1579" t="e">
        <f t="shared" si="14"/>
        <v>#N/A</v>
      </c>
      <c r="X34" s="1580"/>
      <c r="Y34" s="3402"/>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402"/>
      <c r="Q35" s="1573" t="str">
        <f t="shared" si="11"/>
        <v>建筑结构</v>
      </c>
      <c r="R35" s="1574" t="s">
        <v>8</v>
      </c>
      <c r="S35" s="1575">
        <f t="shared" si="12"/>
        <v>100</v>
      </c>
      <c r="T35" s="1574" t="s">
        <v>8</v>
      </c>
      <c r="U35" s="1575">
        <f t="shared" si="13"/>
        <v>100</v>
      </c>
      <c r="V35" s="1574" t="s">
        <v>8</v>
      </c>
      <c r="W35" s="1575">
        <f t="shared" si="14"/>
        <v>100</v>
      </c>
      <c r="X35" s="1568"/>
      <c r="Y35" s="3402"/>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402"/>
      <c r="Q36" s="1573" t="str">
        <f t="shared" si="11"/>
        <v>公共部分装修</v>
      </c>
      <c r="R36" s="1574" t="s">
        <v>8</v>
      </c>
      <c r="S36" s="1575">
        <f t="shared" si="12"/>
        <v>100</v>
      </c>
      <c r="T36" s="1574" t="s">
        <v>8</v>
      </c>
      <c r="U36" s="1575">
        <f t="shared" si="13"/>
        <v>100</v>
      </c>
      <c r="V36" s="1574" t="s">
        <v>8</v>
      </c>
      <c r="W36" s="1575">
        <f t="shared" si="14"/>
        <v>100</v>
      </c>
      <c r="X36" s="1568"/>
      <c r="Y36" s="3402"/>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402"/>
      <c r="Q37" s="1573" t="str">
        <f t="shared" si="11"/>
        <v>成新度</v>
      </c>
      <c r="R37" s="1574" t="s">
        <v>8</v>
      </c>
      <c r="S37" s="1575" t="e">
        <f t="shared" si="12"/>
        <v>#N/A</v>
      </c>
      <c r="T37" s="1574" t="s">
        <v>8</v>
      </c>
      <c r="U37" s="1575" t="e">
        <f t="shared" si="13"/>
        <v>#N/A</v>
      </c>
      <c r="V37" s="1574" t="s">
        <v>8</v>
      </c>
      <c r="W37" s="1575" t="e">
        <f t="shared" si="14"/>
        <v>#N/A</v>
      </c>
      <c r="X37" s="1568"/>
      <c r="Y37" s="3402"/>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402"/>
      <c r="Q38" s="1151" t="str">
        <f t="shared" si="11"/>
        <v>写字楼等级</v>
      </c>
      <c r="R38" s="1569" t="s">
        <v>8</v>
      </c>
      <c r="S38" s="1570">
        <f t="shared" si="12"/>
        <v>100</v>
      </c>
      <c r="T38" s="1569" t="s">
        <v>8</v>
      </c>
      <c r="U38" s="1570">
        <f t="shared" si="13"/>
        <v>100</v>
      </c>
      <c r="V38" s="1569" t="s">
        <v>8</v>
      </c>
      <c r="W38" s="1570">
        <f t="shared" si="14"/>
        <v>100</v>
      </c>
      <c r="X38" s="1571"/>
      <c r="Y38" s="3402"/>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402" t="s">
        <v>550</v>
      </c>
      <c r="Q39" s="1573" t="str">
        <f t="shared" si="11"/>
        <v>物业管理</v>
      </c>
      <c r="R39" s="1574" t="s">
        <v>8</v>
      </c>
      <c r="S39" s="1575">
        <f t="shared" si="12"/>
        <v>100</v>
      </c>
      <c r="T39" s="1574" t="s">
        <v>8</v>
      </c>
      <c r="U39" s="1575">
        <f t="shared" si="13"/>
        <v>100</v>
      </c>
      <c r="V39" s="1574" t="s">
        <v>8</v>
      </c>
      <c r="W39" s="1575">
        <f t="shared" si="14"/>
        <v>100</v>
      </c>
      <c r="X39" s="1568"/>
      <c r="Y39" s="3402" t="s">
        <v>550</v>
      </c>
      <c r="Z39" s="1576" t="str">
        <f t="shared" si="15"/>
        <v>物业管理</v>
      </c>
      <c r="AA39" s="1577">
        <f t="shared" si="3"/>
        <v>1</v>
      </c>
      <c r="AB39" s="1577">
        <f t="shared" si="4"/>
        <v>1</v>
      </c>
      <c r="AC39" s="1577">
        <f t="shared" si="5"/>
        <v>1</v>
      </c>
    </row>
    <row r="40" spans="1:29" ht="15">
      <c r="A40" s="594"/>
      <c r="B40" s="1897" t="s">
        <v>2568</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402"/>
      <c r="Q40" s="1573" t="str">
        <f t="shared" si="11"/>
        <v>市政基础设施</v>
      </c>
      <c r="R40" s="1574" t="s">
        <v>8</v>
      </c>
      <c r="S40" s="1575">
        <f t="shared" si="12"/>
        <v>100</v>
      </c>
      <c r="T40" s="1574" t="s">
        <v>8</v>
      </c>
      <c r="U40" s="1575">
        <f t="shared" si="13"/>
        <v>100</v>
      </c>
      <c r="V40" s="1574" t="s">
        <v>8</v>
      </c>
      <c r="W40" s="1575">
        <f t="shared" si="14"/>
        <v>100</v>
      </c>
      <c r="X40" s="1568"/>
      <c r="Y40" s="3402"/>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402"/>
      <c r="Q41" s="1573" t="str">
        <f t="shared" si="11"/>
        <v>层高</v>
      </c>
      <c r="R41" s="1574" t="s">
        <v>8</v>
      </c>
      <c r="S41" s="1575">
        <f t="shared" si="12"/>
        <v>100</v>
      </c>
      <c r="T41" s="1574" t="s">
        <v>8</v>
      </c>
      <c r="U41" s="1575">
        <f t="shared" si="13"/>
        <v>100</v>
      </c>
      <c r="V41" s="1574" t="s">
        <v>8</v>
      </c>
      <c r="W41" s="1575">
        <f t="shared" si="14"/>
        <v>100</v>
      </c>
      <c r="X41" s="1568"/>
      <c r="Y41" s="3402"/>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402"/>
      <c r="Q42" s="1606" t="str">
        <f t="shared" si="11"/>
        <v>单套建筑面积</v>
      </c>
      <c r="R42" s="1578" t="s">
        <v>8</v>
      </c>
      <c r="S42" s="1579">
        <f t="shared" si="12"/>
        <v>100</v>
      </c>
      <c r="T42" s="1578" t="s">
        <v>8</v>
      </c>
      <c r="U42" s="1579">
        <f t="shared" si="13"/>
        <v>100</v>
      </c>
      <c r="V42" s="1578" t="s">
        <v>8</v>
      </c>
      <c r="W42" s="1579">
        <f t="shared" si="14"/>
        <v>100</v>
      </c>
      <c r="X42" s="1580"/>
      <c r="Y42" s="3402"/>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402"/>
      <c r="Q43" s="1573" t="str">
        <f t="shared" si="11"/>
        <v>内部装修</v>
      </c>
      <c r="R43" s="1574" t="s">
        <v>8</v>
      </c>
      <c r="S43" s="1575">
        <f t="shared" si="12"/>
        <v>100</v>
      </c>
      <c r="T43" s="1574" t="s">
        <v>8</v>
      </c>
      <c r="U43" s="1575">
        <f t="shared" si="13"/>
        <v>100</v>
      </c>
      <c r="V43" s="1574" t="s">
        <v>8</v>
      </c>
      <c r="W43" s="1575">
        <f t="shared" si="14"/>
        <v>100</v>
      </c>
      <c r="X43" s="1568"/>
      <c r="Y43" s="3402"/>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402"/>
      <c r="Q44" s="1573" t="str">
        <f t="shared" si="11"/>
        <v>内部装修维护情况</v>
      </c>
      <c r="R44" s="1574" t="s">
        <v>8</v>
      </c>
      <c r="S44" s="1575">
        <f t="shared" si="12"/>
        <v>100</v>
      </c>
      <c r="T44" s="1574" t="s">
        <v>8</v>
      </c>
      <c r="U44" s="1575">
        <f t="shared" si="13"/>
        <v>100</v>
      </c>
      <c r="V44" s="1574" t="s">
        <v>8</v>
      </c>
      <c r="W44" s="1575">
        <f t="shared" si="14"/>
        <v>100</v>
      </c>
      <c r="X44" s="1568"/>
      <c r="Y44" s="3402"/>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402"/>
      <c r="Q45" s="1151">
        <f t="shared" si="11"/>
        <v>111</v>
      </c>
      <c r="R45" s="1569" t="s">
        <v>8</v>
      </c>
      <c r="S45" s="1570">
        <f t="shared" si="12"/>
        <v>100</v>
      </c>
      <c r="T45" s="1569" t="s">
        <v>8</v>
      </c>
      <c r="U45" s="1570">
        <f t="shared" si="13"/>
        <v>100</v>
      </c>
      <c r="V45" s="1569" t="s">
        <v>8</v>
      </c>
      <c r="W45" s="1570">
        <f t="shared" si="14"/>
        <v>100</v>
      </c>
      <c r="X45" s="1571"/>
      <c r="Y45" s="3402"/>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402"/>
      <c r="Q46" s="1573">
        <f t="shared" si="11"/>
        <v>111</v>
      </c>
      <c r="R46" s="1574" t="s">
        <v>8</v>
      </c>
      <c r="S46" s="1575">
        <f t="shared" si="12"/>
        <v>100</v>
      </c>
      <c r="T46" s="1574" t="s">
        <v>8</v>
      </c>
      <c r="U46" s="1575">
        <f t="shared" si="13"/>
        <v>100</v>
      </c>
      <c r="V46" s="1574" t="s">
        <v>8</v>
      </c>
      <c r="W46" s="1575">
        <f t="shared" si="14"/>
        <v>100</v>
      </c>
      <c r="X46" s="1568"/>
      <c r="Y46" s="3402"/>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80"/>
      <c r="Q47" s="1573">
        <f t="shared" si="11"/>
        <v>111</v>
      </c>
      <c r="R47" s="1574" t="s">
        <v>8</v>
      </c>
      <c r="S47" s="1575">
        <f t="shared" si="12"/>
        <v>100</v>
      </c>
      <c r="T47" s="1574" t="s">
        <v>8</v>
      </c>
      <c r="U47" s="1575">
        <f t="shared" si="13"/>
        <v>100</v>
      </c>
      <c r="V47" s="1574" t="s">
        <v>8</v>
      </c>
      <c r="W47" s="1575">
        <f t="shared" si="14"/>
        <v>100</v>
      </c>
      <c r="X47" s="1568"/>
      <c r="Y47" s="3480"/>
      <c r="Z47" s="1576">
        <f t="shared" si="15"/>
        <v>111</v>
      </c>
      <c r="AA47" s="1577">
        <f t="shared" si="3"/>
        <v>1</v>
      </c>
      <c r="AB47" s="1577">
        <f t="shared" si="4"/>
        <v>1</v>
      </c>
      <c r="AC47" s="1577">
        <f t="shared" si="5"/>
        <v>1</v>
      </c>
    </row>
    <row r="48" spans="1:29" ht="15">
      <c r="A48" s="607" t="s">
        <v>736</v>
      </c>
      <c r="B48" s="887"/>
      <c r="C48" s="2627" t="s">
        <v>1</v>
      </c>
      <c r="D48" s="2628"/>
      <c r="E48" s="2629"/>
      <c r="F48" s="2630"/>
      <c r="G48" s="2631"/>
      <c r="H48" s="2632"/>
      <c r="I48" s="2629"/>
      <c r="J48" s="2632"/>
      <c r="K48" s="1612"/>
      <c r="L48" s="2144"/>
      <c r="M48" s="2134"/>
      <c r="N48" s="2134"/>
      <c r="O48" s="2134"/>
      <c r="P48" s="3363" t="str">
        <f>A48</f>
        <v>成交单价（元/平方米）</v>
      </c>
      <c r="Q48" s="3365"/>
      <c r="R48" s="3479">
        <f>E48</f>
        <v>0</v>
      </c>
      <c r="S48" s="3479"/>
      <c r="T48" s="3479">
        <f>G48</f>
        <v>0</v>
      </c>
      <c r="U48" s="3479"/>
      <c r="V48" s="3479">
        <f>I48</f>
        <v>0</v>
      </c>
      <c r="W48" s="3479"/>
      <c r="X48" s="1560"/>
      <c r="Y48" s="1582"/>
      <c r="Z48" s="1560"/>
      <c r="AA48" s="1560"/>
      <c r="AB48" s="1560"/>
      <c r="AC48" s="1560"/>
    </row>
    <row r="49" spans="1:29" ht="15.75" thickBot="1">
      <c r="A49" s="615" t="s">
        <v>2763</v>
      </c>
      <c r="B49" s="888"/>
      <c r="C49" s="2633" t="e">
        <f>R50</f>
        <v>#DIV/0!</v>
      </c>
      <c r="D49" s="2634"/>
      <c r="E49" s="2635" t="e">
        <f>R49</f>
        <v>#DIV/0!</v>
      </c>
      <c r="F49" s="2635"/>
      <c r="G49" s="2633" t="e">
        <f>T49</f>
        <v>#DIV/0!</v>
      </c>
      <c r="H49" s="2634"/>
      <c r="I49" s="2635" t="e">
        <f>V49</f>
        <v>#DIV/0!</v>
      </c>
      <c r="J49" s="2634"/>
      <c r="K49" s="1613"/>
      <c r="L49" s="2144"/>
      <c r="M49" s="2134"/>
      <c r="N49" s="2134"/>
      <c r="O49" s="2134"/>
      <c r="P49" s="3363" t="str">
        <f>A49</f>
        <v>比较价格（元/平方米）</v>
      </c>
      <c r="Q49" s="3365"/>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60"/>
      <c r="Y49" s="1560"/>
      <c r="Z49" s="1560"/>
      <c r="AA49" s="1560"/>
      <c r="AB49" s="1560"/>
      <c r="AC49" s="1560"/>
    </row>
    <row r="50" spans="1:29" ht="15.75" thickBot="1">
      <c r="A50" s="621" t="s">
        <v>2936</v>
      </c>
      <c r="B50" s="622"/>
      <c r="C50" s="2636" t="e">
        <f>R50</f>
        <v>#DIV/0!</v>
      </c>
      <c r="D50" s="2636"/>
      <c r="E50" s="2636"/>
      <c r="F50" s="2636"/>
      <c r="G50" s="2636"/>
      <c r="H50" s="2636"/>
      <c r="I50" s="2636"/>
      <c r="J50" s="2636"/>
      <c r="K50" s="1614"/>
      <c r="L50" s="2144"/>
      <c r="M50" s="2134"/>
      <c r="N50" s="2134"/>
      <c r="O50" s="2134"/>
      <c r="P50" s="3482" t="str">
        <f>A50</f>
        <v>估价对象XX用房的比较价格（楼面单价，元/平方米）</v>
      </c>
      <c r="Q50" s="3363"/>
      <c r="R50" s="3478" t="e">
        <f>IF(F1="售价",ROUND(AVERAGE(R49:V49),0),ROUND(AVERAGE(R49:V49),1))</f>
        <v>#DIV/0!</v>
      </c>
      <c r="S50" s="3478"/>
      <c r="T50" s="3478"/>
      <c r="U50" s="3478"/>
      <c r="V50" s="3478"/>
      <c r="W50" s="3478"/>
      <c r="X50" s="1560"/>
      <c r="Y50" s="1560"/>
      <c r="Z50" s="1560"/>
      <c r="AA50" s="1560"/>
      <c r="AB50" s="1560"/>
      <c r="AC50" s="1560"/>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5" t="s">
        <v>574</v>
      </c>
      <c r="B58" s="1560"/>
      <c r="C58" s="1584"/>
      <c r="D58" s="1584"/>
      <c r="E58" s="1584"/>
      <c r="F58" s="1586"/>
      <c r="G58" s="1586"/>
      <c r="H58" s="1584"/>
      <c r="I58" s="1584"/>
      <c r="J58" s="1584"/>
      <c r="K58" s="1587"/>
      <c r="L58" s="1583"/>
      <c r="M58" s="1584"/>
      <c r="N58" s="1584"/>
      <c r="O58" s="1584"/>
      <c r="P58" s="2210"/>
      <c r="Q58" s="2158"/>
      <c r="R58" s="2145"/>
      <c r="S58" s="2145"/>
      <c r="T58" s="2145"/>
      <c r="U58" s="2145"/>
      <c r="V58" s="2145"/>
      <c r="W58" s="2145"/>
      <c r="X58" s="2145"/>
      <c r="Y58" s="2145"/>
      <c r="Z58" s="2145"/>
      <c r="AA58" s="2145"/>
      <c r="AB58" s="2145"/>
      <c r="AC58" s="2145"/>
    </row>
    <row r="59" spans="1:29" s="1347" customFormat="1" ht="15">
      <c r="A59" s="645" t="s">
        <v>529</v>
      </c>
      <c r="B59" s="646"/>
      <c r="C59" s="2802" t="str">
        <f>YEAR(C7)&amp;"-"&amp;MONTH(C7)</f>
        <v>2018-9</v>
      </c>
      <c r="D59" s="2804">
        <f>EDATE(C59,-1)</f>
        <v>43313</v>
      </c>
      <c r="E59" s="2804">
        <f t="shared" ref="E59:O59" si="16">EDATE(D59,-1)</f>
        <v>43282</v>
      </c>
      <c r="F59" s="2804">
        <f t="shared" si="16"/>
        <v>43252</v>
      </c>
      <c r="G59" s="2804">
        <f t="shared" si="16"/>
        <v>43221</v>
      </c>
      <c r="H59" s="2804">
        <f t="shared" si="16"/>
        <v>43191</v>
      </c>
      <c r="I59" s="2804">
        <f t="shared" si="16"/>
        <v>43160</v>
      </c>
      <c r="J59" s="2804">
        <f t="shared" si="16"/>
        <v>43132</v>
      </c>
      <c r="K59" s="2804">
        <f t="shared" si="16"/>
        <v>43101</v>
      </c>
      <c r="L59" s="2804">
        <f t="shared" si="16"/>
        <v>43070</v>
      </c>
      <c r="M59" s="2804">
        <f t="shared" si="16"/>
        <v>43040</v>
      </c>
      <c r="N59" s="2804">
        <f t="shared" si="16"/>
        <v>43009</v>
      </c>
      <c r="O59" s="2804">
        <f t="shared" si="16"/>
        <v>42979</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8" t="s">
        <v>2560</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2561</v>
      </c>
      <c r="C83" s="2598" t="s">
        <v>2562</v>
      </c>
      <c r="D83" s="2598" t="s">
        <v>2563</v>
      </c>
      <c r="E83" s="2598" t="s">
        <v>2564</v>
      </c>
      <c r="F83" s="2598" t="s">
        <v>2565</v>
      </c>
      <c r="G83" s="2598" t="s">
        <v>2566</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8" t="s">
        <v>2559</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7"/>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521</v>
      </c>
      <c r="B4" s="513"/>
      <c r="C4" s="3371" t="s">
        <v>522</v>
      </c>
      <c r="D4" s="3372"/>
      <c r="E4" s="3406" t="s">
        <v>523</v>
      </c>
      <c r="F4" s="3407"/>
      <c r="G4" s="3371" t="s">
        <v>524</v>
      </c>
      <c r="H4" s="3372"/>
      <c r="I4" s="3371" t="s">
        <v>525</v>
      </c>
      <c r="J4" s="3372"/>
      <c r="K4" s="514" t="s">
        <v>526</v>
      </c>
      <c r="L4" s="2133"/>
      <c r="M4" s="2134"/>
      <c r="N4" s="2134"/>
      <c r="O4" s="2134"/>
      <c r="P4" s="3373" t="s">
        <v>527</v>
      </c>
      <c r="Q4" s="3374"/>
      <c r="R4" s="3379" t="s">
        <v>523</v>
      </c>
      <c r="S4" s="3380"/>
      <c r="T4" s="3379" t="s">
        <v>524</v>
      </c>
      <c r="U4" s="3380"/>
      <c r="V4" s="3366" t="s">
        <v>525</v>
      </c>
      <c r="W4" s="3366"/>
      <c r="X4" s="1568"/>
      <c r="Y4" s="3379" t="s">
        <v>527</v>
      </c>
      <c r="Z4" s="3380"/>
      <c r="AA4" s="3368" t="s">
        <v>523</v>
      </c>
      <c r="AB4" s="3369" t="s">
        <v>524</v>
      </c>
      <c r="AC4" s="3368" t="s">
        <v>525</v>
      </c>
    </row>
    <row r="5" spans="1:29" ht="15">
      <c r="A5" s="515"/>
      <c r="B5" s="516"/>
      <c r="C5" s="3403" t="s">
        <v>2930</v>
      </c>
      <c r="D5" s="3388"/>
      <c r="E5" s="3408" t="s">
        <v>2931</v>
      </c>
      <c r="F5" s="3409"/>
      <c r="G5" s="3403" t="s">
        <v>2932</v>
      </c>
      <c r="H5" s="3388"/>
      <c r="I5" s="3403" t="s">
        <v>2933</v>
      </c>
      <c r="J5" s="3388"/>
      <c r="K5" s="514"/>
      <c r="L5" s="2133"/>
      <c r="M5" s="2134"/>
      <c r="N5" s="2134"/>
      <c r="O5" s="2134"/>
      <c r="P5" s="3375"/>
      <c r="Q5" s="3376"/>
      <c r="R5" s="3381"/>
      <c r="S5" s="3382"/>
      <c r="T5" s="3381"/>
      <c r="U5" s="3382"/>
      <c r="V5" s="3366"/>
      <c r="W5" s="3366"/>
      <c r="X5" s="1568"/>
      <c r="Y5" s="3381"/>
      <c r="Z5" s="3382"/>
      <c r="AA5" s="3369"/>
      <c r="AB5" s="3369"/>
      <c r="AC5" s="3369"/>
    </row>
    <row r="6" spans="1:29" ht="15.75" thickBot="1">
      <c r="A6" s="517"/>
      <c r="B6" s="518"/>
      <c r="C6" s="3385" t="s">
        <v>2934</v>
      </c>
      <c r="D6" s="3386"/>
      <c r="E6" s="3404" t="s">
        <v>2934</v>
      </c>
      <c r="F6" s="3405"/>
      <c r="G6" s="3385" t="s">
        <v>2934</v>
      </c>
      <c r="H6" s="3386"/>
      <c r="I6" s="3385" t="s">
        <v>2934</v>
      </c>
      <c r="J6" s="3386"/>
      <c r="K6" s="514" t="s">
        <v>528</v>
      </c>
      <c r="L6" s="2133"/>
      <c r="M6" s="2134"/>
      <c r="N6" s="2134"/>
      <c r="O6" s="2134"/>
      <c r="P6" s="3377"/>
      <c r="Q6" s="3378"/>
      <c r="R6" s="3381"/>
      <c r="S6" s="3382"/>
      <c r="T6" s="3383"/>
      <c r="U6" s="3384"/>
      <c r="V6" s="3366"/>
      <c r="W6" s="3366"/>
      <c r="X6" s="1568"/>
      <c r="Y6" s="3383"/>
      <c r="Z6" s="3384"/>
      <c r="AA6" s="3370"/>
      <c r="AB6" s="3370"/>
      <c r="AC6" s="3370"/>
    </row>
    <row r="7" spans="1:29" s="1220" customFormat="1" ht="15.75" thickBot="1">
      <c r="A7" s="2912"/>
      <c r="B7" s="2919" t="s">
        <v>529</v>
      </c>
      <c r="C7" s="519">
        <f>'数据-取费表'!B2</f>
        <v>43361</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96" t="s">
        <v>530</v>
      </c>
      <c r="Q7" s="3398"/>
      <c r="R7" s="1569" t="s">
        <v>8</v>
      </c>
      <c r="S7" s="1570">
        <f t="shared" ref="S7:S15" si="0">F7</f>
        <v>0</v>
      </c>
      <c r="T7" s="1569" t="s">
        <v>8</v>
      </c>
      <c r="U7" s="1570">
        <f t="shared" ref="U7:U15" si="1">H7</f>
        <v>0</v>
      </c>
      <c r="V7" s="1569" t="s">
        <v>8</v>
      </c>
      <c r="W7" s="1570">
        <f t="shared" ref="W7:W15" si="2">J7</f>
        <v>0</v>
      </c>
      <c r="X7" s="1571"/>
      <c r="Y7" s="3396" t="s">
        <v>530</v>
      </c>
      <c r="Z7" s="3397"/>
      <c r="AA7" s="1572" t="e">
        <f>D7/F7</f>
        <v>#DIV/0!</v>
      </c>
      <c r="AB7" s="1572" t="e">
        <f>D7/H7</f>
        <v>#DIV/0!</v>
      </c>
      <c r="AC7" s="1572" t="e">
        <f>D7/J7</f>
        <v>#DIV/0!</v>
      </c>
    </row>
    <row r="8" spans="1:29" s="1220" customFormat="1" ht="15.75" thickBot="1">
      <c r="A8" s="2913"/>
      <c r="B8" s="2920"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96" t="s">
        <v>533</v>
      </c>
      <c r="Q8" s="3397"/>
      <c r="R8" s="1569" t="s">
        <v>8</v>
      </c>
      <c r="S8" s="1570">
        <f t="shared" si="0"/>
        <v>0</v>
      </c>
      <c r="T8" s="1569" t="s">
        <v>8</v>
      </c>
      <c r="U8" s="1570">
        <f t="shared" si="1"/>
        <v>0</v>
      </c>
      <c r="V8" s="1569" t="s">
        <v>8</v>
      </c>
      <c r="W8" s="1570">
        <f t="shared" si="2"/>
        <v>0</v>
      </c>
      <c r="X8" s="1571"/>
      <c r="Y8" s="3396" t="s">
        <v>533</v>
      </c>
      <c r="Z8" s="3397"/>
      <c r="AA8" s="1572" t="e">
        <f t="shared" ref="AA8:AA40" si="3">D8/F8</f>
        <v>#DIV/0!</v>
      </c>
      <c r="AB8" s="1572" t="e">
        <f t="shared" ref="AB8:AB40" si="4">D8/H8</f>
        <v>#DIV/0!</v>
      </c>
      <c r="AC8" s="1572" t="e">
        <f t="shared" ref="AC8:AC40" si="5">D8/J8</f>
        <v>#DIV/0!</v>
      </c>
    </row>
    <row r="9" spans="1:29" s="1220" customFormat="1" ht="15">
      <c r="A9" s="2914"/>
      <c r="B9" s="2921" t="s">
        <v>2759</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65" t="s">
        <v>535</v>
      </c>
      <c r="Q9" s="1151" t="str">
        <f t="shared" ref="Q9:Q15" si="6">B9</f>
        <v>用途</v>
      </c>
      <c r="R9" s="1569" t="s">
        <v>8</v>
      </c>
      <c r="S9" s="1570">
        <f t="shared" si="0"/>
        <v>100</v>
      </c>
      <c r="T9" s="1569" t="s">
        <v>8</v>
      </c>
      <c r="U9" s="1570">
        <f t="shared" si="1"/>
        <v>100</v>
      </c>
      <c r="V9" s="1569" t="s">
        <v>8</v>
      </c>
      <c r="W9" s="1570">
        <f t="shared" si="2"/>
        <v>100</v>
      </c>
      <c r="X9" s="1571"/>
      <c r="Y9" s="3311" t="s">
        <v>536</v>
      </c>
      <c r="Z9" s="1150" t="str">
        <f t="shared" ref="Z9:Z15" si="7">Q9</f>
        <v>用途</v>
      </c>
      <c r="AA9" s="1572">
        <f t="shared" si="3"/>
        <v>1</v>
      </c>
      <c r="AB9" s="1572">
        <f t="shared" si="4"/>
        <v>1</v>
      </c>
      <c r="AC9" s="1572">
        <f t="shared" si="5"/>
        <v>1</v>
      </c>
    </row>
    <row r="10" spans="1:29" s="1338" customFormat="1" ht="27">
      <c r="A10" s="2915"/>
      <c r="B10" s="2920" t="s">
        <v>2760</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6"/>
      <c r="B11" s="2920" t="s">
        <v>2761</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65"/>
      <c r="Q11" s="1151" t="str">
        <f t="shared" si="6"/>
        <v>容积率</v>
      </c>
      <c r="R11" s="1569" t="s">
        <v>8</v>
      </c>
      <c r="S11" s="1570" t="e">
        <f t="shared" si="0"/>
        <v>#N/A</v>
      </c>
      <c r="T11" s="1569" t="s">
        <v>8</v>
      </c>
      <c r="U11" s="1570" t="e">
        <f t="shared" si="1"/>
        <v>#N/A</v>
      </c>
      <c r="V11" s="1569" t="s">
        <v>8</v>
      </c>
      <c r="W11" s="1570" t="e">
        <f t="shared" si="2"/>
        <v>#N/A</v>
      </c>
      <c r="X11" s="1571"/>
      <c r="Y11" s="3311"/>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65"/>
      <c r="Q14" s="1151">
        <f t="shared" si="6"/>
        <v>111</v>
      </c>
      <c r="R14" s="1569" t="s">
        <v>8</v>
      </c>
      <c r="S14" s="1570">
        <f t="shared" si="0"/>
        <v>100</v>
      </c>
      <c r="T14" s="1569" t="s">
        <v>8</v>
      </c>
      <c r="U14" s="1570">
        <f t="shared" si="1"/>
        <v>100</v>
      </c>
      <c r="V14" s="1569" t="s">
        <v>8</v>
      </c>
      <c r="W14" s="1570">
        <f t="shared" si="2"/>
        <v>100</v>
      </c>
      <c r="X14" s="1571"/>
      <c r="Y14" s="3311"/>
      <c r="Z14" s="1150">
        <f t="shared" si="7"/>
        <v>111</v>
      </c>
      <c r="AA14" s="1572">
        <f t="shared" si="3"/>
        <v>1</v>
      </c>
      <c r="AB14" s="1572">
        <f t="shared" si="4"/>
        <v>1</v>
      </c>
      <c r="AC14" s="1572">
        <f t="shared" si="5"/>
        <v>1</v>
      </c>
    </row>
    <row r="15" spans="1:29" ht="57">
      <c r="A15" s="2910" t="s">
        <v>2757</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99" t="s">
        <v>540</v>
      </c>
      <c r="Q15" s="1573" t="str">
        <f t="shared" si="6"/>
        <v>产业集聚程度</v>
      </c>
      <c r="R15" s="1574" t="s">
        <v>8</v>
      </c>
      <c r="S15" s="1575">
        <f t="shared" si="0"/>
        <v>100</v>
      </c>
      <c r="T15" s="1574" t="s">
        <v>8</v>
      </c>
      <c r="U15" s="1575">
        <f t="shared" si="1"/>
        <v>100</v>
      </c>
      <c r="V15" s="1574" t="s">
        <v>8</v>
      </c>
      <c r="W15" s="1575">
        <f t="shared" si="2"/>
        <v>100</v>
      </c>
      <c r="X15" s="1568"/>
      <c r="Y15" s="3399"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2"/>
      <c r="M16" s="2134"/>
      <c r="N16" s="2134"/>
      <c r="O16" s="2141"/>
      <c r="P16" s="3400"/>
      <c r="Q16" s="1573"/>
      <c r="R16" s="1574"/>
      <c r="S16" s="1575"/>
      <c r="T16" s="1574"/>
      <c r="U16" s="1575"/>
      <c r="V16" s="1574"/>
      <c r="W16" s="1575"/>
      <c r="X16" s="1568"/>
      <c r="Y16" s="3400"/>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400"/>
      <c r="Q17" s="1573" t="str">
        <f>B17</f>
        <v>交通便捷度</v>
      </c>
      <c r="R17" s="1574" t="s">
        <v>8</v>
      </c>
      <c r="S17" s="1575">
        <f>F17</f>
        <v>100</v>
      </c>
      <c r="T17" s="1574" t="s">
        <v>8</v>
      </c>
      <c r="U17" s="1575">
        <f>H17</f>
        <v>100</v>
      </c>
      <c r="V17" s="1574" t="s">
        <v>8</v>
      </c>
      <c r="W17" s="1575">
        <f>J17</f>
        <v>100</v>
      </c>
      <c r="X17" s="1568"/>
      <c r="Y17" s="340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2"/>
      <c r="M18" s="2134"/>
      <c r="N18" s="2134"/>
      <c r="O18" s="2141"/>
      <c r="P18" s="3400"/>
      <c r="Q18" s="1573"/>
      <c r="R18" s="1574"/>
      <c r="S18" s="1575"/>
      <c r="T18" s="1574"/>
      <c r="U18" s="1575"/>
      <c r="V18" s="1574"/>
      <c r="W18" s="1575"/>
      <c r="X18" s="1568"/>
      <c r="Y18" s="3400"/>
      <c r="Z18" s="1576"/>
      <c r="AA18" s="1577">
        <v>1</v>
      </c>
      <c r="AB18" s="1577">
        <v>1</v>
      </c>
      <c r="AC18" s="1577">
        <v>1</v>
      </c>
    </row>
    <row r="19" spans="1:29" ht="42.75">
      <c r="A19" s="532"/>
      <c r="B19" s="2603" t="s">
        <v>2549</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400"/>
      <c r="Q19" s="1573" t="str">
        <f>B19</f>
        <v>公共配套设施</v>
      </c>
      <c r="R19" s="1574" t="s">
        <v>8</v>
      </c>
      <c r="S19" s="1575">
        <f>F19</f>
        <v>100</v>
      </c>
      <c r="T19" s="1574" t="s">
        <v>8</v>
      </c>
      <c r="U19" s="1575">
        <f>H19</f>
        <v>100</v>
      </c>
      <c r="V19" s="1574" t="s">
        <v>8</v>
      </c>
      <c r="W19" s="1575">
        <f>J19</f>
        <v>100</v>
      </c>
      <c r="X19" s="1568"/>
      <c r="Y19" s="3400"/>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2"/>
      <c r="M20" s="2134"/>
      <c r="N20" s="2134"/>
      <c r="O20" s="2141"/>
      <c r="P20" s="3400"/>
      <c r="Q20" s="1573"/>
      <c r="R20" s="1574"/>
      <c r="S20" s="1575"/>
      <c r="T20" s="1574"/>
      <c r="U20" s="1575"/>
      <c r="V20" s="1574"/>
      <c r="W20" s="1575"/>
      <c r="X20" s="1568"/>
      <c r="Y20" s="3400"/>
      <c r="Z20" s="1576"/>
      <c r="AA20" s="1577">
        <v>1</v>
      </c>
      <c r="AB20" s="1577">
        <v>1</v>
      </c>
      <c r="AC20" s="1577">
        <v>1</v>
      </c>
    </row>
    <row r="21" spans="1:29" ht="28.5">
      <c r="A21" s="532"/>
      <c r="B21" s="2591" t="s">
        <v>2561</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400"/>
      <c r="Q21" s="2579" t="str">
        <f>B21</f>
        <v>基础设施水平</v>
      </c>
      <c r="R21" s="1574" t="s">
        <v>8</v>
      </c>
      <c r="S21" s="1575">
        <f>F21</f>
        <v>100</v>
      </c>
      <c r="T21" s="1574" t="s">
        <v>8</v>
      </c>
      <c r="U21" s="1575">
        <f>H21</f>
        <v>100</v>
      </c>
      <c r="V21" s="1574" t="s">
        <v>8</v>
      </c>
      <c r="W21" s="1575">
        <f>J21</f>
        <v>100</v>
      </c>
      <c r="X21" s="2581"/>
      <c r="Y21" s="3400"/>
      <c r="Z21" s="2580"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2"/>
      <c r="L22" s="2142"/>
      <c r="M22" s="2134"/>
      <c r="N22" s="2134"/>
      <c r="O22" s="2141"/>
      <c r="P22" s="3400"/>
      <c r="Q22" s="2579"/>
      <c r="R22" s="1574"/>
      <c r="S22" s="1575"/>
      <c r="T22" s="1574"/>
      <c r="U22" s="1575"/>
      <c r="V22" s="1574"/>
      <c r="W22" s="1575"/>
      <c r="X22" s="2581"/>
      <c r="Y22" s="3400"/>
      <c r="Z22" s="2580"/>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400"/>
      <c r="Q23" s="1573" t="str">
        <f>B23</f>
        <v>环境质量</v>
      </c>
      <c r="R23" s="1574" t="s">
        <v>8</v>
      </c>
      <c r="S23" s="1575">
        <f>F23</f>
        <v>100</v>
      </c>
      <c r="T23" s="1574" t="s">
        <v>8</v>
      </c>
      <c r="U23" s="1575">
        <f>H23</f>
        <v>100</v>
      </c>
      <c r="V23" s="1574" t="s">
        <v>8</v>
      </c>
      <c r="W23" s="1575">
        <f>J23</f>
        <v>100</v>
      </c>
      <c r="X23" s="1568"/>
      <c r="Y23" s="3400"/>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2"/>
      <c r="M24" s="2134"/>
      <c r="N24" s="2134"/>
      <c r="O24" s="2141"/>
      <c r="P24" s="3400"/>
      <c r="Q24" s="1573"/>
      <c r="R24" s="1574"/>
      <c r="S24" s="1575"/>
      <c r="T24" s="1574"/>
      <c r="U24" s="1575"/>
      <c r="V24" s="1574"/>
      <c r="W24" s="1575"/>
      <c r="X24" s="1568"/>
      <c r="Y24" s="3400"/>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400"/>
      <c r="Q25" s="1573">
        <f>B25</f>
        <v>111</v>
      </c>
      <c r="R25" s="1574" t="s">
        <v>8</v>
      </c>
      <c r="S25" s="1575">
        <f>F25</f>
        <v>100</v>
      </c>
      <c r="T25" s="1574" t="s">
        <v>8</v>
      </c>
      <c r="U25" s="1575">
        <f>H25</f>
        <v>100</v>
      </c>
      <c r="V25" s="1574" t="s">
        <v>8</v>
      </c>
      <c r="W25" s="1575">
        <f>J25</f>
        <v>100</v>
      </c>
      <c r="X25" s="1568"/>
      <c r="Y25" s="3400"/>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400"/>
      <c r="Q26" s="1573">
        <f t="shared" ref="Q26:Q40" si="11">B26</f>
        <v>111</v>
      </c>
      <c r="R26" s="1574" t="s">
        <v>8</v>
      </c>
      <c r="S26" s="1575">
        <f>F26</f>
        <v>100</v>
      </c>
      <c r="T26" s="1574" t="s">
        <v>8</v>
      </c>
      <c r="U26" s="1575">
        <f>H26</f>
        <v>100</v>
      </c>
      <c r="V26" s="1574" t="s">
        <v>8</v>
      </c>
      <c r="W26" s="1575">
        <f>J26</f>
        <v>100</v>
      </c>
      <c r="X26" s="1568"/>
      <c r="Y26" s="3400"/>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400"/>
      <c r="Q27" s="1151">
        <f t="shared" si="11"/>
        <v>111</v>
      </c>
      <c r="R27" s="1569" t="s">
        <v>8</v>
      </c>
      <c r="S27" s="1570">
        <f>F27</f>
        <v>100</v>
      </c>
      <c r="T27" s="1569" t="s">
        <v>8</v>
      </c>
      <c r="U27" s="1570">
        <f>H27</f>
        <v>100</v>
      </c>
      <c r="V27" s="1569" t="s">
        <v>8</v>
      </c>
      <c r="W27" s="1570">
        <f>J27</f>
        <v>100</v>
      </c>
      <c r="X27" s="1571"/>
      <c r="Y27" s="3400"/>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400"/>
      <c r="Q28" s="1573">
        <f t="shared" si="11"/>
        <v>111</v>
      </c>
      <c r="R28" s="1574" t="s">
        <v>8</v>
      </c>
      <c r="S28" s="1575">
        <f t="shared" ref="S28:S40" si="12">F28</f>
        <v>100</v>
      </c>
      <c r="T28" s="1574" t="s">
        <v>8</v>
      </c>
      <c r="U28" s="1575">
        <f t="shared" ref="U28:U40" si="13">H28</f>
        <v>100</v>
      </c>
      <c r="V28" s="1574" t="s">
        <v>8</v>
      </c>
      <c r="W28" s="1575">
        <f t="shared" ref="W28:W40" si="14">J28</f>
        <v>100</v>
      </c>
      <c r="X28" s="1568"/>
      <c r="Y28" s="3400"/>
      <c r="Z28" s="1576">
        <f t="shared" ref="Z28:Z40" si="15">Q28</f>
        <v>111</v>
      </c>
      <c r="AA28" s="1577">
        <f t="shared" si="3"/>
        <v>1</v>
      </c>
      <c r="AB28" s="1577">
        <f t="shared" si="4"/>
        <v>1</v>
      </c>
      <c r="AC28" s="1577">
        <f t="shared" si="5"/>
        <v>1</v>
      </c>
    </row>
    <row r="29" spans="1:29" ht="15">
      <c r="A29" s="2907" t="s">
        <v>2758</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401" t="s">
        <v>550</v>
      </c>
      <c r="Q29" s="1573" t="str">
        <f t="shared" si="11"/>
        <v>建筑类型</v>
      </c>
      <c r="R29" s="1574" t="s">
        <v>8</v>
      </c>
      <c r="S29" s="1575">
        <f t="shared" si="12"/>
        <v>100</v>
      </c>
      <c r="T29" s="1574" t="s">
        <v>8</v>
      </c>
      <c r="U29" s="1575">
        <f t="shared" si="13"/>
        <v>100</v>
      </c>
      <c r="V29" s="1574" t="s">
        <v>8</v>
      </c>
      <c r="W29" s="1575">
        <f t="shared" si="14"/>
        <v>100</v>
      </c>
      <c r="X29" s="1568"/>
      <c r="Y29" s="3402"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402"/>
      <c r="Q30" s="1606" t="str">
        <f t="shared" si="11"/>
        <v>项目建筑规模</v>
      </c>
      <c r="R30" s="1578" t="s">
        <v>8</v>
      </c>
      <c r="S30" s="1579" t="e">
        <f t="shared" si="12"/>
        <v>#N/A</v>
      </c>
      <c r="T30" s="1578" t="s">
        <v>8</v>
      </c>
      <c r="U30" s="1579" t="e">
        <f t="shared" si="13"/>
        <v>#N/A</v>
      </c>
      <c r="V30" s="1578" t="s">
        <v>8</v>
      </c>
      <c r="W30" s="1579" t="e">
        <f t="shared" si="14"/>
        <v>#N/A</v>
      </c>
      <c r="X30" s="1580"/>
      <c r="Y30" s="3402"/>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402"/>
      <c r="Q31" s="1573" t="str">
        <f t="shared" si="11"/>
        <v>建筑结构</v>
      </c>
      <c r="R31" s="1574" t="s">
        <v>8</v>
      </c>
      <c r="S31" s="1575">
        <f t="shared" si="12"/>
        <v>100</v>
      </c>
      <c r="T31" s="1574" t="s">
        <v>8</v>
      </c>
      <c r="U31" s="1575">
        <f t="shared" si="13"/>
        <v>100</v>
      </c>
      <c r="V31" s="1574" t="s">
        <v>8</v>
      </c>
      <c r="W31" s="1575">
        <f t="shared" si="14"/>
        <v>100</v>
      </c>
      <c r="X31" s="1568"/>
      <c r="Y31" s="3402"/>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402"/>
      <c r="Q32" s="1573" t="str">
        <f t="shared" si="11"/>
        <v>公共部分装修</v>
      </c>
      <c r="R32" s="1574" t="s">
        <v>8</v>
      </c>
      <c r="S32" s="1575">
        <f t="shared" si="12"/>
        <v>100</v>
      </c>
      <c r="T32" s="1574" t="s">
        <v>8</v>
      </c>
      <c r="U32" s="1575">
        <f t="shared" si="13"/>
        <v>100</v>
      </c>
      <c r="V32" s="1574" t="s">
        <v>8</v>
      </c>
      <c r="W32" s="1575">
        <f t="shared" si="14"/>
        <v>100</v>
      </c>
      <c r="X32" s="1568"/>
      <c r="Y32" s="3402"/>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402"/>
      <c r="Q33" s="1573" t="str">
        <f t="shared" si="11"/>
        <v>成新度</v>
      </c>
      <c r="R33" s="1574" t="s">
        <v>8</v>
      </c>
      <c r="S33" s="1575" t="e">
        <f t="shared" si="12"/>
        <v>#N/A</v>
      </c>
      <c r="T33" s="1574" t="s">
        <v>8</v>
      </c>
      <c r="U33" s="1575" t="e">
        <f t="shared" si="13"/>
        <v>#N/A</v>
      </c>
      <c r="V33" s="1574" t="s">
        <v>8</v>
      </c>
      <c r="W33" s="1575" t="e">
        <f t="shared" si="14"/>
        <v>#N/A</v>
      </c>
      <c r="X33" s="1568"/>
      <c r="Y33" s="3402"/>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402"/>
      <c r="Q34" s="1151" t="str">
        <f t="shared" si="11"/>
        <v>物业管理</v>
      </c>
      <c r="R34" s="1569" t="s">
        <v>8</v>
      </c>
      <c r="S34" s="1570">
        <f t="shared" si="12"/>
        <v>100</v>
      </c>
      <c r="T34" s="1569" t="s">
        <v>8</v>
      </c>
      <c r="U34" s="1570">
        <f t="shared" si="13"/>
        <v>100</v>
      </c>
      <c r="V34" s="1569" t="s">
        <v>8</v>
      </c>
      <c r="W34" s="1570">
        <f t="shared" si="14"/>
        <v>100</v>
      </c>
      <c r="X34" s="1571"/>
      <c r="Y34" s="3402"/>
      <c r="Z34" s="1150" t="str">
        <f t="shared" si="15"/>
        <v>物业管理</v>
      </c>
      <c r="AA34" s="1572">
        <f t="shared" si="3"/>
        <v>1</v>
      </c>
      <c r="AB34" s="1572">
        <f t="shared" si="4"/>
        <v>1</v>
      </c>
      <c r="AC34" s="1572">
        <f t="shared" si="5"/>
        <v>1</v>
      </c>
    </row>
    <row r="35" spans="1:29" ht="15">
      <c r="A35" s="594"/>
      <c r="B35" s="1897" t="s">
        <v>2568</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402" t="s">
        <v>550</v>
      </c>
      <c r="Q35" s="1573" t="str">
        <f t="shared" si="11"/>
        <v>市政基础设施</v>
      </c>
      <c r="R35" s="1574" t="s">
        <v>8</v>
      </c>
      <c r="S35" s="1575">
        <f t="shared" si="12"/>
        <v>100</v>
      </c>
      <c r="T35" s="1574" t="s">
        <v>8</v>
      </c>
      <c r="U35" s="1575">
        <f t="shared" si="13"/>
        <v>100</v>
      </c>
      <c r="V35" s="1574" t="s">
        <v>8</v>
      </c>
      <c r="W35" s="1575">
        <f t="shared" si="14"/>
        <v>100</v>
      </c>
      <c r="X35" s="1568"/>
      <c r="Y35" s="3402"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402"/>
      <c r="Q36" s="1573" t="str">
        <f t="shared" si="11"/>
        <v>内部装修</v>
      </c>
      <c r="R36" s="1574" t="s">
        <v>8</v>
      </c>
      <c r="S36" s="1575">
        <f t="shared" si="12"/>
        <v>100</v>
      </c>
      <c r="T36" s="1574" t="s">
        <v>8</v>
      </c>
      <c r="U36" s="1575">
        <f t="shared" si="13"/>
        <v>100</v>
      </c>
      <c r="V36" s="1574" t="s">
        <v>8</v>
      </c>
      <c r="W36" s="1575">
        <f t="shared" si="14"/>
        <v>100</v>
      </c>
      <c r="X36" s="1568"/>
      <c r="Y36" s="3402"/>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402"/>
      <c r="Q37" s="1573" t="str">
        <f t="shared" si="11"/>
        <v>内部装修状况</v>
      </c>
      <c r="R37" s="1574" t="s">
        <v>8</v>
      </c>
      <c r="S37" s="1575">
        <f t="shared" si="12"/>
        <v>100</v>
      </c>
      <c r="T37" s="1574" t="s">
        <v>8</v>
      </c>
      <c r="U37" s="1575">
        <f t="shared" si="13"/>
        <v>100</v>
      </c>
      <c r="V37" s="1574" t="s">
        <v>8</v>
      </c>
      <c r="W37" s="1575">
        <f t="shared" si="14"/>
        <v>100</v>
      </c>
      <c r="X37" s="1568"/>
      <c r="Y37" s="3402"/>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402"/>
      <c r="Q38" s="1606">
        <f t="shared" si="11"/>
        <v>111</v>
      </c>
      <c r="R38" s="1578" t="s">
        <v>8</v>
      </c>
      <c r="S38" s="1579">
        <f t="shared" si="12"/>
        <v>100</v>
      </c>
      <c r="T38" s="1578" t="s">
        <v>8</v>
      </c>
      <c r="U38" s="1579">
        <f t="shared" si="13"/>
        <v>100</v>
      </c>
      <c r="V38" s="1578" t="s">
        <v>8</v>
      </c>
      <c r="W38" s="1579">
        <f t="shared" si="14"/>
        <v>100</v>
      </c>
      <c r="X38" s="1580"/>
      <c r="Y38" s="3402"/>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402"/>
      <c r="Q39" s="1573">
        <f t="shared" si="11"/>
        <v>111</v>
      </c>
      <c r="R39" s="1574" t="s">
        <v>8</v>
      </c>
      <c r="S39" s="1575">
        <f t="shared" si="12"/>
        <v>100</v>
      </c>
      <c r="T39" s="1574" t="s">
        <v>8</v>
      </c>
      <c r="U39" s="1575">
        <f t="shared" si="13"/>
        <v>100</v>
      </c>
      <c r="V39" s="1574" t="s">
        <v>8</v>
      </c>
      <c r="W39" s="1575">
        <f t="shared" si="14"/>
        <v>100</v>
      </c>
      <c r="X39" s="1568"/>
      <c r="Y39" s="3402"/>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80"/>
      <c r="Q40" s="1573">
        <f t="shared" si="11"/>
        <v>111</v>
      </c>
      <c r="R40" s="1574" t="s">
        <v>8</v>
      </c>
      <c r="S40" s="1575">
        <f t="shared" si="12"/>
        <v>100</v>
      </c>
      <c r="T40" s="1574" t="s">
        <v>8</v>
      </c>
      <c r="U40" s="1575">
        <f t="shared" si="13"/>
        <v>100</v>
      </c>
      <c r="V40" s="1574" t="s">
        <v>8</v>
      </c>
      <c r="W40" s="1575">
        <f t="shared" si="14"/>
        <v>100</v>
      </c>
      <c r="X40" s="1568"/>
      <c r="Y40" s="3480"/>
      <c r="Z40" s="1576">
        <f t="shared" si="15"/>
        <v>111</v>
      </c>
      <c r="AA40" s="1577">
        <f t="shared" si="3"/>
        <v>1</v>
      </c>
      <c r="AB40" s="1577">
        <f t="shared" si="4"/>
        <v>1</v>
      </c>
      <c r="AC40" s="1577">
        <f t="shared" si="5"/>
        <v>1</v>
      </c>
    </row>
    <row r="41" spans="1:29" ht="15">
      <c r="A41" s="607" t="s">
        <v>736</v>
      </c>
      <c r="B41" s="887"/>
      <c r="C41" s="2627" t="s">
        <v>1</v>
      </c>
      <c r="D41" s="2628"/>
      <c r="E41" s="2629"/>
      <c r="F41" s="2630"/>
      <c r="G41" s="2631"/>
      <c r="H41" s="2632"/>
      <c r="I41" s="2629"/>
      <c r="J41" s="2632"/>
      <c r="K41" s="1612"/>
      <c r="L41" s="2144"/>
      <c r="M41" s="2145"/>
      <c r="N41" s="2134"/>
      <c r="O41" s="2145"/>
      <c r="P41" s="3365" t="str">
        <f>A41</f>
        <v>成交单价（元/平方米）</v>
      </c>
      <c r="Q41" s="3365"/>
      <c r="R41" s="3479">
        <f>E41</f>
        <v>0</v>
      </c>
      <c r="S41" s="3479"/>
      <c r="T41" s="3479">
        <f>G41</f>
        <v>0</v>
      </c>
      <c r="U41" s="3479"/>
      <c r="V41" s="3479">
        <f>I41</f>
        <v>0</v>
      </c>
      <c r="W41" s="3479"/>
      <c r="X41" s="1560"/>
      <c r="Y41" s="1582"/>
      <c r="Z41" s="1560"/>
      <c r="AA41" s="1560"/>
      <c r="AB41" s="1560"/>
      <c r="AC41" s="1560"/>
    </row>
    <row r="42" spans="1:29" ht="15.75" thickBot="1">
      <c r="A42" s="615" t="s">
        <v>2763</v>
      </c>
      <c r="B42" s="888"/>
      <c r="C42" s="2633" t="e">
        <f>R43</f>
        <v>#DIV/0!</v>
      </c>
      <c r="D42" s="2634"/>
      <c r="E42" s="2635" t="e">
        <f>R42</f>
        <v>#DIV/0!</v>
      </c>
      <c r="F42" s="2635"/>
      <c r="G42" s="2633" t="e">
        <f>T42</f>
        <v>#DIV/0!</v>
      </c>
      <c r="H42" s="2634"/>
      <c r="I42" s="2635" t="e">
        <f>V42</f>
        <v>#DIV/0!</v>
      </c>
      <c r="J42" s="2634"/>
      <c r="K42" s="1613"/>
      <c r="L42" s="2144"/>
      <c r="M42" s="2145"/>
      <c r="N42" s="2134"/>
      <c r="O42" s="2145"/>
      <c r="P42" s="3365" t="str">
        <f>A42</f>
        <v>比较价格（元/平方米）</v>
      </c>
      <c r="Q42" s="3365"/>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60"/>
      <c r="Y42" s="1560"/>
      <c r="Z42" s="1560"/>
      <c r="AA42" s="1560"/>
      <c r="AB42" s="1560"/>
      <c r="AC42" s="1560"/>
    </row>
    <row r="43" spans="1:29" ht="15.75" thickBot="1">
      <c r="A43" s="621" t="s">
        <v>2936</v>
      </c>
      <c r="B43" s="622"/>
      <c r="C43" s="2636" t="e">
        <f>R43</f>
        <v>#DIV/0!</v>
      </c>
      <c r="D43" s="2636"/>
      <c r="E43" s="2636"/>
      <c r="F43" s="2636"/>
      <c r="G43" s="2636"/>
      <c r="H43" s="2636"/>
      <c r="I43" s="2636"/>
      <c r="J43" s="2636"/>
      <c r="K43" s="1614"/>
      <c r="L43" s="2144"/>
      <c r="M43" s="2145"/>
      <c r="N43" s="2145"/>
      <c r="O43" s="2145"/>
      <c r="P43" s="3362" t="str">
        <f>A43</f>
        <v>估价对象XX用房的比较价格（楼面单价，元/平方米）</v>
      </c>
      <c r="Q43" s="3363"/>
      <c r="R43" s="3478" t="e">
        <f>IF(F1="售价",ROUND(AVERAGE(R42:V42),0),ROUND(AVERAGE(R42:V42),1))</f>
        <v>#DIV/0!</v>
      </c>
      <c r="S43" s="3478"/>
      <c r="T43" s="3478"/>
      <c r="U43" s="3478"/>
      <c r="V43" s="3478"/>
      <c r="W43" s="3478"/>
      <c r="X43" s="1560"/>
      <c r="Y43" s="1560"/>
      <c r="Z43" s="1560"/>
      <c r="AA43" s="1560"/>
      <c r="AB43" s="1560"/>
      <c r="AC43" s="1560"/>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5" t="s">
        <v>574</v>
      </c>
      <c r="B51" s="1560"/>
      <c r="C51" s="1584"/>
      <c r="D51" s="1584"/>
      <c r="E51" s="1584"/>
      <c r="F51" s="1586"/>
      <c r="G51" s="1586"/>
      <c r="H51" s="1584"/>
      <c r="I51" s="1584"/>
      <c r="J51" s="1584"/>
      <c r="K51" s="1587"/>
      <c r="L51" s="1583"/>
      <c r="M51" s="1584"/>
      <c r="N51" s="1584"/>
      <c r="O51" s="1584"/>
      <c r="P51" s="2157"/>
      <c r="Q51" s="2158"/>
      <c r="R51" s="2145"/>
      <c r="S51" s="2145"/>
      <c r="T51" s="2145"/>
      <c r="U51" s="2145"/>
      <c r="V51" s="2145"/>
      <c r="W51" s="2145"/>
      <c r="X51" s="2145"/>
      <c r="Y51" s="2145"/>
      <c r="Z51" s="2145"/>
      <c r="AA51" s="2145"/>
      <c r="AB51" s="2145"/>
      <c r="AC51" s="2145"/>
    </row>
    <row r="52" spans="1:29" s="1347" customFormat="1" ht="15">
      <c r="A52" s="645" t="s">
        <v>529</v>
      </c>
      <c r="B52" s="646"/>
      <c r="C52" s="2802" t="str">
        <f>YEAR(C7)&amp;"-"&amp;MONTH(C7)</f>
        <v>2018-9</v>
      </c>
      <c r="D52" s="2804">
        <f>EDATE(C52,-1)</f>
        <v>43313</v>
      </c>
      <c r="E52" s="2804">
        <f t="shared" ref="E52:O52" si="16">EDATE(D52,-1)</f>
        <v>43282</v>
      </c>
      <c r="F52" s="2804">
        <f t="shared" si="16"/>
        <v>43252</v>
      </c>
      <c r="G52" s="2804">
        <f t="shared" si="16"/>
        <v>43221</v>
      </c>
      <c r="H52" s="2804">
        <f t="shared" si="16"/>
        <v>43191</v>
      </c>
      <c r="I52" s="2804">
        <f t="shared" si="16"/>
        <v>43160</v>
      </c>
      <c r="J52" s="2804">
        <f t="shared" si="16"/>
        <v>43132</v>
      </c>
      <c r="K52" s="2804">
        <f t="shared" si="16"/>
        <v>43101</v>
      </c>
      <c r="L52" s="2804">
        <f t="shared" si="16"/>
        <v>43070</v>
      </c>
      <c r="M52" s="2804">
        <f t="shared" si="16"/>
        <v>43040</v>
      </c>
      <c r="N52" s="2804">
        <f t="shared" si="16"/>
        <v>43009</v>
      </c>
      <c r="O52" s="2804">
        <f t="shared" si="16"/>
        <v>42979</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8" t="s">
        <v>2560</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2561</v>
      </c>
      <c r="C76" s="2598" t="s">
        <v>2562</v>
      </c>
      <c r="D76" s="2598" t="s">
        <v>2563</v>
      </c>
      <c r="E76" s="2598" t="s">
        <v>2564</v>
      </c>
      <c r="F76" s="2598" t="s">
        <v>2565</v>
      </c>
      <c r="G76" s="2598" t="s">
        <v>2566</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8" t="s">
        <v>2559</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50" t="s">
        <v>2079</v>
      </c>
      <c r="F3" s="851">
        <f>SUMIF('数据-取费表'!A5:A15,D1,'数据-取费表'!AH5:AH15)</f>
        <v>0</v>
      </c>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797</v>
      </c>
      <c r="B4" s="513"/>
      <c r="C4" s="3371" t="s">
        <v>798</v>
      </c>
      <c r="D4" s="3372"/>
      <c r="E4" s="3371" t="s">
        <v>799</v>
      </c>
      <c r="F4" s="3372"/>
      <c r="G4" s="3371" t="s">
        <v>800</v>
      </c>
      <c r="H4" s="3372"/>
      <c r="I4" s="3371" t="s">
        <v>801</v>
      </c>
      <c r="J4" s="3372"/>
      <c r="K4" s="514" t="s">
        <v>802</v>
      </c>
      <c r="L4" s="2133"/>
      <c r="M4" s="2134"/>
      <c r="N4" s="2134"/>
      <c r="O4" s="2134"/>
      <c r="P4" s="3373" t="s">
        <v>803</v>
      </c>
      <c r="Q4" s="3374"/>
      <c r="R4" s="3379" t="s">
        <v>799</v>
      </c>
      <c r="S4" s="3380"/>
      <c r="T4" s="3379" t="s">
        <v>800</v>
      </c>
      <c r="U4" s="3380"/>
      <c r="V4" s="3366" t="s">
        <v>801</v>
      </c>
      <c r="W4" s="3366"/>
      <c r="X4" s="1568"/>
      <c r="Y4" s="3379" t="s">
        <v>803</v>
      </c>
      <c r="Z4" s="3380"/>
      <c r="AA4" s="3368" t="s">
        <v>799</v>
      </c>
      <c r="AB4" s="3369" t="s">
        <v>800</v>
      </c>
      <c r="AC4" s="3368" t="s">
        <v>801</v>
      </c>
    </row>
    <row r="5" spans="1:29" ht="15">
      <c r="A5" s="515"/>
      <c r="B5" s="516"/>
      <c r="C5" s="3403" t="s">
        <v>2930</v>
      </c>
      <c r="D5" s="3388"/>
      <c r="E5" s="3403" t="s">
        <v>2931</v>
      </c>
      <c r="F5" s="3388"/>
      <c r="G5" s="3403" t="s">
        <v>2932</v>
      </c>
      <c r="H5" s="3388"/>
      <c r="I5" s="3403" t="s">
        <v>2933</v>
      </c>
      <c r="J5" s="3388"/>
      <c r="K5" s="514"/>
      <c r="L5" s="2133"/>
      <c r="M5" s="2134"/>
      <c r="N5" s="2134"/>
      <c r="O5" s="2134"/>
      <c r="P5" s="3375"/>
      <c r="Q5" s="3376"/>
      <c r="R5" s="3381"/>
      <c r="S5" s="3382"/>
      <c r="T5" s="3381"/>
      <c r="U5" s="3382"/>
      <c r="V5" s="3366"/>
      <c r="W5" s="3366"/>
      <c r="X5" s="1568"/>
      <c r="Y5" s="3381"/>
      <c r="Z5" s="3382"/>
      <c r="AA5" s="3369"/>
      <c r="AB5" s="3369"/>
      <c r="AC5" s="3369"/>
    </row>
    <row r="6" spans="1:29" ht="15.75" thickBot="1">
      <c r="A6" s="517"/>
      <c r="B6" s="518"/>
      <c r="C6" s="3385" t="s">
        <v>2934</v>
      </c>
      <c r="D6" s="3386"/>
      <c r="E6" s="3389" t="s">
        <v>2934</v>
      </c>
      <c r="F6" s="3390"/>
      <c r="G6" s="3385" t="s">
        <v>2934</v>
      </c>
      <c r="H6" s="3386"/>
      <c r="I6" s="3385" t="s">
        <v>2934</v>
      </c>
      <c r="J6" s="3386"/>
      <c r="K6" s="514" t="s">
        <v>528</v>
      </c>
      <c r="L6" s="2133"/>
      <c r="M6" s="2134"/>
      <c r="N6" s="2134"/>
      <c r="O6" s="2134"/>
      <c r="P6" s="3377"/>
      <c r="Q6" s="3378"/>
      <c r="R6" s="3381"/>
      <c r="S6" s="3382"/>
      <c r="T6" s="3383"/>
      <c r="U6" s="3384"/>
      <c r="V6" s="3366"/>
      <c r="W6" s="3366"/>
      <c r="X6" s="1568"/>
      <c r="Y6" s="3383"/>
      <c r="Z6" s="3384"/>
      <c r="AA6" s="3370"/>
      <c r="AB6" s="3370"/>
      <c r="AC6" s="3370"/>
    </row>
    <row r="7" spans="1:29" s="1220" customFormat="1" ht="15.75" thickBot="1">
      <c r="A7" s="2912"/>
      <c r="B7" s="2919" t="s">
        <v>529</v>
      </c>
      <c r="C7" s="519">
        <f>'数据-取费表'!B2</f>
        <v>43361</v>
      </c>
      <c r="D7" s="520">
        <v>100</v>
      </c>
      <c r="E7" s="521"/>
      <c r="F7" s="522">
        <f>SUMIF(48:48,YEAR(E7)&amp;"-"&amp;MONTH(E7),49:49)</f>
        <v>0</v>
      </c>
      <c r="G7" s="523"/>
      <c r="H7" s="520">
        <f>SUMIF(48:48,YEAR(G7)&amp;"-"&amp;MONTH(G7),49:49)</f>
        <v>0</v>
      </c>
      <c r="I7" s="523"/>
      <c r="J7" s="520">
        <f>SUMIF(48:48,YEAR(I7)&amp;"-"&amp;MONTH(I7),49:49)</f>
        <v>0</v>
      </c>
      <c r="K7" s="524"/>
      <c r="L7" s="2135"/>
      <c r="M7" s="2136"/>
      <c r="N7" s="2136"/>
      <c r="O7" s="2136"/>
      <c r="P7" s="3396" t="s">
        <v>530</v>
      </c>
      <c r="Q7" s="3398"/>
      <c r="R7" s="1569" t="s">
        <v>8</v>
      </c>
      <c r="S7" s="1570">
        <f t="shared" ref="S7:S14" si="0">F7</f>
        <v>0</v>
      </c>
      <c r="T7" s="1569" t="s">
        <v>8</v>
      </c>
      <c r="U7" s="1570">
        <f t="shared" ref="U7:U14" si="1">H7</f>
        <v>0</v>
      </c>
      <c r="V7" s="1569" t="s">
        <v>8</v>
      </c>
      <c r="W7" s="1570">
        <f t="shared" ref="W7:W14" si="2">J7</f>
        <v>0</v>
      </c>
      <c r="X7" s="1571"/>
      <c r="Y7" s="3396" t="s">
        <v>530</v>
      </c>
      <c r="Z7" s="3397"/>
      <c r="AA7" s="1572" t="e">
        <f>D7/F7</f>
        <v>#DIV/0!</v>
      </c>
      <c r="AB7" s="1572" t="e">
        <f>D7/H7</f>
        <v>#DIV/0!</v>
      </c>
      <c r="AC7" s="1572" t="e">
        <f>D7/J7</f>
        <v>#DIV/0!</v>
      </c>
    </row>
    <row r="8" spans="1:29" s="1220" customFormat="1" ht="15.75" thickBot="1">
      <c r="A8" s="2913"/>
      <c r="B8" s="2920"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396" t="s">
        <v>533</v>
      </c>
      <c r="Q8" s="3397"/>
      <c r="R8" s="1569" t="s">
        <v>8</v>
      </c>
      <c r="S8" s="1570">
        <f t="shared" si="0"/>
        <v>0</v>
      </c>
      <c r="T8" s="1569" t="s">
        <v>8</v>
      </c>
      <c r="U8" s="1570">
        <f t="shared" si="1"/>
        <v>0</v>
      </c>
      <c r="V8" s="1569" t="s">
        <v>8</v>
      </c>
      <c r="W8" s="1570">
        <f t="shared" si="2"/>
        <v>0</v>
      </c>
      <c r="X8" s="1571"/>
      <c r="Y8" s="3396" t="s">
        <v>533</v>
      </c>
      <c r="Z8" s="3397"/>
      <c r="AA8" s="1572" t="e">
        <f t="shared" ref="AA8:AA36" si="3">D8/F8</f>
        <v>#DIV/0!</v>
      </c>
      <c r="AB8" s="1572" t="e">
        <f t="shared" ref="AB8:AB36" si="4">D8/H8</f>
        <v>#DIV/0!</v>
      </c>
      <c r="AC8" s="1572" t="e">
        <f t="shared" ref="AC8:AC36" si="5">D8/J8</f>
        <v>#DIV/0!</v>
      </c>
    </row>
    <row r="9" spans="1:29" s="1220" customFormat="1" ht="15">
      <c r="A9" s="2914"/>
      <c r="B9" s="2921" t="s">
        <v>2759</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365" t="s">
        <v>535</v>
      </c>
      <c r="Q9" s="1151" t="str">
        <f t="shared" ref="Q9:Q14" si="6">B9</f>
        <v>用途</v>
      </c>
      <c r="R9" s="1569" t="s">
        <v>8</v>
      </c>
      <c r="S9" s="1570">
        <f t="shared" si="0"/>
        <v>100</v>
      </c>
      <c r="T9" s="1569" t="s">
        <v>8</v>
      </c>
      <c r="U9" s="1570">
        <f t="shared" si="1"/>
        <v>100</v>
      </c>
      <c r="V9" s="1569" t="s">
        <v>8</v>
      </c>
      <c r="W9" s="1570">
        <f t="shared" si="2"/>
        <v>100</v>
      </c>
      <c r="X9" s="1571"/>
      <c r="Y9" s="3311" t="s">
        <v>536</v>
      </c>
      <c r="Z9" s="1150" t="str">
        <f t="shared" ref="Z9:Z14" si="7">Q9</f>
        <v>用途</v>
      </c>
      <c r="AA9" s="1572">
        <f t="shared" si="3"/>
        <v>1</v>
      </c>
      <c r="AB9" s="1572">
        <f t="shared" si="4"/>
        <v>1</v>
      </c>
      <c r="AC9" s="1572">
        <f t="shared" si="5"/>
        <v>1</v>
      </c>
    </row>
    <row r="10" spans="1:29" s="1338" customFormat="1" ht="27">
      <c r="A10" s="2915"/>
      <c r="B10" s="2920" t="s">
        <v>2760</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65"/>
      <c r="Q11" s="1151">
        <f t="shared" si="6"/>
        <v>111</v>
      </c>
      <c r="R11" s="1569" t="s">
        <v>8</v>
      </c>
      <c r="S11" s="1570">
        <f t="shared" si="0"/>
        <v>100</v>
      </c>
      <c r="T11" s="1569" t="s">
        <v>8</v>
      </c>
      <c r="U11" s="1570">
        <f t="shared" si="1"/>
        <v>100</v>
      </c>
      <c r="V11" s="1569" t="s">
        <v>8</v>
      </c>
      <c r="W11" s="1570">
        <f t="shared" si="2"/>
        <v>100</v>
      </c>
      <c r="X11" s="1571"/>
      <c r="Y11" s="3311"/>
      <c r="Z11" s="1150">
        <f t="shared" si="7"/>
        <v>111</v>
      </c>
      <c r="AA11" s="1572">
        <f t="shared" si="3"/>
        <v>1</v>
      </c>
      <c r="AB11" s="1572">
        <f t="shared" si="4"/>
        <v>1</v>
      </c>
      <c r="AC11" s="1572">
        <f t="shared" si="5"/>
        <v>1</v>
      </c>
    </row>
    <row r="12" spans="1:29" s="1220"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85.5">
      <c r="A14" s="2910" t="s">
        <v>2757</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399" t="s">
        <v>540</v>
      </c>
      <c r="Q14" s="1573" t="str">
        <f t="shared" si="6"/>
        <v>交通便捷度</v>
      </c>
      <c r="R14" s="1574" t="s">
        <v>8</v>
      </c>
      <c r="S14" s="1575">
        <f t="shared" si="0"/>
        <v>100</v>
      </c>
      <c r="T14" s="1574" t="s">
        <v>8</v>
      </c>
      <c r="U14" s="1575">
        <f t="shared" si="1"/>
        <v>100</v>
      </c>
      <c r="V14" s="1574" t="s">
        <v>8</v>
      </c>
      <c r="W14" s="1575">
        <f t="shared" si="2"/>
        <v>100</v>
      </c>
      <c r="X14" s="1568"/>
      <c r="Y14" s="3399"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2"/>
      <c r="M15" s="2134"/>
      <c r="N15" s="2134"/>
      <c r="O15" s="2141"/>
      <c r="P15" s="3400"/>
      <c r="Q15" s="1573"/>
      <c r="R15" s="1574"/>
      <c r="S15" s="1575"/>
      <c r="T15" s="1574"/>
      <c r="U15" s="1575"/>
      <c r="V15" s="1574"/>
      <c r="W15" s="1575"/>
      <c r="X15" s="1568"/>
      <c r="Y15" s="3400"/>
      <c r="Z15" s="1576"/>
      <c r="AA15" s="1577">
        <v>1</v>
      </c>
      <c r="AB15" s="1577">
        <v>1</v>
      </c>
      <c r="AC15" s="1577">
        <v>1</v>
      </c>
    </row>
    <row r="16" spans="1:29" ht="42.75">
      <c r="A16" s="515"/>
      <c r="B16" s="2603" t="s">
        <v>2549</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400"/>
      <c r="Q16" s="1573" t="str">
        <f>B16</f>
        <v>公共配套设施</v>
      </c>
      <c r="R16" s="1574" t="s">
        <v>8</v>
      </c>
      <c r="S16" s="1575">
        <f>F16</f>
        <v>100</v>
      </c>
      <c r="T16" s="1574" t="s">
        <v>8</v>
      </c>
      <c r="U16" s="1575">
        <f>H16</f>
        <v>100</v>
      </c>
      <c r="V16" s="1574" t="s">
        <v>8</v>
      </c>
      <c r="W16" s="1575">
        <f>J16</f>
        <v>100</v>
      </c>
      <c r="X16" s="1568"/>
      <c r="Y16" s="3400"/>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2"/>
      <c r="M17" s="2134"/>
      <c r="N17" s="2134"/>
      <c r="O17" s="2141"/>
      <c r="P17" s="3400"/>
      <c r="Q17" s="1573"/>
      <c r="R17" s="1574"/>
      <c r="S17" s="1575"/>
      <c r="T17" s="1574"/>
      <c r="U17" s="1575"/>
      <c r="V17" s="1574"/>
      <c r="W17" s="1575"/>
      <c r="X17" s="1568"/>
      <c r="Y17" s="3400"/>
      <c r="Z17" s="1576"/>
      <c r="AA17" s="1577">
        <v>1</v>
      </c>
      <c r="AB17" s="1577">
        <v>1</v>
      </c>
      <c r="AC17" s="1577">
        <v>1</v>
      </c>
    </row>
    <row r="18" spans="1:29" ht="28.5">
      <c r="A18" s="515"/>
      <c r="B18" s="2591" t="s">
        <v>2561</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400"/>
      <c r="Q18" s="2579" t="str">
        <f>B18</f>
        <v>基础设施水平</v>
      </c>
      <c r="R18" s="1574" t="s">
        <v>8</v>
      </c>
      <c r="S18" s="1575">
        <f>F18</f>
        <v>100</v>
      </c>
      <c r="T18" s="1574" t="s">
        <v>8</v>
      </c>
      <c r="U18" s="1575">
        <f>H18</f>
        <v>100</v>
      </c>
      <c r="V18" s="1574" t="s">
        <v>8</v>
      </c>
      <c r="W18" s="1575">
        <f>J18</f>
        <v>100</v>
      </c>
      <c r="X18" s="2581"/>
      <c r="Y18" s="3400"/>
      <c r="Z18" s="2580"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2"/>
      <c r="L19" s="2142"/>
      <c r="M19" s="2134"/>
      <c r="N19" s="2134"/>
      <c r="O19" s="2141"/>
      <c r="P19" s="3400"/>
      <c r="Q19" s="2579"/>
      <c r="R19" s="1574"/>
      <c r="S19" s="1575"/>
      <c r="T19" s="1574"/>
      <c r="U19" s="1575"/>
      <c r="V19" s="1574"/>
      <c r="W19" s="1575"/>
      <c r="X19" s="2581"/>
      <c r="Y19" s="3400"/>
      <c r="Z19" s="2580"/>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400"/>
      <c r="Q20" s="1573" t="str">
        <f>B20</f>
        <v>自然及人文环境</v>
      </c>
      <c r="R20" s="1574" t="s">
        <v>8</v>
      </c>
      <c r="S20" s="1575">
        <f>F20</f>
        <v>100</v>
      </c>
      <c r="T20" s="1574" t="s">
        <v>8</v>
      </c>
      <c r="U20" s="1575">
        <f>H20</f>
        <v>100</v>
      </c>
      <c r="V20" s="1574" t="s">
        <v>8</v>
      </c>
      <c r="W20" s="1575">
        <f>J20</f>
        <v>100</v>
      </c>
      <c r="X20" s="1568"/>
      <c r="Y20" s="3400"/>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2"/>
      <c r="M21" s="2134"/>
      <c r="N21" s="2134"/>
      <c r="O21" s="2141"/>
      <c r="P21" s="3400"/>
      <c r="Q21" s="1573"/>
      <c r="R21" s="1574"/>
      <c r="S21" s="1575"/>
      <c r="T21" s="1574"/>
      <c r="U21" s="1575"/>
      <c r="V21" s="1574"/>
      <c r="W21" s="1575"/>
      <c r="X21" s="1568"/>
      <c r="Y21" s="3400"/>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400"/>
      <c r="Q22" s="1573" t="str">
        <f>B22</f>
        <v>楼层</v>
      </c>
      <c r="R22" s="1574" t="s">
        <v>8</v>
      </c>
      <c r="S22" s="1575">
        <f>F22</f>
        <v>100</v>
      </c>
      <c r="T22" s="1574" t="s">
        <v>8</v>
      </c>
      <c r="U22" s="1575">
        <f>H22</f>
        <v>100</v>
      </c>
      <c r="V22" s="1574" t="s">
        <v>8</v>
      </c>
      <c r="W22" s="1575">
        <f>J22</f>
        <v>100</v>
      </c>
      <c r="X22" s="1568"/>
      <c r="Y22" s="3400"/>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400"/>
      <c r="Q23" s="1573">
        <f>B23</f>
        <v>111</v>
      </c>
      <c r="R23" s="1574" t="s">
        <v>8</v>
      </c>
      <c r="S23" s="1575">
        <f>F23</f>
        <v>100</v>
      </c>
      <c r="T23" s="1574" t="s">
        <v>8</v>
      </c>
      <c r="U23" s="1575">
        <f>H23</f>
        <v>100</v>
      </c>
      <c r="V23" s="1574" t="s">
        <v>8</v>
      </c>
      <c r="W23" s="1575">
        <f>J23</f>
        <v>100</v>
      </c>
      <c r="X23" s="1568"/>
      <c r="Y23" s="3400"/>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400"/>
      <c r="Q24" s="1573">
        <f t="shared" ref="Q24:Q36" si="11">B24</f>
        <v>111</v>
      </c>
      <c r="R24" s="1574" t="s">
        <v>8</v>
      </c>
      <c r="S24" s="1575">
        <f>F24</f>
        <v>100</v>
      </c>
      <c r="T24" s="1574" t="s">
        <v>8</v>
      </c>
      <c r="U24" s="1575">
        <f>H24</f>
        <v>100</v>
      </c>
      <c r="V24" s="1574" t="s">
        <v>8</v>
      </c>
      <c r="W24" s="1575">
        <f>J24</f>
        <v>100</v>
      </c>
      <c r="X24" s="1568"/>
      <c r="Y24" s="3400"/>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400"/>
      <c r="Q25" s="1151">
        <f t="shared" si="11"/>
        <v>111</v>
      </c>
      <c r="R25" s="1569" t="s">
        <v>8</v>
      </c>
      <c r="S25" s="1570">
        <f>F25</f>
        <v>100</v>
      </c>
      <c r="T25" s="1569" t="s">
        <v>8</v>
      </c>
      <c r="U25" s="1570">
        <f>H25</f>
        <v>100</v>
      </c>
      <c r="V25" s="1569" t="s">
        <v>8</v>
      </c>
      <c r="W25" s="1570">
        <f>J25</f>
        <v>100</v>
      </c>
      <c r="X25" s="1571"/>
      <c r="Y25" s="3400"/>
      <c r="Z25" s="1150">
        <f>Q25</f>
        <v>111</v>
      </c>
      <c r="AA25" s="1577">
        <f>D25/F25</f>
        <v>1</v>
      </c>
      <c r="AB25" s="1577">
        <f>D25/H25</f>
        <v>1</v>
      </c>
      <c r="AC25" s="1577">
        <f>D25/J25</f>
        <v>1</v>
      </c>
    </row>
    <row r="26" spans="1:29" ht="15">
      <c r="A26" s="2907" t="s">
        <v>2758</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401"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02"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402"/>
      <c r="Q27" s="1606" t="str">
        <f t="shared" si="11"/>
        <v>项目停车位配比</v>
      </c>
      <c r="R27" s="1578" t="s">
        <v>8</v>
      </c>
      <c r="S27" s="1579">
        <f t="shared" si="12"/>
        <v>100</v>
      </c>
      <c r="T27" s="1578" t="s">
        <v>8</v>
      </c>
      <c r="U27" s="1579">
        <f t="shared" si="13"/>
        <v>100</v>
      </c>
      <c r="V27" s="1578" t="s">
        <v>8</v>
      </c>
      <c r="W27" s="1579">
        <f t="shared" si="14"/>
        <v>100</v>
      </c>
      <c r="X27" s="1580"/>
      <c r="Y27" s="3402"/>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402"/>
      <c r="Q28" s="1573" t="str">
        <f t="shared" si="11"/>
        <v>公共部分装修</v>
      </c>
      <c r="R28" s="1574" t="s">
        <v>8</v>
      </c>
      <c r="S28" s="1575">
        <f t="shared" si="12"/>
        <v>100</v>
      </c>
      <c r="T28" s="1574" t="s">
        <v>8</v>
      </c>
      <c r="U28" s="1575">
        <f t="shared" si="13"/>
        <v>100</v>
      </c>
      <c r="V28" s="1574" t="s">
        <v>8</v>
      </c>
      <c r="W28" s="1575">
        <f t="shared" si="14"/>
        <v>100</v>
      </c>
      <c r="X28" s="1568"/>
      <c r="Y28" s="3402"/>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402"/>
      <c r="Q29" s="1573" t="str">
        <f t="shared" si="11"/>
        <v>成新率</v>
      </c>
      <c r="R29" s="1574" t="s">
        <v>8</v>
      </c>
      <c r="S29" s="1575" t="e">
        <f t="shared" si="12"/>
        <v>#N/A</v>
      </c>
      <c r="T29" s="1574" t="s">
        <v>8</v>
      </c>
      <c r="U29" s="1575" t="e">
        <f t="shared" si="13"/>
        <v>#N/A</v>
      </c>
      <c r="V29" s="1574" t="s">
        <v>8</v>
      </c>
      <c r="W29" s="1575" t="e">
        <f t="shared" si="14"/>
        <v>#N/A</v>
      </c>
      <c r="X29" s="1568"/>
      <c r="Y29" s="3402"/>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402"/>
      <c r="Q30" s="1573" t="str">
        <f t="shared" si="11"/>
        <v>物业等级</v>
      </c>
      <c r="R30" s="1574" t="s">
        <v>8</v>
      </c>
      <c r="S30" s="1575">
        <f t="shared" si="12"/>
        <v>100</v>
      </c>
      <c r="T30" s="1574" t="s">
        <v>8</v>
      </c>
      <c r="U30" s="1575">
        <f t="shared" si="13"/>
        <v>100</v>
      </c>
      <c r="V30" s="1574" t="s">
        <v>8</v>
      </c>
      <c r="W30" s="1575">
        <f t="shared" si="14"/>
        <v>100</v>
      </c>
      <c r="X30" s="1568"/>
      <c r="Y30" s="3402"/>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402"/>
      <c r="Q31" s="1151" t="str">
        <f t="shared" si="11"/>
        <v>停车位面积</v>
      </c>
      <c r="R31" s="1569" t="s">
        <v>8</v>
      </c>
      <c r="S31" s="1570" t="e">
        <f t="shared" si="12"/>
        <v>#N/A</v>
      </c>
      <c r="T31" s="1569" t="s">
        <v>8</v>
      </c>
      <c r="U31" s="1570" t="e">
        <f t="shared" si="13"/>
        <v>#N/A</v>
      </c>
      <c r="V31" s="1569" t="s">
        <v>8</v>
      </c>
      <c r="W31" s="1570" t="e">
        <f t="shared" si="14"/>
        <v>#N/A</v>
      </c>
      <c r="X31" s="1571"/>
      <c r="Y31" s="3402"/>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402" t="s">
        <v>550</v>
      </c>
      <c r="Q32" s="1573" t="str">
        <f t="shared" si="11"/>
        <v>车位类型</v>
      </c>
      <c r="R32" s="1574" t="s">
        <v>8</v>
      </c>
      <c r="S32" s="1575">
        <f t="shared" si="12"/>
        <v>100</v>
      </c>
      <c r="T32" s="1574" t="s">
        <v>8</v>
      </c>
      <c r="U32" s="1575">
        <f t="shared" si="13"/>
        <v>100</v>
      </c>
      <c r="V32" s="1574" t="s">
        <v>8</v>
      </c>
      <c r="W32" s="1575">
        <f t="shared" si="14"/>
        <v>100</v>
      </c>
      <c r="X32" s="1568"/>
      <c r="Y32" s="3402"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402"/>
      <c r="Q33" s="1573" t="str">
        <f t="shared" si="11"/>
        <v>是否直接入户</v>
      </c>
      <c r="R33" s="1574" t="s">
        <v>8</v>
      </c>
      <c r="S33" s="1575">
        <f t="shared" si="12"/>
        <v>100</v>
      </c>
      <c r="T33" s="1574" t="s">
        <v>8</v>
      </c>
      <c r="U33" s="1575">
        <f t="shared" si="13"/>
        <v>100</v>
      </c>
      <c r="V33" s="1574" t="s">
        <v>8</v>
      </c>
      <c r="W33" s="1575">
        <f t="shared" si="14"/>
        <v>100</v>
      </c>
      <c r="X33" s="1568"/>
      <c r="Y33" s="3402"/>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402"/>
      <c r="Q34" s="1573">
        <f t="shared" si="11"/>
        <v>111</v>
      </c>
      <c r="R34" s="1574" t="s">
        <v>8</v>
      </c>
      <c r="S34" s="1575">
        <f t="shared" si="12"/>
        <v>100</v>
      </c>
      <c r="T34" s="1574" t="s">
        <v>8</v>
      </c>
      <c r="U34" s="1575">
        <f t="shared" si="13"/>
        <v>100</v>
      </c>
      <c r="V34" s="1574" t="s">
        <v>8</v>
      </c>
      <c r="W34" s="1575">
        <f t="shared" si="14"/>
        <v>100</v>
      </c>
      <c r="X34" s="1568"/>
      <c r="Y34" s="3402"/>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402"/>
      <c r="Q35" s="1606">
        <f t="shared" si="11"/>
        <v>111</v>
      </c>
      <c r="R35" s="1578" t="s">
        <v>8</v>
      </c>
      <c r="S35" s="1579">
        <f t="shared" si="12"/>
        <v>100</v>
      </c>
      <c r="T35" s="1578" t="s">
        <v>8</v>
      </c>
      <c r="U35" s="1579">
        <f t="shared" si="13"/>
        <v>100</v>
      </c>
      <c r="V35" s="1578" t="s">
        <v>8</v>
      </c>
      <c r="W35" s="1579">
        <f t="shared" si="14"/>
        <v>100</v>
      </c>
      <c r="X35" s="1580"/>
      <c r="Y35" s="3402"/>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402"/>
      <c r="Q36" s="1573">
        <f t="shared" si="11"/>
        <v>111</v>
      </c>
      <c r="R36" s="1574" t="s">
        <v>8</v>
      </c>
      <c r="S36" s="1575">
        <f t="shared" si="12"/>
        <v>100</v>
      </c>
      <c r="T36" s="1574" t="s">
        <v>8</v>
      </c>
      <c r="U36" s="1575">
        <f t="shared" si="13"/>
        <v>100</v>
      </c>
      <c r="V36" s="1574" t="s">
        <v>8</v>
      </c>
      <c r="W36" s="1575">
        <f t="shared" si="14"/>
        <v>100</v>
      </c>
      <c r="X36" s="1568"/>
      <c r="Y36" s="3402"/>
      <c r="Z36" s="1576">
        <f t="shared" si="15"/>
        <v>111</v>
      </c>
      <c r="AA36" s="1577">
        <f t="shared" si="3"/>
        <v>1</v>
      </c>
      <c r="AB36" s="1577">
        <f t="shared" si="4"/>
        <v>1</v>
      </c>
      <c r="AC36" s="1577">
        <f t="shared" si="5"/>
        <v>1</v>
      </c>
    </row>
    <row r="37" spans="1:29" ht="15">
      <c r="A37" s="1848" t="s">
        <v>2080</v>
      </c>
      <c r="B37" s="1849" t="s">
        <v>2081</v>
      </c>
      <c r="C37" s="2627" t="s">
        <v>1</v>
      </c>
      <c r="D37" s="2628"/>
      <c r="E37" s="2629"/>
      <c r="F37" s="2630"/>
      <c r="G37" s="2631"/>
      <c r="H37" s="2632"/>
      <c r="I37" s="2629"/>
      <c r="J37" s="2632"/>
      <c r="K37" s="1612"/>
      <c r="L37" s="2144"/>
      <c r="M37" s="2145"/>
      <c r="N37" s="2134"/>
      <c r="O37" s="2145"/>
      <c r="P37" s="3365" t="str">
        <f>A37</f>
        <v>成交单价</v>
      </c>
      <c r="Q37" s="3365"/>
      <c r="R37" s="3479">
        <f>E37</f>
        <v>0</v>
      </c>
      <c r="S37" s="3479"/>
      <c r="T37" s="3479">
        <f>G37</f>
        <v>0</v>
      </c>
      <c r="U37" s="3479"/>
      <c r="V37" s="3479">
        <f>I37</f>
        <v>0</v>
      </c>
      <c r="W37" s="3479"/>
      <c r="X37" s="1560"/>
      <c r="Y37" s="1582"/>
      <c r="Z37" s="1560"/>
      <c r="AA37" s="1560"/>
      <c r="AB37" s="1560"/>
      <c r="AC37" s="1560"/>
    </row>
    <row r="38" spans="1:29" ht="15.75" thickBot="1">
      <c r="A38" s="615" t="s">
        <v>2763</v>
      </c>
      <c r="B38" s="888"/>
      <c r="C38" s="2633" t="e">
        <f>R39</f>
        <v>#DIV/0!</v>
      </c>
      <c r="D38" s="2634"/>
      <c r="E38" s="2635" t="e">
        <f>R38</f>
        <v>#DIV/0!</v>
      </c>
      <c r="F38" s="2635"/>
      <c r="G38" s="2633" t="e">
        <f>T38</f>
        <v>#DIV/0!</v>
      </c>
      <c r="H38" s="2634"/>
      <c r="I38" s="2635" t="e">
        <f>V38</f>
        <v>#DIV/0!</v>
      </c>
      <c r="J38" s="2634"/>
      <c r="K38" s="1613"/>
      <c r="L38" s="2144"/>
      <c r="M38" s="2145"/>
      <c r="N38" s="2145"/>
      <c r="O38" s="2145"/>
      <c r="P38" s="3365" t="str">
        <f>A38</f>
        <v>比较价格（元/平方米）</v>
      </c>
      <c r="Q38" s="3365"/>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1560"/>
      <c r="Y38" s="1560"/>
      <c r="Z38" s="1560"/>
      <c r="AA38" s="1560"/>
      <c r="AB38" s="1560"/>
      <c r="AC38" s="1560"/>
    </row>
    <row r="39" spans="1:29" ht="15.75" thickBot="1">
      <c r="A39" s="621" t="s">
        <v>2936</v>
      </c>
      <c r="B39" s="622"/>
      <c r="C39" s="2636" t="e">
        <f>R39</f>
        <v>#DIV/0!</v>
      </c>
      <c r="D39" s="2636"/>
      <c r="E39" s="2636"/>
      <c r="F39" s="2636"/>
      <c r="G39" s="2636"/>
      <c r="H39" s="2636"/>
      <c r="I39" s="2636"/>
      <c r="J39" s="2636"/>
      <c r="K39" s="1614"/>
      <c r="L39" s="2144"/>
      <c r="M39" s="2145"/>
      <c r="N39" s="2145"/>
      <c r="O39" s="2145"/>
      <c r="P39" s="3362" t="str">
        <f>A39</f>
        <v>估价对象XX用房的比较价格（楼面单价，元/平方米）</v>
      </c>
      <c r="Q39" s="3363"/>
      <c r="R39" s="3478" t="e">
        <f>IF(F1="售价",ROUND(AVERAGE(R38:V38),0),ROUND(AVERAGE(R38:V38),1))</f>
        <v>#DIV/0!</v>
      </c>
      <c r="S39" s="3478"/>
      <c r="T39" s="3478"/>
      <c r="U39" s="3478"/>
      <c r="V39" s="3478"/>
      <c r="W39" s="3478"/>
      <c r="X39" s="1560"/>
      <c r="Y39" s="1560"/>
      <c r="Z39" s="1560"/>
      <c r="AA39" s="1560"/>
      <c r="AB39" s="1560"/>
      <c r="AC39" s="1560"/>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5" t="s">
        <v>574</v>
      </c>
      <c r="B47" s="1560"/>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529</v>
      </c>
      <c r="B48" s="646"/>
      <c r="C48" s="2802" t="str">
        <f>YEAR(C7)&amp;"-"&amp;MONTH(C7)</f>
        <v>2018-9</v>
      </c>
      <c r="D48" s="2804">
        <f>EDATE(C48,-1)</f>
        <v>43313</v>
      </c>
      <c r="E48" s="2804">
        <f t="shared" ref="E48:O48" si="16">EDATE(D48,-1)</f>
        <v>43282</v>
      </c>
      <c r="F48" s="2804">
        <f t="shared" si="16"/>
        <v>43252</v>
      </c>
      <c r="G48" s="2804">
        <f t="shared" si="16"/>
        <v>43221</v>
      </c>
      <c r="H48" s="2804">
        <f t="shared" si="16"/>
        <v>43191</v>
      </c>
      <c r="I48" s="2804">
        <f t="shared" si="16"/>
        <v>43160</v>
      </c>
      <c r="J48" s="2804">
        <f t="shared" si="16"/>
        <v>43132</v>
      </c>
      <c r="K48" s="2804">
        <f t="shared" si="16"/>
        <v>43101</v>
      </c>
      <c r="L48" s="2804">
        <f t="shared" si="16"/>
        <v>43070</v>
      </c>
      <c r="M48" s="2804">
        <f t="shared" si="16"/>
        <v>43040</v>
      </c>
      <c r="N48" s="2804">
        <f t="shared" si="16"/>
        <v>43009</v>
      </c>
      <c r="O48" s="2804">
        <f t="shared" si="16"/>
        <v>42979</v>
      </c>
      <c r="P48" s="2160"/>
      <c r="Q48" s="2161"/>
      <c r="R48" s="2161"/>
      <c r="S48" s="2161"/>
      <c r="T48" s="2161"/>
      <c r="U48" s="2161"/>
      <c r="V48" s="2161"/>
      <c r="W48" s="2161"/>
      <c r="X48" s="2161"/>
      <c r="Y48" s="2161"/>
      <c r="Z48" s="2161"/>
      <c r="AA48" s="2161"/>
      <c r="AB48" s="2161"/>
      <c r="AC48" s="2161"/>
    </row>
    <row r="49" spans="1:29" s="1220" customFormat="1" ht="15">
      <c r="A49" s="647"/>
      <c r="B49" s="648"/>
      <c r="C49" s="2803">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8" t="s">
        <v>2560</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2561</v>
      </c>
      <c r="C67" s="2598" t="s">
        <v>2562</v>
      </c>
      <c r="D67" s="2598" t="s">
        <v>2563</v>
      </c>
      <c r="E67" s="2598" t="s">
        <v>2564</v>
      </c>
      <c r="F67" s="2598" t="s">
        <v>2565</v>
      </c>
      <c r="G67" s="2598" t="s">
        <v>2566</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5"/>
      <c r="Q3" s="1565"/>
      <c r="R3" s="1565"/>
      <c r="S3" s="1565"/>
      <c r="T3" s="1565"/>
      <c r="U3" s="1565"/>
      <c r="V3" s="1565"/>
      <c r="W3" s="1565"/>
      <c r="X3" s="1565"/>
      <c r="Y3" s="1565"/>
      <c r="Z3" s="1565"/>
      <c r="AA3" s="1565"/>
      <c r="AB3" s="1567"/>
      <c r="AC3" s="428"/>
    </row>
    <row r="4" spans="1:29" ht="15">
      <c r="A4" s="512" t="s">
        <v>797</v>
      </c>
      <c r="B4" s="513"/>
      <c r="C4" s="3371" t="s">
        <v>798</v>
      </c>
      <c r="D4" s="3372"/>
      <c r="E4" s="3406" t="s">
        <v>799</v>
      </c>
      <c r="F4" s="3407"/>
      <c r="G4" s="3371" t="s">
        <v>800</v>
      </c>
      <c r="H4" s="3372"/>
      <c r="I4" s="3371" t="s">
        <v>801</v>
      </c>
      <c r="J4" s="3372"/>
      <c r="K4" s="514" t="s">
        <v>802</v>
      </c>
      <c r="L4" s="2133"/>
      <c r="M4" s="2134"/>
      <c r="N4" s="2134"/>
      <c r="O4" s="2134"/>
      <c r="P4" s="3373" t="s">
        <v>803</v>
      </c>
      <c r="Q4" s="3374"/>
      <c r="R4" s="3379" t="s">
        <v>799</v>
      </c>
      <c r="S4" s="3380"/>
      <c r="T4" s="3379" t="s">
        <v>800</v>
      </c>
      <c r="U4" s="3380"/>
      <c r="V4" s="3366" t="s">
        <v>801</v>
      </c>
      <c r="W4" s="3366"/>
      <c r="X4" s="1568"/>
      <c r="Y4" s="3379" t="s">
        <v>803</v>
      </c>
      <c r="Z4" s="3380"/>
      <c r="AA4" s="3368" t="s">
        <v>799</v>
      </c>
      <c r="AB4" s="3369" t="s">
        <v>800</v>
      </c>
      <c r="AC4" s="3368" t="s">
        <v>801</v>
      </c>
    </row>
    <row r="5" spans="1:29" ht="15">
      <c r="A5" s="515"/>
      <c r="B5" s="516"/>
      <c r="C5" s="3403" t="s">
        <v>2930</v>
      </c>
      <c r="D5" s="3388"/>
      <c r="E5" s="3408" t="s">
        <v>2931</v>
      </c>
      <c r="F5" s="3409"/>
      <c r="G5" s="3403" t="s">
        <v>2932</v>
      </c>
      <c r="H5" s="3388"/>
      <c r="I5" s="3403" t="s">
        <v>2933</v>
      </c>
      <c r="J5" s="3388"/>
      <c r="K5" s="514"/>
      <c r="L5" s="2133"/>
      <c r="M5" s="2134"/>
      <c r="N5" s="2134"/>
      <c r="O5" s="2134"/>
      <c r="P5" s="3375"/>
      <c r="Q5" s="3376"/>
      <c r="R5" s="3381"/>
      <c r="S5" s="3382"/>
      <c r="T5" s="3381"/>
      <c r="U5" s="3382"/>
      <c r="V5" s="3366"/>
      <c r="W5" s="3366"/>
      <c r="X5" s="1568"/>
      <c r="Y5" s="3381"/>
      <c r="Z5" s="3382"/>
      <c r="AA5" s="3369"/>
      <c r="AB5" s="3369"/>
      <c r="AC5" s="3369"/>
    </row>
    <row r="6" spans="1:29" ht="15.75" thickBot="1">
      <c r="A6" s="517"/>
      <c r="B6" s="518"/>
      <c r="C6" s="3385" t="s">
        <v>2934</v>
      </c>
      <c r="D6" s="3386"/>
      <c r="E6" s="3404" t="s">
        <v>2934</v>
      </c>
      <c r="F6" s="3405"/>
      <c r="G6" s="3385" t="s">
        <v>2934</v>
      </c>
      <c r="H6" s="3386"/>
      <c r="I6" s="3385" t="s">
        <v>2934</v>
      </c>
      <c r="J6" s="3386"/>
      <c r="K6" s="514" t="s">
        <v>528</v>
      </c>
      <c r="L6" s="2133"/>
      <c r="M6" s="2134"/>
      <c r="N6" s="2134"/>
      <c r="O6" s="2134"/>
      <c r="P6" s="3377"/>
      <c r="Q6" s="3378"/>
      <c r="R6" s="3381"/>
      <c r="S6" s="3382"/>
      <c r="T6" s="3383"/>
      <c r="U6" s="3384"/>
      <c r="V6" s="3366"/>
      <c r="W6" s="3366"/>
      <c r="X6" s="1568"/>
      <c r="Y6" s="3383"/>
      <c r="Z6" s="3384"/>
      <c r="AA6" s="3370"/>
      <c r="AB6" s="3370"/>
      <c r="AC6" s="3370"/>
    </row>
    <row r="7" spans="1:29" s="1220" customFormat="1" ht="15.75" thickBot="1">
      <c r="A7" s="2912"/>
      <c r="B7" s="2919" t="s">
        <v>529</v>
      </c>
      <c r="C7" s="519">
        <f>'数据-取费表'!B2</f>
        <v>43361</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96" t="s">
        <v>530</v>
      </c>
      <c r="Q7" s="3398"/>
      <c r="R7" s="1569" t="s">
        <v>8</v>
      </c>
      <c r="S7" s="1570">
        <f t="shared" ref="S7:S14" si="0">F7</f>
        <v>0</v>
      </c>
      <c r="T7" s="1569" t="s">
        <v>8</v>
      </c>
      <c r="U7" s="1570">
        <f t="shared" ref="U7:U14" si="1">H7</f>
        <v>0</v>
      </c>
      <c r="V7" s="1569" t="s">
        <v>8</v>
      </c>
      <c r="W7" s="1570">
        <f t="shared" ref="W7:W14" si="2">J7</f>
        <v>0</v>
      </c>
      <c r="X7" s="1571"/>
      <c r="Y7" s="3396" t="s">
        <v>530</v>
      </c>
      <c r="Z7" s="3397"/>
      <c r="AA7" s="1572" t="e">
        <f>D7/F7</f>
        <v>#DIV/0!</v>
      </c>
      <c r="AB7" s="1572" t="e">
        <f>D7/H7</f>
        <v>#DIV/0!</v>
      </c>
      <c r="AC7" s="1572" t="e">
        <f>D7/J7</f>
        <v>#DIV/0!</v>
      </c>
    </row>
    <row r="8" spans="1:29" s="1220" customFormat="1" ht="15.75" thickBot="1">
      <c r="A8" s="2913"/>
      <c r="B8" s="2920"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96" t="s">
        <v>533</v>
      </c>
      <c r="Q8" s="3397"/>
      <c r="R8" s="1569" t="s">
        <v>8</v>
      </c>
      <c r="S8" s="1570">
        <f t="shared" si="0"/>
        <v>0</v>
      </c>
      <c r="T8" s="1569" t="s">
        <v>8</v>
      </c>
      <c r="U8" s="1570">
        <f t="shared" si="1"/>
        <v>0</v>
      </c>
      <c r="V8" s="1569" t="s">
        <v>8</v>
      </c>
      <c r="W8" s="1570">
        <f t="shared" si="2"/>
        <v>0</v>
      </c>
      <c r="X8" s="1571"/>
      <c r="Y8" s="3396" t="s">
        <v>533</v>
      </c>
      <c r="Z8" s="3397"/>
      <c r="AA8" s="1572" t="e">
        <f t="shared" ref="AA8:AA34" si="3">D8/F8</f>
        <v>#DIV/0!</v>
      </c>
      <c r="AB8" s="1572" t="e">
        <f t="shared" ref="AB8:AB34" si="4">D8/H8</f>
        <v>#DIV/0!</v>
      </c>
      <c r="AC8" s="1572" t="e">
        <f t="shared" ref="AC8:AC34" si="5">D8/J8</f>
        <v>#DIV/0!</v>
      </c>
    </row>
    <row r="9" spans="1:29" s="1220" customFormat="1" ht="15">
      <c r="A9" s="2914"/>
      <c r="B9" s="2921" t="s">
        <v>2759</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65" t="s">
        <v>535</v>
      </c>
      <c r="Q9" s="1151" t="str">
        <f t="shared" ref="Q9:Q14" si="6">B9</f>
        <v>用途</v>
      </c>
      <c r="R9" s="1569" t="s">
        <v>8</v>
      </c>
      <c r="S9" s="1570">
        <f t="shared" si="0"/>
        <v>100</v>
      </c>
      <c r="T9" s="1569" t="s">
        <v>8</v>
      </c>
      <c r="U9" s="1570">
        <f t="shared" si="1"/>
        <v>100</v>
      </c>
      <c r="V9" s="1569" t="s">
        <v>8</v>
      </c>
      <c r="W9" s="1570">
        <f t="shared" si="2"/>
        <v>100</v>
      </c>
      <c r="X9" s="1571"/>
      <c r="Y9" s="3311" t="s">
        <v>536</v>
      </c>
      <c r="Z9" s="1150" t="str">
        <f t="shared" ref="Z9:Z14" si="7">Q9</f>
        <v>用途</v>
      </c>
      <c r="AA9" s="1572">
        <f t="shared" si="3"/>
        <v>1</v>
      </c>
      <c r="AB9" s="1572">
        <f t="shared" si="4"/>
        <v>1</v>
      </c>
      <c r="AC9" s="1572">
        <f t="shared" si="5"/>
        <v>1</v>
      </c>
    </row>
    <row r="10" spans="1:29" s="1338" customFormat="1" ht="27">
      <c r="A10" s="2915"/>
      <c r="B10" s="2920" t="s">
        <v>2760</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65"/>
      <c r="Q10" s="1151" t="str">
        <f t="shared" si="6"/>
        <v>土地使用年限（年）</v>
      </c>
      <c r="R10" s="1569" t="s">
        <v>8</v>
      </c>
      <c r="S10" s="1570">
        <f t="shared" si="0"/>
        <v>100</v>
      </c>
      <c r="T10" s="1569" t="s">
        <v>8</v>
      </c>
      <c r="U10" s="1570">
        <f t="shared" si="1"/>
        <v>100</v>
      </c>
      <c r="V10" s="1569" t="s">
        <v>8</v>
      </c>
      <c r="W10" s="1570">
        <f t="shared" si="2"/>
        <v>100</v>
      </c>
      <c r="X10" s="1571"/>
      <c r="Y10" s="3311"/>
      <c r="Z10" s="1150" t="str">
        <f t="shared" si="7"/>
        <v>土地使用年限（年）</v>
      </c>
      <c r="AA10" s="1572">
        <f t="shared" si="3"/>
        <v>1</v>
      </c>
      <c r="AB10" s="1572">
        <f t="shared" si="4"/>
        <v>1</v>
      </c>
      <c r="AC10" s="1572">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65"/>
      <c r="Q11" s="1151">
        <f t="shared" si="6"/>
        <v>111</v>
      </c>
      <c r="R11" s="1569" t="s">
        <v>8</v>
      </c>
      <c r="S11" s="1570">
        <f t="shared" si="0"/>
        <v>100</v>
      </c>
      <c r="T11" s="1569" t="s">
        <v>8</v>
      </c>
      <c r="U11" s="1570">
        <f t="shared" si="1"/>
        <v>100</v>
      </c>
      <c r="V11" s="1569" t="s">
        <v>8</v>
      </c>
      <c r="W11" s="1570">
        <f t="shared" si="2"/>
        <v>100</v>
      </c>
      <c r="X11" s="1571"/>
      <c r="Y11" s="3311"/>
      <c r="Z11" s="1150">
        <f t="shared" si="7"/>
        <v>111</v>
      </c>
      <c r="AA11" s="1572">
        <f t="shared" si="3"/>
        <v>1</v>
      </c>
      <c r="AB11" s="1572">
        <f t="shared" si="4"/>
        <v>1</v>
      </c>
      <c r="AC11" s="1572">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65"/>
      <c r="Q12" s="1151">
        <f t="shared" si="6"/>
        <v>111</v>
      </c>
      <c r="R12" s="1569" t="s">
        <v>8</v>
      </c>
      <c r="S12" s="1570">
        <f t="shared" si="0"/>
        <v>100</v>
      </c>
      <c r="T12" s="1569" t="s">
        <v>8</v>
      </c>
      <c r="U12" s="1570">
        <f t="shared" si="1"/>
        <v>100</v>
      </c>
      <c r="V12" s="1569" t="s">
        <v>8</v>
      </c>
      <c r="W12" s="1570">
        <f t="shared" si="2"/>
        <v>100</v>
      </c>
      <c r="X12" s="1571"/>
      <c r="Y12" s="3311"/>
      <c r="Z12" s="1150">
        <f t="shared" si="7"/>
        <v>111</v>
      </c>
      <c r="AA12" s="1572">
        <f>D12/F12</f>
        <v>1</v>
      </c>
      <c r="AB12" s="1572">
        <f>D12/H12</f>
        <v>1</v>
      </c>
      <c r="AC12" s="1572">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65"/>
      <c r="Q13" s="1151">
        <f t="shared" si="6"/>
        <v>111</v>
      </c>
      <c r="R13" s="1569" t="s">
        <v>8</v>
      </c>
      <c r="S13" s="1570">
        <f t="shared" si="0"/>
        <v>100</v>
      </c>
      <c r="T13" s="1569" t="s">
        <v>8</v>
      </c>
      <c r="U13" s="1570">
        <f t="shared" si="1"/>
        <v>100</v>
      </c>
      <c r="V13" s="1569" t="s">
        <v>8</v>
      </c>
      <c r="W13" s="1570">
        <f t="shared" si="2"/>
        <v>100</v>
      </c>
      <c r="X13" s="1571"/>
      <c r="Y13" s="3311"/>
      <c r="Z13" s="1150">
        <f t="shared" si="7"/>
        <v>111</v>
      </c>
      <c r="AA13" s="1572">
        <f t="shared" si="3"/>
        <v>1</v>
      </c>
      <c r="AB13" s="1572">
        <f t="shared" si="4"/>
        <v>1</v>
      </c>
      <c r="AC13" s="1572">
        <f t="shared" si="5"/>
        <v>1</v>
      </c>
    </row>
    <row r="14" spans="1:29" ht="85.5">
      <c r="A14" s="2910" t="s">
        <v>2757</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99" t="s">
        <v>540</v>
      </c>
      <c r="Q14" s="1573" t="str">
        <f t="shared" si="6"/>
        <v>交通便捷度</v>
      </c>
      <c r="R14" s="1574" t="s">
        <v>8</v>
      </c>
      <c r="S14" s="1575">
        <f t="shared" si="0"/>
        <v>100</v>
      </c>
      <c r="T14" s="1574" t="s">
        <v>8</v>
      </c>
      <c r="U14" s="1575">
        <f t="shared" si="1"/>
        <v>100</v>
      </c>
      <c r="V14" s="1574" t="s">
        <v>8</v>
      </c>
      <c r="W14" s="1575">
        <f t="shared" si="2"/>
        <v>100</v>
      </c>
      <c r="X14" s="1568"/>
      <c r="Y14" s="3399"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2"/>
      <c r="M15" s="2134"/>
      <c r="N15" s="2134"/>
      <c r="O15" s="2141"/>
      <c r="P15" s="3400"/>
      <c r="Q15" s="1573"/>
      <c r="R15" s="1574"/>
      <c r="S15" s="1575"/>
      <c r="T15" s="1574"/>
      <c r="U15" s="1575"/>
      <c r="V15" s="1574"/>
      <c r="W15" s="1575"/>
      <c r="X15" s="1568"/>
      <c r="Y15" s="3400"/>
      <c r="Z15" s="1576"/>
      <c r="AA15" s="1577">
        <v>1</v>
      </c>
      <c r="AB15" s="1577">
        <v>1</v>
      </c>
      <c r="AC15" s="1577">
        <v>1</v>
      </c>
    </row>
    <row r="16" spans="1:29" ht="42.75">
      <c r="A16" s="532"/>
      <c r="B16" s="2603" t="s">
        <v>2549</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400"/>
      <c r="Q16" s="1573" t="str">
        <f>B16</f>
        <v>公共配套设施</v>
      </c>
      <c r="R16" s="1574" t="s">
        <v>8</v>
      </c>
      <c r="S16" s="1575">
        <f>F16</f>
        <v>100</v>
      </c>
      <c r="T16" s="1574" t="s">
        <v>8</v>
      </c>
      <c r="U16" s="1575">
        <f>H16</f>
        <v>100</v>
      </c>
      <c r="V16" s="1574" t="s">
        <v>8</v>
      </c>
      <c r="W16" s="1575">
        <f>J16</f>
        <v>100</v>
      </c>
      <c r="X16" s="1568"/>
      <c r="Y16" s="3400"/>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2"/>
      <c r="M17" s="2134"/>
      <c r="N17" s="2134"/>
      <c r="O17" s="2141"/>
      <c r="P17" s="3400"/>
      <c r="Q17" s="1573"/>
      <c r="R17" s="1574"/>
      <c r="S17" s="1575"/>
      <c r="T17" s="1574"/>
      <c r="U17" s="1575"/>
      <c r="V17" s="1574"/>
      <c r="W17" s="1575"/>
      <c r="X17" s="1568"/>
      <c r="Y17" s="3400"/>
      <c r="Z17" s="1576"/>
      <c r="AA17" s="1577">
        <v>1</v>
      </c>
      <c r="AB17" s="1577">
        <v>1</v>
      </c>
      <c r="AC17" s="1577">
        <v>1</v>
      </c>
    </row>
    <row r="18" spans="1:29" ht="28.5">
      <c r="A18" s="532"/>
      <c r="B18" s="2591" t="s">
        <v>2561</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400"/>
      <c r="Q18" s="2579" t="str">
        <f>B18</f>
        <v>基础设施水平</v>
      </c>
      <c r="R18" s="1574" t="s">
        <v>8</v>
      </c>
      <c r="S18" s="1575">
        <f>F18</f>
        <v>100</v>
      </c>
      <c r="T18" s="1574" t="s">
        <v>8</v>
      </c>
      <c r="U18" s="1575">
        <f>H18</f>
        <v>100</v>
      </c>
      <c r="V18" s="1574" t="s">
        <v>8</v>
      </c>
      <c r="W18" s="1575">
        <f>J18</f>
        <v>100</v>
      </c>
      <c r="X18" s="2581"/>
      <c r="Y18" s="3400"/>
      <c r="Z18" s="2580"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2"/>
      <c r="L19" s="2142"/>
      <c r="M19" s="2134"/>
      <c r="N19" s="2134"/>
      <c r="O19" s="2141"/>
      <c r="P19" s="3400"/>
      <c r="Q19" s="2579"/>
      <c r="R19" s="1574"/>
      <c r="S19" s="1575"/>
      <c r="T19" s="1574"/>
      <c r="U19" s="1575"/>
      <c r="V19" s="1574"/>
      <c r="W19" s="1575"/>
      <c r="X19" s="2581"/>
      <c r="Y19" s="3400"/>
      <c r="Z19" s="2580"/>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400"/>
      <c r="Q20" s="1573" t="str">
        <f>B20</f>
        <v>自然及人文环境</v>
      </c>
      <c r="R20" s="1574" t="s">
        <v>8</v>
      </c>
      <c r="S20" s="1575">
        <f>F20</f>
        <v>100</v>
      </c>
      <c r="T20" s="1574" t="s">
        <v>8</v>
      </c>
      <c r="U20" s="1575">
        <f>H20</f>
        <v>100</v>
      </c>
      <c r="V20" s="1574" t="s">
        <v>8</v>
      </c>
      <c r="W20" s="1575">
        <f>J20</f>
        <v>100</v>
      </c>
      <c r="X20" s="1568"/>
      <c r="Y20" s="3400"/>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2"/>
      <c r="M21" s="2134"/>
      <c r="N21" s="2134"/>
      <c r="O21" s="2141"/>
      <c r="P21" s="3400"/>
      <c r="Q21" s="1573"/>
      <c r="R21" s="1574"/>
      <c r="S21" s="1575"/>
      <c r="T21" s="1574"/>
      <c r="U21" s="1575"/>
      <c r="V21" s="1574"/>
      <c r="W21" s="1575"/>
      <c r="X21" s="1568"/>
      <c r="Y21" s="3400"/>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400"/>
      <c r="Q22" s="1573" t="str">
        <f>B22</f>
        <v>楼层</v>
      </c>
      <c r="R22" s="1574" t="s">
        <v>8</v>
      </c>
      <c r="S22" s="1575">
        <f>F22</f>
        <v>100</v>
      </c>
      <c r="T22" s="1574" t="s">
        <v>8</v>
      </c>
      <c r="U22" s="1575">
        <f>H22</f>
        <v>100</v>
      </c>
      <c r="V22" s="1574" t="s">
        <v>8</v>
      </c>
      <c r="W22" s="1575">
        <f>J22</f>
        <v>100</v>
      </c>
      <c r="X22" s="1568"/>
      <c r="Y22" s="3400"/>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400"/>
      <c r="Q23" s="1573">
        <f>B23</f>
        <v>111</v>
      </c>
      <c r="R23" s="1574" t="s">
        <v>8</v>
      </c>
      <c r="S23" s="1575">
        <f>F23</f>
        <v>100</v>
      </c>
      <c r="T23" s="1574" t="s">
        <v>8</v>
      </c>
      <c r="U23" s="1575">
        <f>H23</f>
        <v>100</v>
      </c>
      <c r="V23" s="1574" t="s">
        <v>8</v>
      </c>
      <c r="W23" s="1575">
        <f>J23</f>
        <v>100</v>
      </c>
      <c r="X23" s="1568"/>
      <c r="Y23" s="3400"/>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400"/>
      <c r="Q24" s="1573">
        <f t="shared" ref="Q24:Q34" si="11">B24</f>
        <v>111</v>
      </c>
      <c r="R24" s="1574" t="s">
        <v>8</v>
      </c>
      <c r="S24" s="1575">
        <f>F24</f>
        <v>100</v>
      </c>
      <c r="T24" s="1574" t="s">
        <v>8</v>
      </c>
      <c r="U24" s="1575">
        <f>H24</f>
        <v>100</v>
      </c>
      <c r="V24" s="1574" t="s">
        <v>8</v>
      </c>
      <c r="W24" s="1575">
        <f>J24</f>
        <v>100</v>
      </c>
      <c r="X24" s="1568"/>
      <c r="Y24" s="3400"/>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400"/>
      <c r="Q25" s="1151">
        <f t="shared" si="11"/>
        <v>111</v>
      </c>
      <c r="R25" s="1569" t="s">
        <v>8</v>
      </c>
      <c r="S25" s="1570">
        <f>F25</f>
        <v>100</v>
      </c>
      <c r="T25" s="1569" t="s">
        <v>8</v>
      </c>
      <c r="U25" s="1570">
        <f>H25</f>
        <v>100</v>
      </c>
      <c r="V25" s="1569" t="s">
        <v>8</v>
      </c>
      <c r="W25" s="1570">
        <f>J25</f>
        <v>100</v>
      </c>
      <c r="X25" s="1571"/>
      <c r="Y25" s="3400"/>
      <c r="Z25" s="1150">
        <f>Q25</f>
        <v>111</v>
      </c>
      <c r="AA25" s="1577">
        <f>D25/F25</f>
        <v>1</v>
      </c>
      <c r="AB25" s="1577">
        <f>D25/H25</f>
        <v>1</v>
      </c>
      <c r="AC25" s="1577">
        <f>D25/J25</f>
        <v>1</v>
      </c>
    </row>
    <row r="26" spans="1:29" ht="15">
      <c r="A26" s="2907" t="s">
        <v>2758</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401"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02"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402"/>
      <c r="Q27" s="1606" t="str">
        <f t="shared" si="11"/>
        <v>成新率</v>
      </c>
      <c r="R27" s="1578" t="s">
        <v>8</v>
      </c>
      <c r="S27" s="1579" t="e">
        <f t="shared" si="12"/>
        <v>#N/A</v>
      </c>
      <c r="T27" s="1578" t="s">
        <v>8</v>
      </c>
      <c r="U27" s="1579" t="e">
        <f t="shared" si="13"/>
        <v>#N/A</v>
      </c>
      <c r="V27" s="1578" t="s">
        <v>8</v>
      </c>
      <c r="W27" s="1579" t="e">
        <f t="shared" si="14"/>
        <v>#N/A</v>
      </c>
      <c r="X27" s="1580"/>
      <c r="Y27" s="3402"/>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402"/>
      <c r="Q28" s="1573" t="str">
        <f t="shared" si="11"/>
        <v>物业等级</v>
      </c>
      <c r="R28" s="1574" t="s">
        <v>8</v>
      </c>
      <c r="S28" s="1575">
        <f t="shared" si="12"/>
        <v>100</v>
      </c>
      <c r="T28" s="1574" t="s">
        <v>8</v>
      </c>
      <c r="U28" s="1575">
        <f t="shared" si="13"/>
        <v>100</v>
      </c>
      <c r="V28" s="1574" t="s">
        <v>8</v>
      </c>
      <c r="W28" s="1575">
        <f t="shared" si="14"/>
        <v>100</v>
      </c>
      <c r="X28" s="1568"/>
      <c r="Y28" s="3402"/>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402"/>
      <c r="Q29" s="1573" t="str">
        <f t="shared" si="11"/>
        <v>有无电梯</v>
      </c>
      <c r="R29" s="1574" t="s">
        <v>8</v>
      </c>
      <c r="S29" s="1575">
        <f t="shared" si="12"/>
        <v>100</v>
      </c>
      <c r="T29" s="1574" t="s">
        <v>8</v>
      </c>
      <c r="U29" s="1575">
        <f t="shared" si="13"/>
        <v>100</v>
      </c>
      <c r="V29" s="1574" t="s">
        <v>8</v>
      </c>
      <c r="W29" s="1575">
        <f t="shared" si="14"/>
        <v>100</v>
      </c>
      <c r="X29" s="1568"/>
      <c r="Y29" s="3402"/>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402"/>
      <c r="Q30" s="1573" t="str">
        <f t="shared" si="11"/>
        <v>建筑面积</v>
      </c>
      <c r="R30" s="1574" t="s">
        <v>8</v>
      </c>
      <c r="S30" s="1575" t="e">
        <f t="shared" si="12"/>
        <v>#N/A</v>
      </c>
      <c r="T30" s="1574" t="s">
        <v>8</v>
      </c>
      <c r="U30" s="1575" t="e">
        <f t="shared" si="13"/>
        <v>#N/A</v>
      </c>
      <c r="V30" s="1574" t="s">
        <v>8</v>
      </c>
      <c r="W30" s="1575" t="e">
        <f t="shared" si="14"/>
        <v>#N/A</v>
      </c>
      <c r="X30" s="1568"/>
      <c r="Y30" s="3402"/>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402"/>
      <c r="Q31" s="1151" t="str">
        <f t="shared" si="11"/>
        <v>是否封闭</v>
      </c>
      <c r="R31" s="1569" t="s">
        <v>8</v>
      </c>
      <c r="S31" s="1570">
        <f t="shared" si="12"/>
        <v>100</v>
      </c>
      <c r="T31" s="1569" t="s">
        <v>8</v>
      </c>
      <c r="U31" s="1570">
        <f t="shared" si="13"/>
        <v>100</v>
      </c>
      <c r="V31" s="1569" t="s">
        <v>8</v>
      </c>
      <c r="W31" s="1570">
        <f t="shared" si="14"/>
        <v>100</v>
      </c>
      <c r="X31" s="1571"/>
      <c r="Y31" s="3402"/>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402" t="s">
        <v>550</v>
      </c>
      <c r="Q32" s="1573">
        <f t="shared" si="11"/>
        <v>111</v>
      </c>
      <c r="R32" s="1574" t="s">
        <v>8</v>
      </c>
      <c r="S32" s="1575">
        <f t="shared" si="12"/>
        <v>100</v>
      </c>
      <c r="T32" s="1574" t="s">
        <v>8</v>
      </c>
      <c r="U32" s="1575">
        <f t="shared" si="13"/>
        <v>100</v>
      </c>
      <c r="V32" s="1574" t="s">
        <v>8</v>
      </c>
      <c r="W32" s="1575">
        <f t="shared" si="14"/>
        <v>100</v>
      </c>
      <c r="X32" s="1568"/>
      <c r="Y32" s="3402"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402"/>
      <c r="Q33" s="1573">
        <f t="shared" si="11"/>
        <v>111</v>
      </c>
      <c r="R33" s="1574" t="s">
        <v>8</v>
      </c>
      <c r="S33" s="1575">
        <f t="shared" si="12"/>
        <v>100</v>
      </c>
      <c r="T33" s="1574" t="s">
        <v>8</v>
      </c>
      <c r="U33" s="1575">
        <f t="shared" si="13"/>
        <v>100</v>
      </c>
      <c r="V33" s="1574" t="s">
        <v>8</v>
      </c>
      <c r="W33" s="1575">
        <f t="shared" si="14"/>
        <v>100</v>
      </c>
      <c r="X33" s="1568"/>
      <c r="Y33" s="3402"/>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402"/>
      <c r="Q34" s="1573">
        <f t="shared" si="11"/>
        <v>111</v>
      </c>
      <c r="R34" s="1574" t="s">
        <v>8</v>
      </c>
      <c r="S34" s="1575">
        <f t="shared" si="12"/>
        <v>100</v>
      </c>
      <c r="T34" s="1574" t="s">
        <v>8</v>
      </c>
      <c r="U34" s="1575">
        <f t="shared" si="13"/>
        <v>100</v>
      </c>
      <c r="V34" s="1574" t="s">
        <v>8</v>
      </c>
      <c r="W34" s="1575">
        <f t="shared" si="14"/>
        <v>100</v>
      </c>
      <c r="X34" s="1568"/>
      <c r="Y34" s="3402"/>
      <c r="Z34" s="1576">
        <f t="shared" si="15"/>
        <v>111</v>
      </c>
      <c r="AA34" s="1577">
        <f t="shared" si="3"/>
        <v>1</v>
      </c>
      <c r="AB34" s="1577">
        <f t="shared" si="4"/>
        <v>1</v>
      </c>
      <c r="AC34" s="1577">
        <f t="shared" si="5"/>
        <v>1</v>
      </c>
    </row>
    <row r="35" spans="1:29" ht="15">
      <c r="A35" s="607" t="s">
        <v>736</v>
      </c>
      <c r="B35" s="887"/>
      <c r="C35" s="2627" t="s">
        <v>1</v>
      </c>
      <c r="D35" s="2628"/>
      <c r="E35" s="2629"/>
      <c r="F35" s="2630"/>
      <c r="G35" s="2631"/>
      <c r="H35" s="2632"/>
      <c r="I35" s="2629"/>
      <c r="J35" s="2632"/>
      <c r="K35" s="1612"/>
      <c r="L35" s="2144"/>
      <c r="M35" s="2145"/>
      <c r="N35" s="2134"/>
      <c r="O35" s="2145"/>
      <c r="P35" s="3365" t="str">
        <f>A35</f>
        <v>成交单价（元/平方米）</v>
      </c>
      <c r="Q35" s="3365"/>
      <c r="R35" s="3479">
        <f>E35</f>
        <v>0</v>
      </c>
      <c r="S35" s="3479"/>
      <c r="T35" s="3479">
        <f>G35</f>
        <v>0</v>
      </c>
      <c r="U35" s="3479"/>
      <c r="V35" s="3479">
        <f>I35</f>
        <v>0</v>
      </c>
      <c r="W35" s="3479"/>
      <c r="X35" s="1560"/>
      <c r="Y35" s="1582"/>
      <c r="Z35" s="1560"/>
      <c r="AA35" s="1560"/>
      <c r="AB35" s="1560"/>
      <c r="AC35" s="1560"/>
    </row>
    <row r="36" spans="1:29" ht="15.75" thickBot="1">
      <c r="A36" s="615" t="s">
        <v>2763</v>
      </c>
      <c r="B36" s="888"/>
      <c r="C36" s="2633" t="e">
        <f>R37</f>
        <v>#DIV/0!</v>
      </c>
      <c r="D36" s="2634"/>
      <c r="E36" s="2635" t="e">
        <f>R36</f>
        <v>#DIV/0!</v>
      </c>
      <c r="F36" s="2635"/>
      <c r="G36" s="2633" t="e">
        <f>T36</f>
        <v>#DIV/0!</v>
      </c>
      <c r="H36" s="2634"/>
      <c r="I36" s="2635" t="e">
        <f>V36</f>
        <v>#DIV/0!</v>
      </c>
      <c r="J36" s="2634"/>
      <c r="K36" s="1613"/>
      <c r="L36" s="2144"/>
      <c r="M36" s="2145"/>
      <c r="N36" s="2134"/>
      <c r="O36" s="2145"/>
      <c r="P36" s="3365" t="str">
        <f>A36</f>
        <v>比较价格（元/平方米）</v>
      </c>
      <c r="Q36" s="3365"/>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60"/>
      <c r="Y36" s="1560"/>
      <c r="Z36" s="1560"/>
      <c r="AA36" s="1560"/>
      <c r="AB36" s="1560"/>
      <c r="AC36" s="1560"/>
    </row>
    <row r="37" spans="1:29" ht="15.75" thickBot="1">
      <c r="A37" s="621" t="s">
        <v>2936</v>
      </c>
      <c r="B37" s="622"/>
      <c r="C37" s="2636" t="e">
        <f>R37</f>
        <v>#DIV/0!</v>
      </c>
      <c r="D37" s="2636"/>
      <c r="E37" s="2636"/>
      <c r="F37" s="2636"/>
      <c r="G37" s="2636"/>
      <c r="H37" s="2636"/>
      <c r="I37" s="2636"/>
      <c r="J37" s="2636"/>
      <c r="K37" s="1614"/>
      <c r="L37" s="2144"/>
      <c r="M37" s="2145"/>
      <c r="N37" s="2145"/>
      <c r="O37" s="2145"/>
      <c r="P37" s="3362" t="str">
        <f>A37</f>
        <v>估价对象XX用房的比较价格（楼面单价，元/平方米）</v>
      </c>
      <c r="Q37" s="3363"/>
      <c r="R37" s="3478" t="e">
        <f>IF(F1="售价",ROUND(AVERAGE(R36:V36),0),ROUND(AVERAGE(R36:V36),1))</f>
        <v>#DIV/0!</v>
      </c>
      <c r="S37" s="3478"/>
      <c r="T37" s="3478"/>
      <c r="U37" s="3478"/>
      <c r="V37" s="3478"/>
      <c r="W37" s="3478"/>
      <c r="X37" s="1560"/>
      <c r="Y37" s="1560"/>
      <c r="Z37" s="1560"/>
      <c r="AA37" s="1560"/>
      <c r="AB37" s="1560"/>
      <c r="AC37" s="1560"/>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5" t="s">
        <v>574</v>
      </c>
      <c r="B45" s="1560"/>
      <c r="C45" s="1584"/>
      <c r="D45" s="1584"/>
      <c r="E45" s="1584"/>
      <c r="F45" s="1586"/>
      <c r="G45" s="1586"/>
      <c r="H45" s="1584"/>
      <c r="I45" s="1584"/>
      <c r="J45" s="1584"/>
      <c r="K45" s="1587"/>
      <c r="L45" s="1583"/>
      <c r="M45" s="1584"/>
      <c r="N45" s="1584"/>
      <c r="O45" s="1584"/>
      <c r="P45" s="2157"/>
      <c r="Q45" s="2158"/>
      <c r="R45" s="2145"/>
      <c r="S45" s="2145"/>
      <c r="T45" s="2145"/>
      <c r="U45" s="2145"/>
      <c r="V45" s="2145"/>
      <c r="W45" s="2145"/>
      <c r="X45" s="2145"/>
      <c r="Y45" s="2145"/>
      <c r="Z45" s="2145"/>
      <c r="AA45" s="2145"/>
      <c r="AB45" s="2145"/>
      <c r="AC45" s="2145"/>
    </row>
    <row r="46" spans="1:29" s="1347" customFormat="1" ht="15">
      <c r="A46" s="645" t="s">
        <v>529</v>
      </c>
      <c r="B46" s="646"/>
      <c r="C46" s="2802" t="str">
        <f>YEAR(C7)&amp;"-"&amp;MONTH(C7)</f>
        <v>2018-9</v>
      </c>
      <c r="D46" s="2804">
        <f>EDATE(C46,-1)</f>
        <v>43313</v>
      </c>
      <c r="E46" s="2804">
        <f t="shared" ref="E46:O46" si="16">EDATE(D46,-1)</f>
        <v>43282</v>
      </c>
      <c r="F46" s="2804">
        <f t="shared" si="16"/>
        <v>43252</v>
      </c>
      <c r="G46" s="2804">
        <f t="shared" si="16"/>
        <v>43221</v>
      </c>
      <c r="H46" s="2804">
        <f t="shared" si="16"/>
        <v>43191</v>
      </c>
      <c r="I46" s="2804">
        <f t="shared" si="16"/>
        <v>43160</v>
      </c>
      <c r="J46" s="2804">
        <f t="shared" si="16"/>
        <v>43132</v>
      </c>
      <c r="K46" s="2804">
        <f t="shared" si="16"/>
        <v>43101</v>
      </c>
      <c r="L46" s="2804">
        <f t="shared" si="16"/>
        <v>43070</v>
      </c>
      <c r="M46" s="2804">
        <f t="shared" si="16"/>
        <v>43040</v>
      </c>
      <c r="N46" s="2804">
        <f t="shared" si="16"/>
        <v>43009</v>
      </c>
      <c r="O46" s="2804">
        <f t="shared" si="16"/>
        <v>42979</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8" t="s">
        <v>2560</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2561</v>
      </c>
      <c r="C65" s="2598" t="s">
        <v>2562</v>
      </c>
      <c r="D65" s="2598" t="s">
        <v>2563</v>
      </c>
      <c r="E65" s="2598" t="s">
        <v>2564</v>
      </c>
      <c r="F65" s="2598" t="s">
        <v>2565</v>
      </c>
      <c r="G65" s="2598" t="s">
        <v>2566</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S24" sqref="S24:S30"/>
    </sheetView>
  </sheetViews>
  <sheetFormatPr defaultRowHeight="12.75"/>
  <cols>
    <col min="1" max="1" width="11.5" style="1250" customWidth="1"/>
    <col min="2" max="2" width="9.25" style="1218" customWidth="1"/>
    <col min="3" max="3" width="5" style="1218" customWidth="1"/>
    <col min="4" max="4" width="9" style="1218"/>
    <col min="5" max="5" width="10.25" style="1218" customWidth="1"/>
    <col min="6" max="6" width="9" style="1218"/>
    <col min="7" max="7" width="7.87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4" t="s">
        <v>2306</v>
      </c>
      <c r="C1" s="3489" t="s">
        <v>2307</v>
      </c>
      <c r="D1" s="3490"/>
      <c r="E1" s="3490"/>
      <c r="F1" s="3490"/>
      <c r="G1" s="3490"/>
      <c r="H1" s="3490"/>
      <c r="I1" s="3490"/>
      <c r="J1" s="3490"/>
      <c r="K1" s="3490"/>
      <c r="L1" s="3490"/>
      <c r="M1" s="3490"/>
      <c r="N1" s="3490"/>
      <c r="O1" s="3490"/>
      <c r="P1" s="3490"/>
      <c r="Q1" s="3490"/>
      <c r="R1" s="3490"/>
      <c r="S1" s="3491"/>
      <c r="T1" s="2234" t="s">
        <v>2308</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ht="38.25">
      <c r="A2" s="2235"/>
      <c r="B2" s="949" t="s">
        <v>2309</v>
      </c>
      <c r="C2" s="950" t="str">
        <f t="shared" ref="C2:L2" si="0">C3&amp;"(含)"&amp;"-"&amp;D3</f>
        <v>100(含)-100</v>
      </c>
      <c r="D2" s="951" t="str">
        <f t="shared" si="0"/>
        <v>100(含)-100</v>
      </c>
      <c r="E2" s="951" t="str">
        <f t="shared" si="0"/>
        <v>100(含)-100</v>
      </c>
      <c r="F2" s="951" t="str">
        <f t="shared" si="0"/>
        <v>100(含)-100</v>
      </c>
      <c r="G2" s="951" t="str">
        <f t="shared" si="0"/>
        <v>100(含)-100</v>
      </c>
      <c r="H2" s="951" t="str">
        <f t="shared" si="0"/>
        <v>100(含)-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v>100</v>
      </c>
      <c r="D3" s="955">
        <v>100</v>
      </c>
      <c r="E3" s="955">
        <v>100</v>
      </c>
      <c r="F3" s="955">
        <v>100</v>
      </c>
      <c r="G3" s="955">
        <v>100</v>
      </c>
      <c r="H3" s="955">
        <v>100</v>
      </c>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87" t="s">
        <v>3147</v>
      </c>
      <c r="C5" s="3185" t="s">
        <v>3142</v>
      </c>
      <c r="D5" s="3186" t="s">
        <v>3143</v>
      </c>
      <c r="E5" s="3186" t="s">
        <v>3144</v>
      </c>
      <c r="F5" s="3186" t="s">
        <v>3145</v>
      </c>
      <c r="G5" s="3186" t="s">
        <v>3146</v>
      </c>
      <c r="H5" s="2253"/>
      <c r="I5" s="2253"/>
      <c r="J5" s="2253"/>
      <c r="K5" s="2253"/>
      <c r="L5" s="2254"/>
      <c r="M5" s="2255"/>
      <c r="N5" s="2255"/>
      <c r="O5" s="2253"/>
      <c r="P5" s="2253"/>
      <c r="Q5" s="2253"/>
      <c r="R5" s="2253"/>
      <c r="S5" s="2256"/>
      <c r="T5" s="2257">
        <v>10</v>
      </c>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5"/>
      <c r="C6" s="1968">
        <v>100</v>
      </c>
      <c r="D6" s="1969">
        <f>C6-$T5</f>
        <v>90</v>
      </c>
      <c r="E6" s="1969">
        <f t="shared" ref="E6:S6" si="7">D6-$T5</f>
        <v>80</v>
      </c>
      <c r="F6" s="1969">
        <f t="shared" si="7"/>
        <v>70</v>
      </c>
      <c r="G6" s="1969">
        <f t="shared" si="7"/>
        <v>60</v>
      </c>
      <c r="H6" s="1969">
        <f t="shared" si="7"/>
        <v>50</v>
      </c>
      <c r="I6" s="1969">
        <f t="shared" si="7"/>
        <v>40</v>
      </c>
      <c r="J6" s="1969">
        <f t="shared" si="7"/>
        <v>30</v>
      </c>
      <c r="K6" s="1969">
        <f t="shared" si="7"/>
        <v>20</v>
      </c>
      <c r="L6" s="1969">
        <f t="shared" si="7"/>
        <v>10</v>
      </c>
      <c r="M6" s="1969">
        <f t="shared" si="7"/>
        <v>0</v>
      </c>
      <c r="N6" s="1969">
        <f t="shared" si="7"/>
        <v>-10</v>
      </c>
      <c r="O6" s="1969">
        <f t="shared" si="7"/>
        <v>-20</v>
      </c>
      <c r="P6" s="1969">
        <f t="shared" si="7"/>
        <v>-30</v>
      </c>
      <c r="Q6" s="1969">
        <f t="shared" si="7"/>
        <v>-40</v>
      </c>
      <c r="R6" s="1969">
        <f t="shared" si="7"/>
        <v>-50</v>
      </c>
      <c r="S6" s="1969">
        <f t="shared" si="7"/>
        <v>-60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88" t="s">
        <v>3151</v>
      </c>
      <c r="C7" s="3189" t="s">
        <v>3148</v>
      </c>
      <c r="D7" s="3190" t="s">
        <v>3149</v>
      </c>
      <c r="E7" s="3190" t="s">
        <v>3144</v>
      </c>
      <c r="F7" s="3190" t="s">
        <v>3150</v>
      </c>
      <c r="G7" s="1963"/>
      <c r="H7" s="1963"/>
      <c r="I7" s="1963"/>
      <c r="J7" s="1963"/>
      <c r="K7" s="1963"/>
      <c r="L7" s="1963"/>
      <c r="M7" s="2259"/>
      <c r="N7" s="2260"/>
      <c r="O7" s="2261"/>
      <c r="P7" s="2262"/>
      <c r="Q7" s="2263"/>
      <c r="R7" s="2264"/>
      <c r="S7" s="2265"/>
      <c r="T7" s="959">
        <v>3</v>
      </c>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5"/>
      <c r="C8" s="1968">
        <v>100</v>
      </c>
      <c r="D8" s="1969">
        <f>C8-$T7</f>
        <v>97</v>
      </c>
      <c r="E8" s="1969">
        <f t="shared" ref="E8:S8" si="8">D8-$T7</f>
        <v>94</v>
      </c>
      <c r="F8" s="1969">
        <f t="shared" si="8"/>
        <v>91</v>
      </c>
      <c r="G8" s="1969">
        <f t="shared" si="8"/>
        <v>88</v>
      </c>
      <c r="H8" s="1969">
        <f t="shared" si="8"/>
        <v>85</v>
      </c>
      <c r="I8" s="1969">
        <f t="shared" si="8"/>
        <v>82</v>
      </c>
      <c r="J8" s="1969">
        <f t="shared" si="8"/>
        <v>79</v>
      </c>
      <c r="K8" s="1969">
        <f t="shared" si="8"/>
        <v>76</v>
      </c>
      <c r="L8" s="1969">
        <f t="shared" si="8"/>
        <v>73</v>
      </c>
      <c r="M8" s="1969">
        <f t="shared" si="8"/>
        <v>70</v>
      </c>
      <c r="N8" s="1969">
        <f t="shared" si="8"/>
        <v>67</v>
      </c>
      <c r="O8" s="1969">
        <f t="shared" si="8"/>
        <v>64</v>
      </c>
      <c r="P8" s="1969">
        <f t="shared" si="8"/>
        <v>61</v>
      </c>
      <c r="Q8" s="1969">
        <f t="shared" si="8"/>
        <v>58</v>
      </c>
      <c r="R8" s="1969">
        <f t="shared" si="8"/>
        <v>55</v>
      </c>
      <c r="S8" s="1969">
        <f t="shared" si="8"/>
        <v>52</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88" t="s">
        <v>3152</v>
      </c>
      <c r="C9" s="3189" t="s">
        <v>3017</v>
      </c>
      <c r="D9" s="3190" t="s">
        <v>3018</v>
      </c>
      <c r="E9" s="3190" t="s">
        <v>3019</v>
      </c>
      <c r="F9" s="3190" t="s">
        <v>3020</v>
      </c>
      <c r="G9" s="1963"/>
      <c r="H9" s="1963"/>
      <c r="I9" s="1963"/>
      <c r="J9" s="1963"/>
      <c r="K9" s="1963"/>
      <c r="L9" s="1964"/>
      <c r="M9" s="2259"/>
      <c r="N9" s="2260"/>
      <c r="O9" s="2261"/>
      <c r="P9" s="2262"/>
      <c r="Q9" s="2263"/>
      <c r="R9" s="2264"/>
      <c r="S9" s="2265"/>
      <c r="T9" s="959">
        <v>3</v>
      </c>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90"/>
      <c r="C10" s="2266">
        <v>100</v>
      </c>
      <c r="D10" s="2267">
        <f>C10-$T9</f>
        <v>97</v>
      </c>
      <c r="E10" s="2267">
        <f t="shared" ref="E10:S10" si="9">D10-$T9</f>
        <v>94</v>
      </c>
      <c r="F10" s="2267">
        <f t="shared" si="9"/>
        <v>91</v>
      </c>
      <c r="G10" s="2267">
        <f t="shared" si="9"/>
        <v>88</v>
      </c>
      <c r="H10" s="2267">
        <f t="shared" si="9"/>
        <v>85</v>
      </c>
      <c r="I10" s="2267">
        <f t="shared" si="9"/>
        <v>82</v>
      </c>
      <c r="J10" s="2267">
        <f t="shared" si="9"/>
        <v>79</v>
      </c>
      <c r="K10" s="2267">
        <f t="shared" si="9"/>
        <v>76</v>
      </c>
      <c r="L10" s="2267">
        <f t="shared" si="9"/>
        <v>73</v>
      </c>
      <c r="M10" s="2267">
        <f t="shared" si="9"/>
        <v>70</v>
      </c>
      <c r="N10" s="2267">
        <f t="shared" si="9"/>
        <v>67</v>
      </c>
      <c r="O10" s="2267">
        <f t="shared" si="9"/>
        <v>64</v>
      </c>
      <c r="P10" s="2267">
        <f t="shared" si="9"/>
        <v>61</v>
      </c>
      <c r="Q10" s="2267">
        <f t="shared" si="9"/>
        <v>58</v>
      </c>
      <c r="R10" s="2267">
        <f t="shared" si="9"/>
        <v>55</v>
      </c>
      <c r="S10" s="2267">
        <f t="shared" si="9"/>
        <v>52</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ht="24">
      <c r="A11" s="2251"/>
      <c r="B11" s="3187" t="s">
        <v>3153</v>
      </c>
      <c r="C11" s="3189" t="s">
        <v>3017</v>
      </c>
      <c r="D11" s="3190" t="s">
        <v>3018</v>
      </c>
      <c r="E11" s="3190" t="s">
        <v>3019</v>
      </c>
      <c r="F11" s="3190" t="s">
        <v>3020</v>
      </c>
      <c r="G11" s="2253"/>
      <c r="H11" s="2253"/>
      <c r="I11" s="2253"/>
      <c r="J11" s="2253"/>
      <c r="K11" s="2253"/>
      <c r="L11" s="2253"/>
      <c r="M11" s="2255"/>
      <c r="N11" s="2268"/>
      <c r="O11" s="2269"/>
      <c r="P11" s="2270"/>
      <c r="Q11" s="2271"/>
      <c r="R11" s="2272"/>
      <c r="S11" s="2273"/>
      <c r="T11" s="2257">
        <v>3</v>
      </c>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5"/>
      <c r="C12" s="1968">
        <v>100</v>
      </c>
      <c r="D12" s="1969">
        <f>C12-$T11</f>
        <v>97</v>
      </c>
      <c r="E12" s="1969">
        <f t="shared" ref="E12:S12" si="10">D12-$T11</f>
        <v>94</v>
      </c>
      <c r="F12" s="1969">
        <f t="shared" si="10"/>
        <v>91</v>
      </c>
      <c r="G12" s="1969">
        <f t="shared" si="10"/>
        <v>88</v>
      </c>
      <c r="H12" s="1969">
        <f t="shared" si="10"/>
        <v>85</v>
      </c>
      <c r="I12" s="1969">
        <f t="shared" si="10"/>
        <v>82</v>
      </c>
      <c r="J12" s="1969">
        <f t="shared" si="10"/>
        <v>79</v>
      </c>
      <c r="K12" s="1969">
        <f t="shared" si="10"/>
        <v>76</v>
      </c>
      <c r="L12" s="1969">
        <f t="shared" si="10"/>
        <v>73</v>
      </c>
      <c r="M12" s="1969">
        <f t="shared" si="10"/>
        <v>70</v>
      </c>
      <c r="N12" s="1969">
        <f t="shared" si="10"/>
        <v>67</v>
      </c>
      <c r="O12" s="1969">
        <f t="shared" si="10"/>
        <v>64</v>
      </c>
      <c r="P12" s="1969">
        <f t="shared" si="10"/>
        <v>61</v>
      </c>
      <c r="Q12" s="1969">
        <f t="shared" si="10"/>
        <v>58</v>
      </c>
      <c r="R12" s="1969">
        <f t="shared" si="10"/>
        <v>55</v>
      </c>
      <c r="S12" s="1969">
        <f t="shared" si="10"/>
        <v>52</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ht="49.5">
      <c r="A13" s="2251"/>
      <c r="B13" s="3187" t="s">
        <v>3154</v>
      </c>
      <c r="C13" s="954" t="s">
        <v>3155</v>
      </c>
      <c r="D13" s="955" t="s">
        <v>3156</v>
      </c>
      <c r="E13" s="955" t="s">
        <v>3157</v>
      </c>
      <c r="F13" s="955" t="s">
        <v>3158</v>
      </c>
      <c r="G13" s="955" t="s">
        <v>3159</v>
      </c>
      <c r="H13" s="955" t="s">
        <v>3160</v>
      </c>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5"/>
      <c r="C14" s="2245">
        <v>90</v>
      </c>
      <c r="D14" s="2246">
        <v>92</v>
      </c>
      <c r="E14" s="2246">
        <v>94</v>
      </c>
      <c r="F14" s="2246">
        <v>96</v>
      </c>
      <c r="G14" s="2246">
        <v>98</v>
      </c>
      <c r="H14" s="2246">
        <v>100</v>
      </c>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9" t="s">
        <v>2929</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2310</v>
      </c>
      <c r="B17" s="2278" t="s">
        <v>2311</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828</v>
      </c>
      <c r="B20" s="775">
        <f ca="1">S22</f>
        <v>72475</v>
      </c>
      <c r="C20" s="1990"/>
      <c r="D20" s="1990"/>
      <c r="E20" s="1990"/>
      <c r="F20" s="1990"/>
      <c r="G20" s="1990"/>
      <c r="H20" s="1990"/>
      <c r="I20" s="1990"/>
      <c r="J20" s="1990"/>
      <c r="K20" s="1990"/>
      <c r="L20" s="1990"/>
      <c r="M20" s="1990"/>
      <c r="N20" s="1990"/>
      <c r="O20" s="1990"/>
      <c r="P20" s="1990"/>
      <c r="Q20" s="1990"/>
      <c r="R20" s="2225"/>
      <c r="S20" s="2028"/>
    </row>
    <row r="21" spans="1:45" ht="15.75">
      <c r="A21" s="960" t="s">
        <v>829</v>
      </c>
      <c r="B21" s="775">
        <f ca="1">R22</f>
        <v>923</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785331.69000000006</v>
      </c>
      <c r="C22" s="3486" t="s">
        <v>20</v>
      </c>
      <c r="D22" s="3487"/>
      <c r="E22" s="3487"/>
      <c r="F22" s="3487"/>
      <c r="G22" s="3487"/>
      <c r="H22" s="3487"/>
      <c r="I22" s="3487"/>
      <c r="J22" s="3487"/>
      <c r="K22" s="3487"/>
      <c r="L22" s="3487"/>
      <c r="M22" s="3487"/>
      <c r="N22" s="3487"/>
      <c r="O22" s="3487"/>
      <c r="P22" s="3487"/>
      <c r="Q22" s="3488"/>
      <c r="R22" s="490">
        <f ca="1">ROUND(S22*10000/B22,0)</f>
        <v>923</v>
      </c>
      <c r="S22" s="53">
        <f ca="1">SUM(S24:S10000)</f>
        <v>72475</v>
      </c>
    </row>
    <row r="23" spans="1:45" s="1615" customFormat="1" ht="25.5">
      <c r="A23" s="17" t="s">
        <v>831</v>
      </c>
      <c r="B23" s="17" t="s">
        <v>832</v>
      </c>
      <c r="C23" s="17" t="s">
        <v>833</v>
      </c>
      <c r="D23" s="17" t="str">
        <f>B5</f>
        <v>宗地形状</v>
      </c>
      <c r="E23" s="17" t="s">
        <v>833</v>
      </c>
      <c r="F23" s="17" t="str">
        <f>B7</f>
        <v>社区成熟度</v>
      </c>
      <c r="G23" s="17" t="s">
        <v>833</v>
      </c>
      <c r="H23" s="17" t="str">
        <f>B9</f>
        <v>交通便捷度</v>
      </c>
      <c r="I23" s="17" t="s">
        <v>833</v>
      </c>
      <c r="J23" s="17" t="str">
        <f>B11</f>
        <v>公共配套设施</v>
      </c>
      <c r="K23" s="17" t="s">
        <v>833</v>
      </c>
      <c r="L23" s="17" t="str">
        <f>B13</f>
        <v>土地面积</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v>148915.85999999999</v>
      </c>
      <c r="C24" s="962">
        <v>1</v>
      </c>
      <c r="D24" s="963" t="s">
        <v>3128</v>
      </c>
      <c r="E24" s="962">
        <v>1</v>
      </c>
      <c r="F24" s="963" t="s">
        <v>3000</v>
      </c>
      <c r="G24" s="962">
        <v>1</v>
      </c>
      <c r="H24" s="963" t="s">
        <v>3000</v>
      </c>
      <c r="I24" s="962">
        <v>1</v>
      </c>
      <c r="J24" s="963" t="s">
        <v>3000</v>
      </c>
      <c r="K24" s="962">
        <v>1</v>
      </c>
      <c r="L24" s="963" t="s">
        <v>3165</v>
      </c>
      <c r="M24" s="962">
        <v>1</v>
      </c>
      <c r="N24" s="963"/>
      <c r="O24" s="962">
        <v>1</v>
      </c>
      <c r="P24" s="963"/>
      <c r="Q24" s="962">
        <v>1</v>
      </c>
      <c r="R24" s="964">
        <f ca="1">结果表!G20</f>
        <v>946</v>
      </c>
      <c r="S24" s="962">
        <f t="shared" ref="S24:S54" ca="1" si="11">ROUND(R24*B24/10000,0)</f>
        <v>14087</v>
      </c>
      <c r="T24" s="1973"/>
      <c r="U24" s="1973"/>
      <c r="V24" s="1973"/>
      <c r="W24" s="1973"/>
      <c r="X24" s="1973"/>
      <c r="Y24" s="1973"/>
      <c r="Z24" s="1973"/>
      <c r="AA24" s="1973"/>
      <c r="AB24" s="1973"/>
      <c r="AC24" s="1973"/>
      <c r="AD24" s="1973"/>
      <c r="AE24" s="1973"/>
      <c r="AF24" s="1973"/>
      <c r="AG24" s="1973"/>
      <c r="AH24" s="1973"/>
      <c r="AI24" s="1973"/>
    </row>
    <row r="25" spans="1:45">
      <c r="A25" s="965">
        <v>2</v>
      </c>
      <c r="B25" s="137">
        <v>22500</v>
      </c>
      <c r="C25" s="53">
        <f>IF(B25="",1,(LOOKUP(B25,$3:$3,$4:$4)-LOOKUP($B$24,$3:$3,$4:$4)+100)/100)</f>
        <v>1</v>
      </c>
      <c r="D25" s="963" t="s">
        <v>3128</v>
      </c>
      <c r="E25" s="53">
        <f>(SUMIF($5:$5,D25,$6:$6)-SUMIF($5:$5,$D$24,$6:$6)+100)/100</f>
        <v>1</v>
      </c>
      <c r="F25" s="963" t="s">
        <v>3000</v>
      </c>
      <c r="G25" s="53">
        <f>(SUMIF($7:$7,F25,$8:$8)-SUMIF($7:$7,$F$24,$8:$8)+100)/100</f>
        <v>1</v>
      </c>
      <c r="H25" s="963" t="s">
        <v>3000</v>
      </c>
      <c r="I25" s="53">
        <f>(SUMIF($9:$9,H25,$10:$10)-SUMIF($9:$9,$H$24,$10:$10)+100)/100</f>
        <v>1</v>
      </c>
      <c r="J25" s="963" t="s">
        <v>3000</v>
      </c>
      <c r="K25" s="53">
        <f>(SUMIF($11:$11,J25,$12:$12)-SUMIF($11:$11,$J$24,$12:$12)+100)/100</f>
        <v>1</v>
      </c>
      <c r="L25" s="963" t="s">
        <v>3161</v>
      </c>
      <c r="M25" s="53">
        <f>(SUMIF($13:$13,L25,$14:$14)-SUMIF($13:$13,$L$24,$14:$14)+100)/100</f>
        <v>0.92</v>
      </c>
      <c r="N25" s="963"/>
      <c r="O25" s="53">
        <f>(SUMIF($15:$15,N25,$16:$16)-SUMIF($15:$15,$N$24,$16:$16)+100)/100</f>
        <v>1</v>
      </c>
      <c r="P25" s="963"/>
      <c r="Q25" s="53">
        <f>(SUMIF($17:$17,P25,$18:$18)-SUMIF($17:$17,$P$24,$18:$18)+100)/100</f>
        <v>1</v>
      </c>
      <c r="R25" s="490">
        <f ca="1">IF(B25="",0,ROUND($R$24*C25*E25*G25*I25*K25*M25*O25*Q25,0))</f>
        <v>870</v>
      </c>
      <c r="S25" s="799">
        <f t="shared" ca="1" si="11"/>
        <v>1958</v>
      </c>
    </row>
    <row r="26" spans="1:45">
      <c r="A26" s="965">
        <v>3</v>
      </c>
      <c r="B26" s="137">
        <v>165565.83000000005</v>
      </c>
      <c r="C26" s="53">
        <f t="shared" ref="C26:C89" si="12">IF(B26="",1,(LOOKUP(B26,$3:$3,$4:$4)-LOOKUP($B$24,$3:$3,$4:$4)+100)/100)</f>
        <v>1</v>
      </c>
      <c r="D26" s="963" t="s">
        <v>3128</v>
      </c>
      <c r="E26" s="53">
        <f t="shared" ref="E26:E89" si="13">(SUMIF($5:$5,D26,$6:$6)-SUMIF($5:$5,$D$24,$6:$6)+100)/100</f>
        <v>1</v>
      </c>
      <c r="F26" s="963" t="s">
        <v>3000</v>
      </c>
      <c r="G26" s="53">
        <f t="shared" ref="G26:G89" si="14">(SUMIF($7:$7,F26,$8:$8)-SUMIF($7:$7,$F$24,$8:$8)+100)/100</f>
        <v>1</v>
      </c>
      <c r="H26" s="963" t="s">
        <v>3000</v>
      </c>
      <c r="I26" s="53">
        <f t="shared" ref="I26:I89" si="15">(SUMIF($9:$9,H26,$10:$10)-SUMIF($9:$9,$H$24,$10:$10)+100)/100</f>
        <v>1</v>
      </c>
      <c r="J26" s="963" t="s">
        <v>3000</v>
      </c>
      <c r="K26" s="53">
        <f t="shared" ref="K26:K89" si="16">(SUMIF($11:$11,J26,$12:$12)-SUMIF($11:$11,$J$24,$12:$12)+100)/100</f>
        <v>1</v>
      </c>
      <c r="L26" s="963" t="s">
        <v>3162</v>
      </c>
      <c r="M26" s="53">
        <f t="shared" ref="M26:M89" si="17">(SUMIF($13:$13,L26,$14:$14)-SUMIF($13:$13,$L$24,$14:$14)+100)/100</f>
        <v>1.02</v>
      </c>
      <c r="N26" s="963"/>
      <c r="O26" s="53">
        <f t="shared" ref="O26:O89" si="18">(SUMIF($15:$15,N26,$16:$16)-SUMIF($15:$15,$N$24,$16:$16)+100)/100</f>
        <v>1</v>
      </c>
      <c r="P26" s="963"/>
      <c r="Q26" s="53">
        <f t="shared" ref="Q26:Q89" si="19">(SUMIF($17:$17,P26,$18:$18)-SUMIF($17:$17,$P$24,$18:$18)+100)/100</f>
        <v>1</v>
      </c>
      <c r="R26" s="490">
        <f t="shared" ref="R26:R89" ca="1" si="20">IF(B26="",0,ROUND($R$24*C26*E26*G26*I26*K26*M26*O26*Q26,0))</f>
        <v>965</v>
      </c>
      <c r="S26" s="799">
        <f t="shared" ca="1" si="11"/>
        <v>15977</v>
      </c>
    </row>
    <row r="27" spans="1:45">
      <c r="A27" s="965">
        <v>4</v>
      </c>
      <c r="B27" s="137">
        <v>10550</v>
      </c>
      <c r="C27" s="53">
        <f t="shared" si="12"/>
        <v>1</v>
      </c>
      <c r="D27" s="963" t="s">
        <v>3131</v>
      </c>
      <c r="E27" s="53">
        <f t="shared" si="13"/>
        <v>0.8</v>
      </c>
      <c r="F27" s="963" t="s">
        <v>3000</v>
      </c>
      <c r="G27" s="53">
        <f t="shared" si="14"/>
        <v>1</v>
      </c>
      <c r="H27" s="963" t="s">
        <v>3000</v>
      </c>
      <c r="I27" s="53">
        <f t="shared" si="15"/>
        <v>1</v>
      </c>
      <c r="J27" s="963" t="s">
        <v>3000</v>
      </c>
      <c r="K27" s="53">
        <f t="shared" si="16"/>
        <v>1</v>
      </c>
      <c r="L27" s="963" t="s">
        <v>3161</v>
      </c>
      <c r="M27" s="53">
        <f t="shared" si="17"/>
        <v>0.92</v>
      </c>
      <c r="N27" s="963"/>
      <c r="O27" s="53">
        <f t="shared" si="18"/>
        <v>1</v>
      </c>
      <c r="P27" s="963"/>
      <c r="Q27" s="53">
        <f t="shared" si="19"/>
        <v>1</v>
      </c>
      <c r="R27" s="490">
        <f t="shared" ca="1" si="20"/>
        <v>696</v>
      </c>
      <c r="S27" s="799">
        <f t="shared" ca="1" si="11"/>
        <v>734</v>
      </c>
      <c r="U27" s="257" t="s">
        <v>3164</v>
      </c>
    </row>
    <row r="28" spans="1:45">
      <c r="A28" s="965">
        <v>5</v>
      </c>
      <c r="B28" s="137">
        <v>175600</v>
      </c>
      <c r="C28" s="53">
        <f t="shared" si="12"/>
        <v>1</v>
      </c>
      <c r="D28" s="963" t="s">
        <v>3128</v>
      </c>
      <c r="E28" s="53">
        <f t="shared" si="13"/>
        <v>1</v>
      </c>
      <c r="F28" s="963" t="s">
        <v>3000</v>
      </c>
      <c r="G28" s="53">
        <f t="shared" si="14"/>
        <v>1</v>
      </c>
      <c r="H28" s="963" t="s">
        <v>3000</v>
      </c>
      <c r="I28" s="53">
        <f t="shared" si="15"/>
        <v>1</v>
      </c>
      <c r="J28" s="963" t="s">
        <v>3000</v>
      </c>
      <c r="K28" s="53">
        <f t="shared" si="16"/>
        <v>1</v>
      </c>
      <c r="L28" s="963" t="s">
        <v>3162</v>
      </c>
      <c r="M28" s="53">
        <f t="shared" si="17"/>
        <v>1.02</v>
      </c>
      <c r="N28" s="963"/>
      <c r="O28" s="53">
        <f t="shared" si="18"/>
        <v>1</v>
      </c>
      <c r="P28" s="963"/>
      <c r="Q28" s="53">
        <f t="shared" si="19"/>
        <v>1</v>
      </c>
      <c r="R28" s="490">
        <f t="shared" ca="1" si="20"/>
        <v>965</v>
      </c>
      <c r="S28" s="799">
        <f t="shared" ca="1" si="11"/>
        <v>16945</v>
      </c>
    </row>
    <row r="29" spans="1:45">
      <c r="A29" s="965">
        <v>6</v>
      </c>
      <c r="B29" s="137">
        <v>169000</v>
      </c>
      <c r="C29" s="53">
        <f t="shared" si="12"/>
        <v>1</v>
      </c>
      <c r="D29" s="963" t="s">
        <v>3128</v>
      </c>
      <c r="E29" s="53">
        <f t="shared" si="13"/>
        <v>1</v>
      </c>
      <c r="F29" s="963" t="s">
        <v>3001</v>
      </c>
      <c r="G29" s="53">
        <f t="shared" si="14"/>
        <v>0.97</v>
      </c>
      <c r="H29" s="963" t="s">
        <v>3001</v>
      </c>
      <c r="I29" s="53">
        <f t="shared" si="15"/>
        <v>0.97</v>
      </c>
      <c r="J29" s="963" t="s">
        <v>3001</v>
      </c>
      <c r="K29" s="53">
        <f t="shared" si="16"/>
        <v>0.97</v>
      </c>
      <c r="L29" s="963" t="s">
        <v>3162</v>
      </c>
      <c r="M29" s="53">
        <f t="shared" si="17"/>
        <v>1.02</v>
      </c>
      <c r="N29" s="963"/>
      <c r="O29" s="53">
        <f t="shared" si="18"/>
        <v>1</v>
      </c>
      <c r="P29" s="963"/>
      <c r="Q29" s="53">
        <f t="shared" si="19"/>
        <v>1</v>
      </c>
      <c r="R29" s="490">
        <f t="shared" ca="1" si="20"/>
        <v>881</v>
      </c>
      <c r="S29" s="799">
        <f t="shared" ca="1" si="11"/>
        <v>14889</v>
      </c>
    </row>
    <row r="30" spans="1:45">
      <c r="A30" s="965">
        <v>7</v>
      </c>
      <c r="B30" s="137">
        <v>93200</v>
      </c>
      <c r="C30" s="53">
        <f t="shared" si="12"/>
        <v>1</v>
      </c>
      <c r="D30" s="963" t="s">
        <v>3128</v>
      </c>
      <c r="E30" s="53">
        <f t="shared" si="13"/>
        <v>1</v>
      </c>
      <c r="F30" s="963" t="s">
        <v>3001</v>
      </c>
      <c r="G30" s="53">
        <f t="shared" si="14"/>
        <v>0.97</v>
      </c>
      <c r="H30" s="963" t="s">
        <v>3001</v>
      </c>
      <c r="I30" s="53">
        <f t="shared" si="15"/>
        <v>0.97</v>
      </c>
      <c r="J30" s="963" t="s">
        <v>3001</v>
      </c>
      <c r="K30" s="53">
        <f t="shared" si="16"/>
        <v>0.97</v>
      </c>
      <c r="L30" s="963" t="s">
        <v>3163</v>
      </c>
      <c r="M30" s="53">
        <f t="shared" si="17"/>
        <v>0.98</v>
      </c>
      <c r="N30" s="963"/>
      <c r="O30" s="53">
        <f t="shared" si="18"/>
        <v>1</v>
      </c>
      <c r="P30" s="963"/>
      <c r="Q30" s="53">
        <f t="shared" si="19"/>
        <v>1</v>
      </c>
      <c r="R30" s="490">
        <f t="shared" ca="1" si="20"/>
        <v>846</v>
      </c>
      <c r="S30" s="799">
        <f t="shared" ca="1" si="11"/>
        <v>7885</v>
      </c>
    </row>
    <row r="31" spans="1:45">
      <c r="A31" s="965"/>
      <c r="B31" s="137"/>
      <c r="C31" s="53">
        <f t="shared" si="12"/>
        <v>1</v>
      </c>
      <c r="D31" s="963"/>
      <c r="E31" s="53">
        <f t="shared" si="13"/>
        <v>0.1</v>
      </c>
      <c r="F31" s="963"/>
      <c r="G31" s="53">
        <f t="shared" si="14"/>
        <v>0.03</v>
      </c>
      <c r="H31" s="963"/>
      <c r="I31" s="53">
        <f t="shared" si="15"/>
        <v>0.03</v>
      </c>
      <c r="J31" s="963"/>
      <c r="K31" s="53">
        <f t="shared" si="16"/>
        <v>0.03</v>
      </c>
      <c r="L31" s="963"/>
      <c r="M31" s="53">
        <f t="shared" si="17"/>
        <v>0.02</v>
      </c>
      <c r="N31" s="963"/>
      <c r="O31" s="53">
        <f t="shared" si="18"/>
        <v>1</v>
      </c>
      <c r="P31" s="963"/>
      <c r="Q31" s="53">
        <f t="shared" si="19"/>
        <v>1</v>
      </c>
      <c r="R31" s="490">
        <f t="shared" si="20"/>
        <v>0</v>
      </c>
      <c r="S31" s="799">
        <f t="shared" si="11"/>
        <v>0</v>
      </c>
    </row>
    <row r="32" spans="1:45">
      <c r="A32" s="965"/>
      <c r="B32" s="137"/>
      <c r="C32" s="53">
        <f t="shared" si="12"/>
        <v>1</v>
      </c>
      <c r="D32" s="963"/>
      <c r="E32" s="53">
        <f t="shared" si="13"/>
        <v>0.1</v>
      </c>
      <c r="F32" s="963"/>
      <c r="G32" s="53">
        <f t="shared" si="14"/>
        <v>0.03</v>
      </c>
      <c r="H32" s="963"/>
      <c r="I32" s="53">
        <f t="shared" si="15"/>
        <v>0.03</v>
      </c>
      <c r="J32" s="963"/>
      <c r="K32" s="53">
        <f t="shared" si="16"/>
        <v>0.03</v>
      </c>
      <c r="L32" s="963"/>
      <c r="M32" s="53">
        <f t="shared" si="17"/>
        <v>0.02</v>
      </c>
      <c r="N32" s="963"/>
      <c r="O32" s="53">
        <f t="shared" si="18"/>
        <v>1</v>
      </c>
      <c r="P32" s="963"/>
      <c r="Q32" s="53">
        <f t="shared" si="19"/>
        <v>1</v>
      </c>
      <c r="R32" s="490">
        <f t="shared" si="20"/>
        <v>0</v>
      </c>
      <c r="S32" s="799">
        <f t="shared" si="11"/>
        <v>0</v>
      </c>
    </row>
    <row r="33" spans="1:19">
      <c r="A33" s="965"/>
      <c r="B33" s="137"/>
      <c r="C33" s="53">
        <f t="shared" si="12"/>
        <v>1</v>
      </c>
      <c r="D33" s="963"/>
      <c r="E33" s="53">
        <f t="shared" si="13"/>
        <v>0.1</v>
      </c>
      <c r="F33" s="963"/>
      <c r="G33" s="53">
        <f t="shared" si="14"/>
        <v>0.03</v>
      </c>
      <c r="H33" s="963"/>
      <c r="I33" s="53">
        <f t="shared" si="15"/>
        <v>0.03</v>
      </c>
      <c r="J33" s="963"/>
      <c r="K33" s="53">
        <f t="shared" si="16"/>
        <v>0.03</v>
      </c>
      <c r="L33" s="963"/>
      <c r="M33" s="53">
        <f t="shared" si="17"/>
        <v>0.02</v>
      </c>
      <c r="N33" s="963"/>
      <c r="O33" s="53">
        <f t="shared" si="18"/>
        <v>1</v>
      </c>
      <c r="P33" s="963"/>
      <c r="Q33" s="53">
        <f t="shared" si="19"/>
        <v>1</v>
      </c>
      <c r="R33" s="490">
        <f t="shared" si="20"/>
        <v>0</v>
      </c>
      <c r="S33" s="799">
        <f t="shared" si="11"/>
        <v>0</v>
      </c>
    </row>
    <row r="34" spans="1:19">
      <c r="A34" s="965"/>
      <c r="B34" s="137"/>
      <c r="C34" s="53">
        <f t="shared" si="12"/>
        <v>1</v>
      </c>
      <c r="D34" s="963"/>
      <c r="E34" s="53">
        <f t="shared" si="13"/>
        <v>0.1</v>
      </c>
      <c r="F34" s="963"/>
      <c r="G34" s="53">
        <f t="shared" si="14"/>
        <v>0.03</v>
      </c>
      <c r="H34" s="963"/>
      <c r="I34" s="53">
        <f t="shared" si="15"/>
        <v>0.03</v>
      </c>
      <c r="J34" s="963"/>
      <c r="K34" s="53">
        <f t="shared" si="16"/>
        <v>0.03</v>
      </c>
      <c r="L34" s="963"/>
      <c r="M34" s="53">
        <f t="shared" si="17"/>
        <v>0.02</v>
      </c>
      <c r="N34" s="963"/>
      <c r="O34" s="53">
        <f t="shared" si="18"/>
        <v>1</v>
      </c>
      <c r="P34" s="963"/>
      <c r="Q34" s="53">
        <f t="shared" si="19"/>
        <v>1</v>
      </c>
      <c r="R34" s="490">
        <f t="shared" si="20"/>
        <v>0</v>
      </c>
      <c r="S34" s="799">
        <f t="shared" si="11"/>
        <v>0</v>
      </c>
    </row>
    <row r="35" spans="1:19">
      <c r="A35" s="965"/>
      <c r="B35" s="137"/>
      <c r="C35" s="53">
        <f t="shared" si="12"/>
        <v>1</v>
      </c>
      <c r="D35" s="963"/>
      <c r="E35" s="53">
        <f t="shared" si="13"/>
        <v>0.1</v>
      </c>
      <c r="F35" s="963"/>
      <c r="G35" s="53">
        <f t="shared" si="14"/>
        <v>0.03</v>
      </c>
      <c r="H35" s="963"/>
      <c r="I35" s="53">
        <f t="shared" si="15"/>
        <v>0.03</v>
      </c>
      <c r="J35" s="963"/>
      <c r="K35" s="53">
        <f t="shared" si="16"/>
        <v>0.03</v>
      </c>
      <c r="L35" s="963"/>
      <c r="M35" s="53">
        <f t="shared" si="17"/>
        <v>0.02</v>
      </c>
      <c r="N35" s="963"/>
      <c r="O35" s="53">
        <f t="shared" si="18"/>
        <v>1</v>
      </c>
      <c r="P35" s="963"/>
      <c r="Q35" s="53">
        <f t="shared" si="19"/>
        <v>1</v>
      </c>
      <c r="R35" s="490">
        <f t="shared" si="20"/>
        <v>0</v>
      </c>
      <c r="S35" s="799">
        <f t="shared" si="11"/>
        <v>0</v>
      </c>
    </row>
    <row r="36" spans="1:19">
      <c r="A36" s="965"/>
      <c r="B36" s="137"/>
      <c r="C36" s="53">
        <f t="shared" si="12"/>
        <v>1</v>
      </c>
      <c r="D36" s="963"/>
      <c r="E36" s="53">
        <f t="shared" si="13"/>
        <v>0.1</v>
      </c>
      <c r="F36" s="963"/>
      <c r="G36" s="53">
        <f t="shared" si="14"/>
        <v>0.03</v>
      </c>
      <c r="H36" s="963"/>
      <c r="I36" s="53">
        <f t="shared" si="15"/>
        <v>0.03</v>
      </c>
      <c r="J36" s="963"/>
      <c r="K36" s="53">
        <f t="shared" si="16"/>
        <v>0.03</v>
      </c>
      <c r="L36" s="963"/>
      <c r="M36" s="53">
        <f t="shared" si="17"/>
        <v>0.02</v>
      </c>
      <c r="N36" s="963"/>
      <c r="O36" s="53">
        <f t="shared" si="18"/>
        <v>1</v>
      </c>
      <c r="P36" s="963"/>
      <c r="Q36" s="53">
        <f t="shared" si="19"/>
        <v>1</v>
      </c>
      <c r="R36" s="490">
        <f t="shared" si="20"/>
        <v>0</v>
      </c>
      <c r="S36" s="799">
        <f t="shared" si="11"/>
        <v>0</v>
      </c>
    </row>
    <row r="37" spans="1:19">
      <c r="A37" s="965"/>
      <c r="B37" s="137"/>
      <c r="C37" s="53">
        <f t="shared" si="12"/>
        <v>1</v>
      </c>
      <c r="D37" s="963"/>
      <c r="E37" s="53">
        <f t="shared" si="13"/>
        <v>0.1</v>
      </c>
      <c r="F37" s="963"/>
      <c r="G37" s="53">
        <f t="shared" si="14"/>
        <v>0.03</v>
      </c>
      <c r="H37" s="963"/>
      <c r="I37" s="53">
        <f t="shared" si="15"/>
        <v>0.03</v>
      </c>
      <c r="J37" s="963"/>
      <c r="K37" s="53">
        <f t="shared" si="16"/>
        <v>0.03</v>
      </c>
      <c r="L37" s="963"/>
      <c r="M37" s="53">
        <f t="shared" si="17"/>
        <v>0.02</v>
      </c>
      <c r="N37" s="963"/>
      <c r="O37" s="53">
        <f t="shared" si="18"/>
        <v>1</v>
      </c>
      <c r="P37" s="963"/>
      <c r="Q37" s="53">
        <f t="shared" si="19"/>
        <v>1</v>
      </c>
      <c r="R37" s="490">
        <f t="shared" si="20"/>
        <v>0</v>
      </c>
      <c r="S37" s="799">
        <f t="shared" si="11"/>
        <v>0</v>
      </c>
    </row>
    <row r="38" spans="1:19">
      <c r="A38" s="965"/>
      <c r="B38" s="137"/>
      <c r="C38" s="53">
        <f t="shared" si="12"/>
        <v>1</v>
      </c>
      <c r="D38" s="963"/>
      <c r="E38" s="53">
        <f t="shared" si="13"/>
        <v>0.1</v>
      </c>
      <c r="F38" s="963"/>
      <c r="G38" s="53">
        <f t="shared" si="14"/>
        <v>0.03</v>
      </c>
      <c r="H38" s="963"/>
      <c r="I38" s="53">
        <f t="shared" si="15"/>
        <v>0.03</v>
      </c>
      <c r="J38" s="963"/>
      <c r="K38" s="53">
        <f t="shared" si="16"/>
        <v>0.03</v>
      </c>
      <c r="L38" s="963"/>
      <c r="M38" s="53">
        <f t="shared" si="17"/>
        <v>0.02</v>
      </c>
      <c r="N38" s="963"/>
      <c r="O38" s="53">
        <f t="shared" si="18"/>
        <v>1</v>
      </c>
      <c r="P38" s="963"/>
      <c r="Q38" s="53">
        <f t="shared" si="19"/>
        <v>1</v>
      </c>
      <c r="R38" s="490">
        <f t="shared" si="20"/>
        <v>0</v>
      </c>
      <c r="S38" s="799">
        <f t="shared" si="11"/>
        <v>0</v>
      </c>
    </row>
    <row r="39" spans="1:19">
      <c r="A39" s="965"/>
      <c r="B39" s="137"/>
      <c r="C39" s="53">
        <f t="shared" si="12"/>
        <v>1</v>
      </c>
      <c r="D39" s="963"/>
      <c r="E39" s="53">
        <f t="shared" si="13"/>
        <v>0.1</v>
      </c>
      <c r="F39" s="963"/>
      <c r="G39" s="53">
        <f t="shared" si="14"/>
        <v>0.03</v>
      </c>
      <c r="H39" s="963"/>
      <c r="I39" s="53">
        <f t="shared" si="15"/>
        <v>0.03</v>
      </c>
      <c r="J39" s="963"/>
      <c r="K39" s="53">
        <f t="shared" si="16"/>
        <v>0.03</v>
      </c>
      <c r="L39" s="963"/>
      <c r="M39" s="53">
        <f t="shared" si="17"/>
        <v>0.02</v>
      </c>
      <c r="N39" s="963"/>
      <c r="O39" s="53">
        <f t="shared" si="18"/>
        <v>1</v>
      </c>
      <c r="P39" s="963"/>
      <c r="Q39" s="53">
        <f t="shared" si="19"/>
        <v>1</v>
      </c>
      <c r="R39" s="490">
        <f t="shared" si="20"/>
        <v>0</v>
      </c>
      <c r="S39" s="799">
        <f t="shared" si="11"/>
        <v>0</v>
      </c>
    </row>
    <row r="40" spans="1:19">
      <c r="A40" s="965"/>
      <c r="B40" s="137"/>
      <c r="C40" s="53">
        <f t="shared" si="12"/>
        <v>1</v>
      </c>
      <c r="D40" s="963"/>
      <c r="E40" s="53">
        <f t="shared" si="13"/>
        <v>0.1</v>
      </c>
      <c r="F40" s="963"/>
      <c r="G40" s="53">
        <f t="shared" si="14"/>
        <v>0.03</v>
      </c>
      <c r="H40" s="963"/>
      <c r="I40" s="53">
        <f t="shared" si="15"/>
        <v>0.03</v>
      </c>
      <c r="J40" s="963"/>
      <c r="K40" s="53">
        <f t="shared" si="16"/>
        <v>0.03</v>
      </c>
      <c r="L40" s="963"/>
      <c r="M40" s="53">
        <f t="shared" si="17"/>
        <v>0.02</v>
      </c>
      <c r="N40" s="963"/>
      <c r="O40" s="53">
        <f t="shared" si="18"/>
        <v>1</v>
      </c>
      <c r="P40" s="963"/>
      <c r="Q40" s="53">
        <f t="shared" si="19"/>
        <v>1</v>
      </c>
      <c r="R40" s="490">
        <f t="shared" si="20"/>
        <v>0</v>
      </c>
      <c r="S40" s="799">
        <f t="shared" si="11"/>
        <v>0</v>
      </c>
    </row>
    <row r="41" spans="1:19">
      <c r="A41" s="965"/>
      <c r="B41" s="137"/>
      <c r="C41" s="53">
        <f t="shared" si="12"/>
        <v>1</v>
      </c>
      <c r="D41" s="963"/>
      <c r="E41" s="53">
        <f t="shared" si="13"/>
        <v>0.1</v>
      </c>
      <c r="F41" s="963"/>
      <c r="G41" s="53">
        <f t="shared" si="14"/>
        <v>0.03</v>
      </c>
      <c r="H41" s="963"/>
      <c r="I41" s="53">
        <f t="shared" si="15"/>
        <v>0.03</v>
      </c>
      <c r="J41" s="963"/>
      <c r="K41" s="53">
        <f t="shared" si="16"/>
        <v>0.03</v>
      </c>
      <c r="L41" s="963"/>
      <c r="M41" s="53">
        <f t="shared" si="17"/>
        <v>0.02</v>
      </c>
      <c r="N41" s="963"/>
      <c r="O41" s="53">
        <f t="shared" si="18"/>
        <v>1</v>
      </c>
      <c r="P41" s="963"/>
      <c r="Q41" s="53">
        <f t="shared" si="19"/>
        <v>1</v>
      </c>
      <c r="R41" s="490">
        <f t="shared" si="20"/>
        <v>0</v>
      </c>
      <c r="S41" s="799">
        <f t="shared" si="11"/>
        <v>0</v>
      </c>
    </row>
    <row r="42" spans="1:19">
      <c r="A42" s="965"/>
      <c r="B42" s="137"/>
      <c r="C42" s="53">
        <f t="shared" si="12"/>
        <v>1</v>
      </c>
      <c r="D42" s="963"/>
      <c r="E42" s="53">
        <f t="shared" si="13"/>
        <v>0.1</v>
      </c>
      <c r="F42" s="963"/>
      <c r="G42" s="53">
        <f t="shared" si="14"/>
        <v>0.03</v>
      </c>
      <c r="H42" s="963"/>
      <c r="I42" s="53">
        <f t="shared" si="15"/>
        <v>0.03</v>
      </c>
      <c r="J42" s="963"/>
      <c r="K42" s="53">
        <f t="shared" si="16"/>
        <v>0.03</v>
      </c>
      <c r="L42" s="963"/>
      <c r="M42" s="53">
        <f t="shared" si="17"/>
        <v>0.02</v>
      </c>
      <c r="N42" s="963"/>
      <c r="O42" s="53">
        <f t="shared" si="18"/>
        <v>1</v>
      </c>
      <c r="P42" s="963"/>
      <c r="Q42" s="53">
        <f t="shared" si="19"/>
        <v>1</v>
      </c>
      <c r="R42" s="490">
        <f t="shared" si="20"/>
        <v>0</v>
      </c>
      <c r="S42" s="799">
        <f t="shared" si="11"/>
        <v>0</v>
      </c>
    </row>
    <row r="43" spans="1:19">
      <c r="A43" s="965"/>
      <c r="B43" s="137"/>
      <c r="C43" s="53">
        <f t="shared" si="12"/>
        <v>1</v>
      </c>
      <c r="D43" s="963"/>
      <c r="E43" s="53">
        <f t="shared" si="13"/>
        <v>0.1</v>
      </c>
      <c r="F43" s="963"/>
      <c r="G43" s="53">
        <f t="shared" si="14"/>
        <v>0.03</v>
      </c>
      <c r="H43" s="963"/>
      <c r="I43" s="53">
        <f t="shared" si="15"/>
        <v>0.03</v>
      </c>
      <c r="J43" s="963"/>
      <c r="K43" s="53">
        <f t="shared" si="16"/>
        <v>0.03</v>
      </c>
      <c r="L43" s="963"/>
      <c r="M43" s="53">
        <f t="shared" si="17"/>
        <v>0.02</v>
      </c>
      <c r="N43" s="963"/>
      <c r="O43" s="53">
        <f t="shared" si="18"/>
        <v>1</v>
      </c>
      <c r="P43" s="963"/>
      <c r="Q43" s="53">
        <f t="shared" si="19"/>
        <v>1</v>
      </c>
      <c r="R43" s="490">
        <f t="shared" si="20"/>
        <v>0</v>
      </c>
      <c r="S43" s="799">
        <f t="shared" si="11"/>
        <v>0</v>
      </c>
    </row>
    <row r="44" spans="1:19">
      <c r="A44" s="965"/>
      <c r="B44" s="137"/>
      <c r="C44" s="53">
        <f t="shared" si="12"/>
        <v>1</v>
      </c>
      <c r="D44" s="963"/>
      <c r="E44" s="53">
        <f t="shared" si="13"/>
        <v>0.1</v>
      </c>
      <c r="F44" s="963"/>
      <c r="G44" s="53">
        <f t="shared" si="14"/>
        <v>0.03</v>
      </c>
      <c r="H44" s="963"/>
      <c r="I44" s="53">
        <f t="shared" si="15"/>
        <v>0.03</v>
      </c>
      <c r="J44" s="963"/>
      <c r="K44" s="53">
        <f t="shared" si="16"/>
        <v>0.03</v>
      </c>
      <c r="L44" s="963"/>
      <c r="M44" s="53">
        <f t="shared" si="17"/>
        <v>0.02</v>
      </c>
      <c r="N44" s="963"/>
      <c r="O44" s="53">
        <f t="shared" si="18"/>
        <v>1</v>
      </c>
      <c r="P44" s="963"/>
      <c r="Q44" s="53">
        <f t="shared" si="19"/>
        <v>1</v>
      </c>
      <c r="R44" s="490">
        <f t="shared" si="20"/>
        <v>0</v>
      </c>
      <c r="S44" s="799">
        <f t="shared" si="11"/>
        <v>0</v>
      </c>
    </row>
    <row r="45" spans="1:19">
      <c r="A45" s="965"/>
      <c r="B45" s="137"/>
      <c r="C45" s="53">
        <f t="shared" si="12"/>
        <v>1</v>
      </c>
      <c r="D45" s="963"/>
      <c r="E45" s="53">
        <f t="shared" si="13"/>
        <v>0.1</v>
      </c>
      <c r="F45" s="963"/>
      <c r="G45" s="53">
        <f t="shared" si="14"/>
        <v>0.03</v>
      </c>
      <c r="H45" s="963"/>
      <c r="I45" s="53">
        <f t="shared" si="15"/>
        <v>0.03</v>
      </c>
      <c r="J45" s="963"/>
      <c r="K45" s="53">
        <f t="shared" si="16"/>
        <v>0.03</v>
      </c>
      <c r="L45" s="963"/>
      <c r="M45" s="53">
        <f t="shared" si="17"/>
        <v>0.02</v>
      </c>
      <c r="N45" s="963"/>
      <c r="O45" s="53">
        <f t="shared" si="18"/>
        <v>1</v>
      </c>
      <c r="P45" s="963"/>
      <c r="Q45" s="53">
        <f t="shared" si="19"/>
        <v>1</v>
      </c>
      <c r="R45" s="490">
        <f t="shared" si="20"/>
        <v>0</v>
      </c>
      <c r="S45" s="799">
        <f t="shared" si="11"/>
        <v>0</v>
      </c>
    </row>
    <row r="46" spans="1:19">
      <c r="A46" s="965"/>
      <c r="B46" s="137"/>
      <c r="C46" s="53">
        <f t="shared" si="12"/>
        <v>1</v>
      </c>
      <c r="D46" s="963"/>
      <c r="E46" s="53">
        <f t="shared" si="13"/>
        <v>0.1</v>
      </c>
      <c r="F46" s="963"/>
      <c r="G46" s="53">
        <f t="shared" si="14"/>
        <v>0.03</v>
      </c>
      <c r="H46" s="963"/>
      <c r="I46" s="53">
        <f t="shared" si="15"/>
        <v>0.03</v>
      </c>
      <c r="J46" s="963"/>
      <c r="K46" s="53">
        <f t="shared" si="16"/>
        <v>0.03</v>
      </c>
      <c r="L46" s="963"/>
      <c r="M46" s="53">
        <f t="shared" si="17"/>
        <v>0.02</v>
      </c>
      <c r="N46" s="963"/>
      <c r="O46" s="53">
        <f t="shared" si="18"/>
        <v>1</v>
      </c>
      <c r="P46" s="963"/>
      <c r="Q46" s="53">
        <f t="shared" si="19"/>
        <v>1</v>
      </c>
      <c r="R46" s="490">
        <f t="shared" si="20"/>
        <v>0</v>
      </c>
      <c r="S46" s="799">
        <f t="shared" si="11"/>
        <v>0</v>
      </c>
    </row>
    <row r="47" spans="1:19">
      <c r="A47" s="965"/>
      <c r="B47" s="137"/>
      <c r="C47" s="53">
        <f t="shared" si="12"/>
        <v>1</v>
      </c>
      <c r="D47" s="963"/>
      <c r="E47" s="53">
        <f t="shared" si="13"/>
        <v>0.1</v>
      </c>
      <c r="F47" s="963"/>
      <c r="G47" s="53">
        <f t="shared" si="14"/>
        <v>0.03</v>
      </c>
      <c r="H47" s="963"/>
      <c r="I47" s="53">
        <f t="shared" si="15"/>
        <v>0.03</v>
      </c>
      <c r="J47" s="963"/>
      <c r="K47" s="53">
        <f t="shared" si="16"/>
        <v>0.03</v>
      </c>
      <c r="L47" s="963"/>
      <c r="M47" s="53">
        <f t="shared" si="17"/>
        <v>0.02</v>
      </c>
      <c r="N47" s="963"/>
      <c r="O47" s="53">
        <f t="shared" si="18"/>
        <v>1</v>
      </c>
      <c r="P47" s="963"/>
      <c r="Q47" s="53">
        <f t="shared" si="19"/>
        <v>1</v>
      </c>
      <c r="R47" s="490">
        <f t="shared" si="20"/>
        <v>0</v>
      </c>
      <c r="S47" s="799">
        <f t="shared" si="11"/>
        <v>0</v>
      </c>
    </row>
    <row r="48" spans="1:19">
      <c r="A48" s="965"/>
      <c r="B48" s="137"/>
      <c r="C48" s="53">
        <f t="shared" si="12"/>
        <v>1</v>
      </c>
      <c r="D48" s="963"/>
      <c r="E48" s="53">
        <f t="shared" si="13"/>
        <v>0.1</v>
      </c>
      <c r="F48" s="963"/>
      <c r="G48" s="53">
        <f t="shared" si="14"/>
        <v>0.03</v>
      </c>
      <c r="H48" s="963"/>
      <c r="I48" s="53">
        <f t="shared" si="15"/>
        <v>0.03</v>
      </c>
      <c r="J48" s="963"/>
      <c r="K48" s="53">
        <f t="shared" si="16"/>
        <v>0.03</v>
      </c>
      <c r="L48" s="963"/>
      <c r="M48" s="53">
        <f t="shared" si="17"/>
        <v>0.02</v>
      </c>
      <c r="N48" s="963"/>
      <c r="O48" s="53">
        <f t="shared" si="18"/>
        <v>1</v>
      </c>
      <c r="P48" s="963"/>
      <c r="Q48" s="53">
        <f t="shared" si="19"/>
        <v>1</v>
      </c>
      <c r="R48" s="490">
        <f t="shared" si="20"/>
        <v>0</v>
      </c>
      <c r="S48" s="799">
        <f t="shared" si="11"/>
        <v>0</v>
      </c>
    </row>
    <row r="49" spans="1:19">
      <c r="A49" s="965"/>
      <c r="B49" s="137"/>
      <c r="C49" s="53">
        <f t="shared" si="12"/>
        <v>1</v>
      </c>
      <c r="D49" s="963"/>
      <c r="E49" s="53">
        <f t="shared" si="13"/>
        <v>0.1</v>
      </c>
      <c r="F49" s="963"/>
      <c r="G49" s="53">
        <f t="shared" si="14"/>
        <v>0.03</v>
      </c>
      <c r="H49" s="963"/>
      <c r="I49" s="53">
        <f t="shared" si="15"/>
        <v>0.03</v>
      </c>
      <c r="J49" s="963"/>
      <c r="K49" s="53">
        <f t="shared" si="16"/>
        <v>0.03</v>
      </c>
      <c r="L49" s="963"/>
      <c r="M49" s="53">
        <f t="shared" si="17"/>
        <v>0.02</v>
      </c>
      <c r="N49" s="963"/>
      <c r="O49" s="53">
        <f t="shared" si="18"/>
        <v>1</v>
      </c>
      <c r="P49" s="963"/>
      <c r="Q49" s="53">
        <f t="shared" si="19"/>
        <v>1</v>
      </c>
      <c r="R49" s="490">
        <f t="shared" si="20"/>
        <v>0</v>
      </c>
      <c r="S49" s="799">
        <f t="shared" si="11"/>
        <v>0</v>
      </c>
    </row>
    <row r="50" spans="1:19">
      <c r="A50" s="965"/>
      <c r="B50" s="137"/>
      <c r="C50" s="53">
        <f t="shared" si="12"/>
        <v>1</v>
      </c>
      <c r="D50" s="963"/>
      <c r="E50" s="53">
        <f t="shared" si="13"/>
        <v>0.1</v>
      </c>
      <c r="F50" s="963"/>
      <c r="G50" s="53">
        <f t="shared" si="14"/>
        <v>0.03</v>
      </c>
      <c r="H50" s="963"/>
      <c r="I50" s="53">
        <f t="shared" si="15"/>
        <v>0.03</v>
      </c>
      <c r="J50" s="963"/>
      <c r="K50" s="53">
        <f t="shared" si="16"/>
        <v>0.03</v>
      </c>
      <c r="L50" s="963"/>
      <c r="M50" s="53">
        <f t="shared" si="17"/>
        <v>0.02</v>
      </c>
      <c r="N50" s="963"/>
      <c r="O50" s="53">
        <f t="shared" si="18"/>
        <v>1</v>
      </c>
      <c r="P50" s="963"/>
      <c r="Q50" s="53">
        <f t="shared" si="19"/>
        <v>1</v>
      </c>
      <c r="R50" s="490">
        <f t="shared" si="20"/>
        <v>0</v>
      </c>
      <c r="S50" s="799">
        <f t="shared" si="11"/>
        <v>0</v>
      </c>
    </row>
    <row r="51" spans="1:19">
      <c r="A51" s="965"/>
      <c r="B51" s="137"/>
      <c r="C51" s="53">
        <f t="shared" si="12"/>
        <v>1</v>
      </c>
      <c r="D51" s="963"/>
      <c r="E51" s="53">
        <f t="shared" si="13"/>
        <v>0.1</v>
      </c>
      <c r="F51" s="963"/>
      <c r="G51" s="53">
        <f t="shared" si="14"/>
        <v>0.03</v>
      </c>
      <c r="H51" s="963"/>
      <c r="I51" s="53">
        <f t="shared" si="15"/>
        <v>0.03</v>
      </c>
      <c r="J51" s="963"/>
      <c r="K51" s="53">
        <f t="shared" si="16"/>
        <v>0.03</v>
      </c>
      <c r="L51" s="963"/>
      <c r="M51" s="53">
        <f t="shared" si="17"/>
        <v>0.02</v>
      </c>
      <c r="N51" s="963"/>
      <c r="O51" s="53">
        <f t="shared" si="18"/>
        <v>1</v>
      </c>
      <c r="P51" s="963"/>
      <c r="Q51" s="53">
        <f t="shared" si="19"/>
        <v>1</v>
      </c>
      <c r="R51" s="490">
        <f t="shared" si="20"/>
        <v>0</v>
      </c>
      <c r="S51" s="799">
        <f t="shared" si="11"/>
        <v>0</v>
      </c>
    </row>
    <row r="52" spans="1:19">
      <c r="A52" s="965"/>
      <c r="B52" s="137"/>
      <c r="C52" s="53">
        <f t="shared" si="12"/>
        <v>1</v>
      </c>
      <c r="D52" s="963"/>
      <c r="E52" s="53">
        <f t="shared" si="13"/>
        <v>0.1</v>
      </c>
      <c r="F52" s="963"/>
      <c r="G52" s="53">
        <f t="shared" si="14"/>
        <v>0.03</v>
      </c>
      <c r="H52" s="963"/>
      <c r="I52" s="53">
        <f t="shared" si="15"/>
        <v>0.03</v>
      </c>
      <c r="J52" s="963"/>
      <c r="K52" s="53">
        <f t="shared" si="16"/>
        <v>0.03</v>
      </c>
      <c r="L52" s="963"/>
      <c r="M52" s="53">
        <f t="shared" si="17"/>
        <v>0.02</v>
      </c>
      <c r="N52" s="963"/>
      <c r="O52" s="53">
        <f t="shared" si="18"/>
        <v>1</v>
      </c>
      <c r="P52" s="963"/>
      <c r="Q52" s="53">
        <f t="shared" si="19"/>
        <v>1</v>
      </c>
      <c r="R52" s="490">
        <f t="shared" si="20"/>
        <v>0</v>
      </c>
      <c r="S52" s="799">
        <f t="shared" si="11"/>
        <v>0</v>
      </c>
    </row>
    <row r="53" spans="1:19">
      <c r="A53" s="965"/>
      <c r="B53" s="137"/>
      <c r="C53" s="53">
        <f t="shared" si="12"/>
        <v>1</v>
      </c>
      <c r="D53" s="963"/>
      <c r="E53" s="53">
        <f t="shared" si="13"/>
        <v>0.1</v>
      </c>
      <c r="F53" s="963"/>
      <c r="G53" s="53">
        <f t="shared" si="14"/>
        <v>0.03</v>
      </c>
      <c r="H53" s="963"/>
      <c r="I53" s="53">
        <f t="shared" si="15"/>
        <v>0.03</v>
      </c>
      <c r="J53" s="963"/>
      <c r="K53" s="53">
        <f t="shared" si="16"/>
        <v>0.03</v>
      </c>
      <c r="L53" s="963"/>
      <c r="M53" s="53">
        <f t="shared" si="17"/>
        <v>0.02</v>
      </c>
      <c r="N53" s="963"/>
      <c r="O53" s="53">
        <f t="shared" si="18"/>
        <v>1</v>
      </c>
      <c r="P53" s="963"/>
      <c r="Q53" s="53">
        <f t="shared" si="19"/>
        <v>1</v>
      </c>
      <c r="R53" s="490">
        <f t="shared" si="20"/>
        <v>0</v>
      </c>
      <c r="S53" s="799">
        <f t="shared" si="11"/>
        <v>0</v>
      </c>
    </row>
    <row r="54" spans="1:19">
      <c r="A54" s="965"/>
      <c r="B54" s="137"/>
      <c r="C54" s="53">
        <f t="shared" si="12"/>
        <v>1</v>
      </c>
      <c r="D54" s="963"/>
      <c r="E54" s="53">
        <f t="shared" si="13"/>
        <v>0.1</v>
      </c>
      <c r="F54" s="963"/>
      <c r="G54" s="53">
        <f t="shared" si="14"/>
        <v>0.03</v>
      </c>
      <c r="H54" s="963"/>
      <c r="I54" s="53">
        <f t="shared" si="15"/>
        <v>0.03</v>
      </c>
      <c r="J54" s="963"/>
      <c r="K54" s="53">
        <f t="shared" si="16"/>
        <v>0.03</v>
      </c>
      <c r="L54" s="963"/>
      <c r="M54" s="53">
        <f t="shared" si="17"/>
        <v>0.02</v>
      </c>
      <c r="N54" s="963"/>
      <c r="O54" s="53">
        <f t="shared" si="18"/>
        <v>1</v>
      </c>
      <c r="P54" s="963"/>
      <c r="Q54" s="53">
        <f t="shared" si="19"/>
        <v>1</v>
      </c>
      <c r="R54" s="490">
        <f t="shared" si="20"/>
        <v>0</v>
      </c>
      <c r="S54" s="799">
        <f t="shared" si="11"/>
        <v>0</v>
      </c>
    </row>
    <row r="55" spans="1:19">
      <c r="A55" s="965"/>
      <c r="B55" s="137"/>
      <c r="C55" s="53">
        <f t="shared" si="12"/>
        <v>1</v>
      </c>
      <c r="D55" s="963"/>
      <c r="E55" s="53">
        <f t="shared" si="13"/>
        <v>0.1</v>
      </c>
      <c r="F55" s="963"/>
      <c r="G55" s="53">
        <f t="shared" si="14"/>
        <v>0.03</v>
      </c>
      <c r="H55" s="963"/>
      <c r="I55" s="53">
        <f t="shared" si="15"/>
        <v>0.03</v>
      </c>
      <c r="J55" s="963"/>
      <c r="K55" s="53">
        <f t="shared" si="16"/>
        <v>0.03</v>
      </c>
      <c r="L55" s="963"/>
      <c r="M55" s="53">
        <f t="shared" si="17"/>
        <v>0.02</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0.1</v>
      </c>
      <c r="F56" s="963"/>
      <c r="G56" s="53">
        <f t="shared" si="14"/>
        <v>0.03</v>
      </c>
      <c r="H56" s="963"/>
      <c r="I56" s="53">
        <f t="shared" si="15"/>
        <v>0.03</v>
      </c>
      <c r="J56" s="963"/>
      <c r="K56" s="53">
        <f t="shared" si="16"/>
        <v>0.03</v>
      </c>
      <c r="L56" s="963"/>
      <c r="M56" s="53">
        <f t="shared" si="17"/>
        <v>0.02</v>
      </c>
      <c r="N56" s="963"/>
      <c r="O56" s="53">
        <f t="shared" si="18"/>
        <v>1</v>
      </c>
      <c r="P56" s="963"/>
      <c r="Q56" s="53">
        <f t="shared" si="19"/>
        <v>1</v>
      </c>
      <c r="R56" s="490">
        <f t="shared" si="20"/>
        <v>0</v>
      </c>
      <c r="S56" s="799">
        <f t="shared" si="21"/>
        <v>0</v>
      </c>
    </row>
    <row r="57" spans="1:19">
      <c r="A57" s="965"/>
      <c r="B57" s="137"/>
      <c r="C57" s="53">
        <f t="shared" si="12"/>
        <v>1</v>
      </c>
      <c r="D57" s="963"/>
      <c r="E57" s="53">
        <f t="shared" si="13"/>
        <v>0.1</v>
      </c>
      <c r="F57" s="963"/>
      <c r="G57" s="53">
        <f t="shared" si="14"/>
        <v>0.03</v>
      </c>
      <c r="H57" s="963"/>
      <c r="I57" s="53">
        <f t="shared" si="15"/>
        <v>0.03</v>
      </c>
      <c r="J57" s="963"/>
      <c r="K57" s="53">
        <f t="shared" si="16"/>
        <v>0.03</v>
      </c>
      <c r="L57" s="963"/>
      <c r="M57" s="53">
        <f t="shared" si="17"/>
        <v>0.02</v>
      </c>
      <c r="N57" s="963"/>
      <c r="O57" s="53">
        <f t="shared" si="18"/>
        <v>1</v>
      </c>
      <c r="P57" s="963"/>
      <c r="Q57" s="53">
        <f t="shared" si="19"/>
        <v>1</v>
      </c>
      <c r="R57" s="490">
        <f t="shared" si="20"/>
        <v>0</v>
      </c>
      <c r="S57" s="799">
        <f t="shared" si="21"/>
        <v>0</v>
      </c>
    </row>
    <row r="58" spans="1:19">
      <c r="A58" s="965"/>
      <c r="B58" s="137"/>
      <c r="C58" s="53">
        <f t="shared" si="12"/>
        <v>1</v>
      </c>
      <c r="D58" s="963"/>
      <c r="E58" s="53">
        <f t="shared" si="13"/>
        <v>0.1</v>
      </c>
      <c r="F58" s="963"/>
      <c r="G58" s="53">
        <f t="shared" si="14"/>
        <v>0.03</v>
      </c>
      <c r="H58" s="963"/>
      <c r="I58" s="53">
        <f t="shared" si="15"/>
        <v>0.03</v>
      </c>
      <c r="J58" s="963"/>
      <c r="K58" s="53">
        <f t="shared" si="16"/>
        <v>0.03</v>
      </c>
      <c r="L58" s="963"/>
      <c r="M58" s="53">
        <f t="shared" si="17"/>
        <v>0.02</v>
      </c>
      <c r="N58" s="963"/>
      <c r="O58" s="53">
        <f t="shared" si="18"/>
        <v>1</v>
      </c>
      <c r="P58" s="963"/>
      <c r="Q58" s="53">
        <f t="shared" si="19"/>
        <v>1</v>
      </c>
      <c r="R58" s="490">
        <f t="shared" si="20"/>
        <v>0</v>
      </c>
      <c r="S58" s="799">
        <f t="shared" si="21"/>
        <v>0</v>
      </c>
    </row>
    <row r="59" spans="1:19">
      <c r="A59" s="965"/>
      <c r="B59" s="137"/>
      <c r="C59" s="53">
        <f t="shared" si="12"/>
        <v>1</v>
      </c>
      <c r="D59" s="963"/>
      <c r="E59" s="53">
        <f t="shared" si="13"/>
        <v>0.1</v>
      </c>
      <c r="F59" s="963"/>
      <c r="G59" s="53">
        <f t="shared" si="14"/>
        <v>0.03</v>
      </c>
      <c r="H59" s="963"/>
      <c r="I59" s="53">
        <f t="shared" si="15"/>
        <v>0.03</v>
      </c>
      <c r="J59" s="963"/>
      <c r="K59" s="53">
        <f t="shared" si="16"/>
        <v>0.03</v>
      </c>
      <c r="L59" s="963"/>
      <c r="M59" s="53">
        <f t="shared" si="17"/>
        <v>0.02</v>
      </c>
      <c r="N59" s="963"/>
      <c r="O59" s="53">
        <f t="shared" si="18"/>
        <v>1</v>
      </c>
      <c r="P59" s="963"/>
      <c r="Q59" s="53">
        <f t="shared" si="19"/>
        <v>1</v>
      </c>
      <c r="R59" s="490">
        <f t="shared" si="20"/>
        <v>0</v>
      </c>
      <c r="S59" s="799">
        <f t="shared" si="21"/>
        <v>0</v>
      </c>
    </row>
    <row r="60" spans="1:19">
      <c r="A60" s="965"/>
      <c r="B60" s="137"/>
      <c r="C60" s="53">
        <f t="shared" si="12"/>
        <v>1</v>
      </c>
      <c r="D60" s="963"/>
      <c r="E60" s="53">
        <f t="shared" si="13"/>
        <v>0.1</v>
      </c>
      <c r="F60" s="963"/>
      <c r="G60" s="53">
        <f t="shared" si="14"/>
        <v>0.03</v>
      </c>
      <c r="H60" s="963"/>
      <c r="I60" s="53">
        <f t="shared" si="15"/>
        <v>0.03</v>
      </c>
      <c r="J60" s="963"/>
      <c r="K60" s="53">
        <f t="shared" si="16"/>
        <v>0.03</v>
      </c>
      <c r="L60" s="963"/>
      <c r="M60" s="53">
        <f t="shared" si="17"/>
        <v>0.02</v>
      </c>
      <c r="N60" s="963"/>
      <c r="O60" s="53">
        <f t="shared" si="18"/>
        <v>1</v>
      </c>
      <c r="P60" s="963"/>
      <c r="Q60" s="53">
        <f t="shared" si="19"/>
        <v>1</v>
      </c>
      <c r="R60" s="490">
        <f t="shared" si="20"/>
        <v>0</v>
      </c>
      <c r="S60" s="799">
        <f t="shared" si="21"/>
        <v>0</v>
      </c>
    </row>
    <row r="61" spans="1:19">
      <c r="A61" s="965"/>
      <c r="B61" s="137"/>
      <c r="C61" s="53">
        <f t="shared" si="12"/>
        <v>1</v>
      </c>
      <c r="D61" s="963"/>
      <c r="E61" s="53">
        <f t="shared" si="13"/>
        <v>0.1</v>
      </c>
      <c r="F61" s="963"/>
      <c r="G61" s="53">
        <f t="shared" si="14"/>
        <v>0.03</v>
      </c>
      <c r="H61" s="963"/>
      <c r="I61" s="53">
        <f t="shared" si="15"/>
        <v>0.03</v>
      </c>
      <c r="J61" s="963"/>
      <c r="K61" s="53">
        <f t="shared" si="16"/>
        <v>0.03</v>
      </c>
      <c r="L61" s="963"/>
      <c r="M61" s="53">
        <f t="shared" si="17"/>
        <v>0.02</v>
      </c>
      <c r="N61" s="963"/>
      <c r="O61" s="53">
        <f t="shared" si="18"/>
        <v>1</v>
      </c>
      <c r="P61" s="963"/>
      <c r="Q61" s="53">
        <f t="shared" si="19"/>
        <v>1</v>
      </c>
      <c r="R61" s="490">
        <f t="shared" si="20"/>
        <v>0</v>
      </c>
      <c r="S61" s="799">
        <f t="shared" si="21"/>
        <v>0</v>
      </c>
    </row>
    <row r="62" spans="1:19">
      <c r="A62" s="965"/>
      <c r="B62" s="137"/>
      <c r="C62" s="53">
        <f t="shared" si="12"/>
        <v>1</v>
      </c>
      <c r="D62" s="963"/>
      <c r="E62" s="53">
        <f t="shared" si="13"/>
        <v>0.1</v>
      </c>
      <c r="F62" s="963"/>
      <c r="G62" s="53">
        <f t="shared" si="14"/>
        <v>0.03</v>
      </c>
      <c r="H62" s="963"/>
      <c r="I62" s="53">
        <f t="shared" si="15"/>
        <v>0.03</v>
      </c>
      <c r="J62" s="963"/>
      <c r="K62" s="53">
        <f t="shared" si="16"/>
        <v>0.03</v>
      </c>
      <c r="L62" s="963"/>
      <c r="M62" s="53">
        <f t="shared" si="17"/>
        <v>0.02</v>
      </c>
      <c r="N62" s="963"/>
      <c r="O62" s="53">
        <f t="shared" si="18"/>
        <v>1</v>
      </c>
      <c r="P62" s="963"/>
      <c r="Q62" s="53">
        <f t="shared" si="19"/>
        <v>1</v>
      </c>
      <c r="R62" s="490">
        <f t="shared" si="20"/>
        <v>0</v>
      </c>
      <c r="S62" s="799">
        <f t="shared" si="21"/>
        <v>0</v>
      </c>
    </row>
    <row r="63" spans="1:19">
      <c r="A63" s="965"/>
      <c r="B63" s="137"/>
      <c r="C63" s="53">
        <f t="shared" si="12"/>
        <v>1</v>
      </c>
      <c r="D63" s="963"/>
      <c r="E63" s="53">
        <f t="shared" si="13"/>
        <v>0.1</v>
      </c>
      <c r="F63" s="963"/>
      <c r="G63" s="53">
        <f t="shared" si="14"/>
        <v>0.03</v>
      </c>
      <c r="H63" s="963"/>
      <c r="I63" s="53">
        <f t="shared" si="15"/>
        <v>0.03</v>
      </c>
      <c r="J63" s="963"/>
      <c r="K63" s="53">
        <f t="shared" si="16"/>
        <v>0.03</v>
      </c>
      <c r="L63" s="963"/>
      <c r="M63" s="53">
        <f t="shared" si="17"/>
        <v>0.02</v>
      </c>
      <c r="N63" s="963"/>
      <c r="O63" s="53">
        <f t="shared" si="18"/>
        <v>1</v>
      </c>
      <c r="P63" s="963"/>
      <c r="Q63" s="53">
        <f t="shared" si="19"/>
        <v>1</v>
      </c>
      <c r="R63" s="490">
        <f t="shared" si="20"/>
        <v>0</v>
      </c>
      <c r="S63" s="799">
        <f t="shared" si="21"/>
        <v>0</v>
      </c>
    </row>
    <row r="64" spans="1:19">
      <c r="A64" s="965"/>
      <c r="B64" s="137"/>
      <c r="C64" s="53">
        <f t="shared" si="12"/>
        <v>1</v>
      </c>
      <c r="D64" s="963"/>
      <c r="E64" s="53">
        <f t="shared" si="13"/>
        <v>0.1</v>
      </c>
      <c r="F64" s="963"/>
      <c r="G64" s="53">
        <f t="shared" si="14"/>
        <v>0.03</v>
      </c>
      <c r="H64" s="963"/>
      <c r="I64" s="53">
        <f t="shared" si="15"/>
        <v>0.03</v>
      </c>
      <c r="J64" s="963"/>
      <c r="K64" s="53">
        <f t="shared" si="16"/>
        <v>0.03</v>
      </c>
      <c r="L64" s="963"/>
      <c r="M64" s="53">
        <f t="shared" si="17"/>
        <v>0.02</v>
      </c>
      <c r="N64" s="963"/>
      <c r="O64" s="53">
        <f t="shared" si="18"/>
        <v>1</v>
      </c>
      <c r="P64" s="963"/>
      <c r="Q64" s="53">
        <f t="shared" si="19"/>
        <v>1</v>
      </c>
      <c r="R64" s="490">
        <f t="shared" si="20"/>
        <v>0</v>
      </c>
      <c r="S64" s="799">
        <f t="shared" si="21"/>
        <v>0</v>
      </c>
    </row>
    <row r="65" spans="1:19">
      <c r="A65" s="965"/>
      <c r="B65" s="137"/>
      <c r="C65" s="53">
        <f t="shared" si="12"/>
        <v>1</v>
      </c>
      <c r="D65" s="963"/>
      <c r="E65" s="53">
        <f t="shared" si="13"/>
        <v>0.1</v>
      </c>
      <c r="F65" s="963"/>
      <c r="G65" s="53">
        <f t="shared" si="14"/>
        <v>0.03</v>
      </c>
      <c r="H65" s="963"/>
      <c r="I65" s="53">
        <f t="shared" si="15"/>
        <v>0.03</v>
      </c>
      <c r="J65" s="963"/>
      <c r="K65" s="53">
        <f t="shared" si="16"/>
        <v>0.03</v>
      </c>
      <c r="L65" s="963"/>
      <c r="M65" s="53">
        <f t="shared" si="17"/>
        <v>0.02</v>
      </c>
      <c r="N65" s="963"/>
      <c r="O65" s="53">
        <f t="shared" si="18"/>
        <v>1</v>
      </c>
      <c r="P65" s="963"/>
      <c r="Q65" s="53">
        <f t="shared" si="19"/>
        <v>1</v>
      </c>
      <c r="R65" s="490">
        <f t="shared" si="20"/>
        <v>0</v>
      </c>
      <c r="S65" s="799">
        <f t="shared" si="21"/>
        <v>0</v>
      </c>
    </row>
    <row r="66" spans="1:19">
      <c r="A66" s="965"/>
      <c r="B66" s="137"/>
      <c r="C66" s="53">
        <f t="shared" si="12"/>
        <v>1</v>
      </c>
      <c r="D66" s="963"/>
      <c r="E66" s="53">
        <f t="shared" si="13"/>
        <v>0.1</v>
      </c>
      <c r="F66" s="963"/>
      <c r="G66" s="53">
        <f t="shared" si="14"/>
        <v>0.03</v>
      </c>
      <c r="H66" s="963"/>
      <c r="I66" s="53">
        <f t="shared" si="15"/>
        <v>0.03</v>
      </c>
      <c r="J66" s="963"/>
      <c r="K66" s="53">
        <f t="shared" si="16"/>
        <v>0.03</v>
      </c>
      <c r="L66" s="963"/>
      <c r="M66" s="53">
        <f t="shared" si="17"/>
        <v>0.02</v>
      </c>
      <c r="N66" s="963"/>
      <c r="O66" s="53">
        <f t="shared" si="18"/>
        <v>1</v>
      </c>
      <c r="P66" s="963"/>
      <c r="Q66" s="53">
        <f t="shared" si="19"/>
        <v>1</v>
      </c>
      <c r="R66" s="490">
        <f t="shared" si="20"/>
        <v>0</v>
      </c>
      <c r="S66" s="799">
        <f t="shared" si="21"/>
        <v>0</v>
      </c>
    </row>
    <row r="67" spans="1:19">
      <c r="A67" s="965"/>
      <c r="B67" s="137"/>
      <c r="C67" s="53">
        <f t="shared" si="12"/>
        <v>1</v>
      </c>
      <c r="D67" s="963"/>
      <c r="E67" s="53">
        <f t="shared" si="13"/>
        <v>0.1</v>
      </c>
      <c r="F67" s="963"/>
      <c r="G67" s="53">
        <f t="shared" si="14"/>
        <v>0.03</v>
      </c>
      <c r="H67" s="963"/>
      <c r="I67" s="53">
        <f t="shared" si="15"/>
        <v>0.03</v>
      </c>
      <c r="J67" s="963"/>
      <c r="K67" s="53">
        <f t="shared" si="16"/>
        <v>0.03</v>
      </c>
      <c r="L67" s="963"/>
      <c r="M67" s="53">
        <f t="shared" si="17"/>
        <v>0.02</v>
      </c>
      <c r="N67" s="963"/>
      <c r="O67" s="53">
        <f t="shared" si="18"/>
        <v>1</v>
      </c>
      <c r="P67" s="963"/>
      <c r="Q67" s="53">
        <f t="shared" si="19"/>
        <v>1</v>
      </c>
      <c r="R67" s="490">
        <f t="shared" si="20"/>
        <v>0</v>
      </c>
      <c r="S67" s="799">
        <f t="shared" si="21"/>
        <v>0</v>
      </c>
    </row>
    <row r="68" spans="1:19">
      <c r="A68" s="965"/>
      <c r="B68" s="137"/>
      <c r="C68" s="53">
        <f t="shared" si="12"/>
        <v>1</v>
      </c>
      <c r="D68" s="963"/>
      <c r="E68" s="53">
        <f t="shared" si="13"/>
        <v>0.1</v>
      </c>
      <c r="F68" s="963"/>
      <c r="G68" s="53">
        <f t="shared" si="14"/>
        <v>0.03</v>
      </c>
      <c r="H68" s="963"/>
      <c r="I68" s="53">
        <f t="shared" si="15"/>
        <v>0.03</v>
      </c>
      <c r="J68" s="963"/>
      <c r="K68" s="53">
        <f t="shared" si="16"/>
        <v>0.03</v>
      </c>
      <c r="L68" s="963"/>
      <c r="M68" s="53">
        <f t="shared" si="17"/>
        <v>0.02</v>
      </c>
      <c r="N68" s="963"/>
      <c r="O68" s="53">
        <f t="shared" si="18"/>
        <v>1</v>
      </c>
      <c r="P68" s="963"/>
      <c r="Q68" s="53">
        <f t="shared" si="19"/>
        <v>1</v>
      </c>
      <c r="R68" s="490">
        <f t="shared" si="20"/>
        <v>0</v>
      </c>
      <c r="S68" s="799">
        <f t="shared" si="21"/>
        <v>0</v>
      </c>
    </row>
    <row r="69" spans="1:19">
      <c r="A69" s="965"/>
      <c r="B69" s="137"/>
      <c r="C69" s="53">
        <f t="shared" si="12"/>
        <v>1</v>
      </c>
      <c r="D69" s="963"/>
      <c r="E69" s="53">
        <f t="shared" si="13"/>
        <v>0.1</v>
      </c>
      <c r="F69" s="963"/>
      <c r="G69" s="53">
        <f t="shared" si="14"/>
        <v>0.03</v>
      </c>
      <c r="H69" s="963"/>
      <c r="I69" s="53">
        <f t="shared" si="15"/>
        <v>0.03</v>
      </c>
      <c r="J69" s="963"/>
      <c r="K69" s="53">
        <f t="shared" si="16"/>
        <v>0.03</v>
      </c>
      <c r="L69" s="963"/>
      <c r="M69" s="53">
        <f t="shared" si="17"/>
        <v>0.02</v>
      </c>
      <c r="N69" s="963"/>
      <c r="O69" s="53">
        <f t="shared" si="18"/>
        <v>1</v>
      </c>
      <c r="P69" s="963"/>
      <c r="Q69" s="53">
        <f t="shared" si="19"/>
        <v>1</v>
      </c>
      <c r="R69" s="490">
        <f t="shared" si="20"/>
        <v>0</v>
      </c>
      <c r="S69" s="799">
        <f t="shared" si="21"/>
        <v>0</v>
      </c>
    </row>
    <row r="70" spans="1:19">
      <c r="A70" s="965"/>
      <c r="B70" s="137"/>
      <c r="C70" s="53">
        <f t="shared" si="12"/>
        <v>1</v>
      </c>
      <c r="D70" s="963"/>
      <c r="E70" s="53">
        <f t="shared" si="13"/>
        <v>0.1</v>
      </c>
      <c r="F70" s="963"/>
      <c r="G70" s="53">
        <f t="shared" si="14"/>
        <v>0.03</v>
      </c>
      <c r="H70" s="963"/>
      <c r="I70" s="53">
        <f t="shared" si="15"/>
        <v>0.03</v>
      </c>
      <c r="J70" s="963"/>
      <c r="K70" s="53">
        <f t="shared" si="16"/>
        <v>0.03</v>
      </c>
      <c r="L70" s="963"/>
      <c r="M70" s="53">
        <f t="shared" si="17"/>
        <v>0.02</v>
      </c>
      <c r="N70" s="963"/>
      <c r="O70" s="53">
        <f t="shared" si="18"/>
        <v>1</v>
      </c>
      <c r="P70" s="963"/>
      <c r="Q70" s="53">
        <f t="shared" si="19"/>
        <v>1</v>
      </c>
      <c r="R70" s="490">
        <f t="shared" si="20"/>
        <v>0</v>
      </c>
      <c r="S70" s="799">
        <f t="shared" si="21"/>
        <v>0</v>
      </c>
    </row>
    <row r="71" spans="1:19">
      <c r="A71" s="965"/>
      <c r="B71" s="137"/>
      <c r="C71" s="53">
        <f t="shared" si="12"/>
        <v>1</v>
      </c>
      <c r="D71" s="963"/>
      <c r="E71" s="53">
        <f t="shared" si="13"/>
        <v>0.1</v>
      </c>
      <c r="F71" s="963"/>
      <c r="G71" s="53">
        <f t="shared" si="14"/>
        <v>0.03</v>
      </c>
      <c r="H71" s="963"/>
      <c r="I71" s="53">
        <f t="shared" si="15"/>
        <v>0.03</v>
      </c>
      <c r="J71" s="963"/>
      <c r="K71" s="53">
        <f t="shared" si="16"/>
        <v>0.03</v>
      </c>
      <c r="L71" s="963"/>
      <c r="M71" s="53">
        <f t="shared" si="17"/>
        <v>0.02</v>
      </c>
      <c r="N71" s="963"/>
      <c r="O71" s="53">
        <f t="shared" si="18"/>
        <v>1</v>
      </c>
      <c r="P71" s="963"/>
      <c r="Q71" s="53">
        <f t="shared" si="19"/>
        <v>1</v>
      </c>
      <c r="R71" s="490">
        <f t="shared" si="20"/>
        <v>0</v>
      </c>
      <c r="S71" s="799">
        <f t="shared" si="21"/>
        <v>0</v>
      </c>
    </row>
    <row r="72" spans="1:19">
      <c r="A72" s="965"/>
      <c r="B72" s="137"/>
      <c r="C72" s="53">
        <f t="shared" si="12"/>
        <v>1</v>
      </c>
      <c r="D72" s="963"/>
      <c r="E72" s="53">
        <f t="shared" si="13"/>
        <v>0.1</v>
      </c>
      <c r="F72" s="963"/>
      <c r="G72" s="53">
        <f t="shared" si="14"/>
        <v>0.03</v>
      </c>
      <c r="H72" s="963"/>
      <c r="I72" s="53">
        <f t="shared" si="15"/>
        <v>0.03</v>
      </c>
      <c r="J72" s="963"/>
      <c r="K72" s="53">
        <f t="shared" si="16"/>
        <v>0.03</v>
      </c>
      <c r="L72" s="963"/>
      <c r="M72" s="53">
        <f t="shared" si="17"/>
        <v>0.02</v>
      </c>
      <c r="N72" s="963"/>
      <c r="O72" s="53">
        <f t="shared" si="18"/>
        <v>1</v>
      </c>
      <c r="P72" s="963"/>
      <c r="Q72" s="53">
        <f t="shared" si="19"/>
        <v>1</v>
      </c>
      <c r="R72" s="490">
        <f t="shared" si="20"/>
        <v>0</v>
      </c>
      <c r="S72" s="799">
        <f t="shared" si="21"/>
        <v>0</v>
      </c>
    </row>
    <row r="73" spans="1:19">
      <c r="A73" s="965"/>
      <c r="B73" s="137"/>
      <c r="C73" s="53">
        <f t="shared" si="12"/>
        <v>1</v>
      </c>
      <c r="D73" s="963"/>
      <c r="E73" s="53">
        <f t="shared" si="13"/>
        <v>0.1</v>
      </c>
      <c r="F73" s="963"/>
      <c r="G73" s="53">
        <f t="shared" si="14"/>
        <v>0.03</v>
      </c>
      <c r="H73" s="963"/>
      <c r="I73" s="53">
        <f t="shared" si="15"/>
        <v>0.03</v>
      </c>
      <c r="J73" s="963"/>
      <c r="K73" s="53">
        <f t="shared" si="16"/>
        <v>0.03</v>
      </c>
      <c r="L73" s="963"/>
      <c r="M73" s="53">
        <f t="shared" si="17"/>
        <v>0.02</v>
      </c>
      <c r="N73" s="963"/>
      <c r="O73" s="53">
        <f t="shared" si="18"/>
        <v>1</v>
      </c>
      <c r="P73" s="963"/>
      <c r="Q73" s="53">
        <f t="shared" si="19"/>
        <v>1</v>
      </c>
      <c r="R73" s="490">
        <f t="shared" si="20"/>
        <v>0</v>
      </c>
      <c r="S73" s="799">
        <f t="shared" si="21"/>
        <v>0</v>
      </c>
    </row>
    <row r="74" spans="1:19">
      <c r="A74" s="965"/>
      <c r="B74" s="137"/>
      <c r="C74" s="53">
        <f t="shared" si="12"/>
        <v>1</v>
      </c>
      <c r="D74" s="963"/>
      <c r="E74" s="53">
        <f t="shared" si="13"/>
        <v>0.1</v>
      </c>
      <c r="F74" s="963"/>
      <c r="G74" s="53">
        <f t="shared" si="14"/>
        <v>0.03</v>
      </c>
      <c r="H74" s="963"/>
      <c r="I74" s="53">
        <f t="shared" si="15"/>
        <v>0.03</v>
      </c>
      <c r="J74" s="963"/>
      <c r="K74" s="53">
        <f t="shared" si="16"/>
        <v>0.03</v>
      </c>
      <c r="L74" s="963"/>
      <c r="M74" s="53">
        <f t="shared" si="17"/>
        <v>0.02</v>
      </c>
      <c r="N74" s="963"/>
      <c r="O74" s="53">
        <f t="shared" si="18"/>
        <v>1</v>
      </c>
      <c r="P74" s="963"/>
      <c r="Q74" s="53">
        <f t="shared" si="19"/>
        <v>1</v>
      </c>
      <c r="R74" s="490">
        <f t="shared" si="20"/>
        <v>0</v>
      </c>
      <c r="S74" s="799">
        <f t="shared" si="21"/>
        <v>0</v>
      </c>
    </row>
    <row r="75" spans="1:19">
      <c r="A75" s="965"/>
      <c r="B75" s="137"/>
      <c r="C75" s="53">
        <f t="shared" si="12"/>
        <v>1</v>
      </c>
      <c r="D75" s="963"/>
      <c r="E75" s="53">
        <f t="shared" si="13"/>
        <v>0.1</v>
      </c>
      <c r="F75" s="963"/>
      <c r="G75" s="53">
        <f t="shared" si="14"/>
        <v>0.03</v>
      </c>
      <c r="H75" s="963"/>
      <c r="I75" s="53">
        <f t="shared" si="15"/>
        <v>0.03</v>
      </c>
      <c r="J75" s="963"/>
      <c r="K75" s="53">
        <f t="shared" si="16"/>
        <v>0.03</v>
      </c>
      <c r="L75" s="963"/>
      <c r="M75" s="53">
        <f t="shared" si="17"/>
        <v>0.02</v>
      </c>
      <c r="N75" s="963"/>
      <c r="O75" s="53">
        <f t="shared" si="18"/>
        <v>1</v>
      </c>
      <c r="P75" s="963"/>
      <c r="Q75" s="53">
        <f t="shared" si="19"/>
        <v>1</v>
      </c>
      <c r="R75" s="490">
        <f t="shared" si="20"/>
        <v>0</v>
      </c>
      <c r="S75" s="799">
        <f t="shared" si="21"/>
        <v>0</v>
      </c>
    </row>
    <row r="76" spans="1:19">
      <c r="A76" s="965"/>
      <c r="B76" s="137"/>
      <c r="C76" s="53">
        <f t="shared" si="12"/>
        <v>1</v>
      </c>
      <c r="D76" s="963"/>
      <c r="E76" s="53">
        <f t="shared" si="13"/>
        <v>0.1</v>
      </c>
      <c r="F76" s="963"/>
      <c r="G76" s="53">
        <f t="shared" si="14"/>
        <v>0.03</v>
      </c>
      <c r="H76" s="963"/>
      <c r="I76" s="53">
        <f t="shared" si="15"/>
        <v>0.03</v>
      </c>
      <c r="J76" s="963"/>
      <c r="K76" s="53">
        <f t="shared" si="16"/>
        <v>0.03</v>
      </c>
      <c r="L76" s="963"/>
      <c r="M76" s="53">
        <f t="shared" si="17"/>
        <v>0.02</v>
      </c>
      <c r="N76" s="963"/>
      <c r="O76" s="53">
        <f t="shared" si="18"/>
        <v>1</v>
      </c>
      <c r="P76" s="963"/>
      <c r="Q76" s="53">
        <f t="shared" si="19"/>
        <v>1</v>
      </c>
      <c r="R76" s="490">
        <f t="shared" si="20"/>
        <v>0</v>
      </c>
      <c r="S76" s="799">
        <f t="shared" si="21"/>
        <v>0</v>
      </c>
    </row>
    <row r="77" spans="1:19">
      <c r="A77" s="965"/>
      <c r="B77" s="137"/>
      <c r="C77" s="53">
        <f t="shared" si="12"/>
        <v>1</v>
      </c>
      <c r="D77" s="963"/>
      <c r="E77" s="53">
        <f t="shared" si="13"/>
        <v>0.1</v>
      </c>
      <c r="F77" s="963"/>
      <c r="G77" s="53">
        <f t="shared" si="14"/>
        <v>0.03</v>
      </c>
      <c r="H77" s="963"/>
      <c r="I77" s="53">
        <f t="shared" si="15"/>
        <v>0.03</v>
      </c>
      <c r="J77" s="963"/>
      <c r="K77" s="53">
        <f t="shared" si="16"/>
        <v>0.03</v>
      </c>
      <c r="L77" s="963"/>
      <c r="M77" s="53">
        <f t="shared" si="17"/>
        <v>0.02</v>
      </c>
      <c r="N77" s="963"/>
      <c r="O77" s="53">
        <f t="shared" si="18"/>
        <v>1</v>
      </c>
      <c r="P77" s="963"/>
      <c r="Q77" s="53">
        <f t="shared" si="19"/>
        <v>1</v>
      </c>
      <c r="R77" s="490">
        <f t="shared" si="20"/>
        <v>0</v>
      </c>
      <c r="S77" s="799">
        <f t="shared" si="21"/>
        <v>0</v>
      </c>
    </row>
    <row r="78" spans="1:19">
      <c r="A78" s="965"/>
      <c r="B78" s="137"/>
      <c r="C78" s="53">
        <f t="shared" si="12"/>
        <v>1</v>
      </c>
      <c r="D78" s="963"/>
      <c r="E78" s="53">
        <f t="shared" si="13"/>
        <v>0.1</v>
      </c>
      <c r="F78" s="963"/>
      <c r="G78" s="53">
        <f t="shared" si="14"/>
        <v>0.03</v>
      </c>
      <c r="H78" s="963"/>
      <c r="I78" s="53">
        <f t="shared" si="15"/>
        <v>0.03</v>
      </c>
      <c r="J78" s="963"/>
      <c r="K78" s="53">
        <f t="shared" si="16"/>
        <v>0.03</v>
      </c>
      <c r="L78" s="963"/>
      <c r="M78" s="53">
        <f t="shared" si="17"/>
        <v>0.02</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0.1</v>
      </c>
      <c r="F79" s="963"/>
      <c r="G79" s="53">
        <f t="shared" si="14"/>
        <v>0.03</v>
      </c>
      <c r="H79" s="963"/>
      <c r="I79" s="53">
        <f t="shared" si="15"/>
        <v>0.03</v>
      </c>
      <c r="J79" s="963"/>
      <c r="K79" s="53">
        <f t="shared" si="16"/>
        <v>0.03</v>
      </c>
      <c r="L79" s="963"/>
      <c r="M79" s="53">
        <f t="shared" si="17"/>
        <v>0.02</v>
      </c>
      <c r="N79" s="963"/>
      <c r="O79" s="53">
        <f t="shared" si="18"/>
        <v>1</v>
      </c>
      <c r="P79" s="963"/>
      <c r="Q79" s="53">
        <f t="shared" si="19"/>
        <v>1</v>
      </c>
      <c r="R79" s="490">
        <f t="shared" si="20"/>
        <v>0</v>
      </c>
      <c r="S79" s="799">
        <f t="shared" si="22"/>
        <v>0</v>
      </c>
    </row>
    <row r="80" spans="1:19">
      <c r="A80" s="965"/>
      <c r="B80" s="137"/>
      <c r="C80" s="53">
        <f t="shared" si="12"/>
        <v>1</v>
      </c>
      <c r="D80" s="963"/>
      <c r="E80" s="53">
        <f t="shared" si="13"/>
        <v>0.1</v>
      </c>
      <c r="F80" s="963"/>
      <c r="G80" s="53">
        <f t="shared" si="14"/>
        <v>0.03</v>
      </c>
      <c r="H80" s="963"/>
      <c r="I80" s="53">
        <f t="shared" si="15"/>
        <v>0.03</v>
      </c>
      <c r="J80" s="963"/>
      <c r="K80" s="53">
        <f t="shared" si="16"/>
        <v>0.03</v>
      </c>
      <c r="L80" s="963"/>
      <c r="M80" s="53">
        <f t="shared" si="17"/>
        <v>0.02</v>
      </c>
      <c r="N80" s="963"/>
      <c r="O80" s="53">
        <f t="shared" si="18"/>
        <v>1</v>
      </c>
      <c r="P80" s="963"/>
      <c r="Q80" s="53">
        <f t="shared" si="19"/>
        <v>1</v>
      </c>
      <c r="R80" s="490">
        <f t="shared" si="20"/>
        <v>0</v>
      </c>
      <c r="S80" s="799">
        <f t="shared" si="22"/>
        <v>0</v>
      </c>
    </row>
    <row r="81" spans="1:19">
      <c r="A81" s="965"/>
      <c r="B81" s="137"/>
      <c r="C81" s="53">
        <f t="shared" si="12"/>
        <v>1</v>
      </c>
      <c r="D81" s="963"/>
      <c r="E81" s="53">
        <f t="shared" si="13"/>
        <v>0.1</v>
      </c>
      <c r="F81" s="963"/>
      <c r="G81" s="53">
        <f t="shared" si="14"/>
        <v>0.03</v>
      </c>
      <c r="H81" s="963"/>
      <c r="I81" s="53">
        <f t="shared" si="15"/>
        <v>0.03</v>
      </c>
      <c r="J81" s="963"/>
      <c r="K81" s="53">
        <f t="shared" si="16"/>
        <v>0.03</v>
      </c>
      <c r="L81" s="963"/>
      <c r="M81" s="53">
        <f t="shared" si="17"/>
        <v>0.02</v>
      </c>
      <c r="N81" s="963"/>
      <c r="O81" s="53">
        <f t="shared" si="18"/>
        <v>1</v>
      </c>
      <c r="P81" s="963"/>
      <c r="Q81" s="53">
        <f t="shared" si="19"/>
        <v>1</v>
      </c>
      <c r="R81" s="490">
        <f t="shared" si="20"/>
        <v>0</v>
      </c>
      <c r="S81" s="799">
        <f t="shared" si="22"/>
        <v>0</v>
      </c>
    </row>
    <row r="82" spans="1:19">
      <c r="A82" s="965"/>
      <c r="B82" s="137"/>
      <c r="C82" s="53">
        <f t="shared" si="12"/>
        <v>1</v>
      </c>
      <c r="D82" s="963"/>
      <c r="E82" s="53">
        <f t="shared" si="13"/>
        <v>0.1</v>
      </c>
      <c r="F82" s="963"/>
      <c r="G82" s="53">
        <f t="shared" si="14"/>
        <v>0.03</v>
      </c>
      <c r="H82" s="963"/>
      <c r="I82" s="53">
        <f t="shared" si="15"/>
        <v>0.03</v>
      </c>
      <c r="J82" s="963"/>
      <c r="K82" s="53">
        <f t="shared" si="16"/>
        <v>0.03</v>
      </c>
      <c r="L82" s="963"/>
      <c r="M82" s="53">
        <f t="shared" si="17"/>
        <v>0.02</v>
      </c>
      <c r="N82" s="963"/>
      <c r="O82" s="53">
        <f t="shared" si="18"/>
        <v>1</v>
      </c>
      <c r="P82" s="963"/>
      <c r="Q82" s="53">
        <f t="shared" si="19"/>
        <v>1</v>
      </c>
      <c r="R82" s="490">
        <f t="shared" si="20"/>
        <v>0</v>
      </c>
      <c r="S82" s="799">
        <f t="shared" si="22"/>
        <v>0</v>
      </c>
    </row>
    <row r="83" spans="1:19">
      <c r="A83" s="965"/>
      <c r="B83" s="137"/>
      <c r="C83" s="53">
        <f t="shared" si="12"/>
        <v>1</v>
      </c>
      <c r="D83" s="963"/>
      <c r="E83" s="53">
        <f t="shared" si="13"/>
        <v>0.1</v>
      </c>
      <c r="F83" s="963"/>
      <c r="G83" s="53">
        <f t="shared" si="14"/>
        <v>0.03</v>
      </c>
      <c r="H83" s="963"/>
      <c r="I83" s="53">
        <f t="shared" si="15"/>
        <v>0.03</v>
      </c>
      <c r="J83" s="963"/>
      <c r="K83" s="53">
        <f t="shared" si="16"/>
        <v>0.03</v>
      </c>
      <c r="L83" s="963"/>
      <c r="M83" s="53">
        <f t="shared" si="17"/>
        <v>0.02</v>
      </c>
      <c r="N83" s="963"/>
      <c r="O83" s="53">
        <f t="shared" si="18"/>
        <v>1</v>
      </c>
      <c r="P83" s="963"/>
      <c r="Q83" s="53">
        <f t="shared" si="19"/>
        <v>1</v>
      </c>
      <c r="R83" s="490">
        <f t="shared" si="20"/>
        <v>0</v>
      </c>
      <c r="S83" s="799">
        <f t="shared" si="22"/>
        <v>0</v>
      </c>
    </row>
    <row r="84" spans="1:19">
      <c r="A84" s="965"/>
      <c r="B84" s="137"/>
      <c r="C84" s="53">
        <f t="shared" si="12"/>
        <v>1</v>
      </c>
      <c r="D84" s="963"/>
      <c r="E84" s="53">
        <f t="shared" si="13"/>
        <v>0.1</v>
      </c>
      <c r="F84" s="963"/>
      <c r="G84" s="53">
        <f t="shared" si="14"/>
        <v>0.03</v>
      </c>
      <c r="H84" s="963"/>
      <c r="I84" s="53">
        <f t="shared" si="15"/>
        <v>0.03</v>
      </c>
      <c r="J84" s="963"/>
      <c r="K84" s="53">
        <f t="shared" si="16"/>
        <v>0.03</v>
      </c>
      <c r="L84" s="963"/>
      <c r="M84" s="53">
        <f t="shared" si="17"/>
        <v>0.02</v>
      </c>
      <c r="N84" s="963"/>
      <c r="O84" s="53">
        <f t="shared" si="18"/>
        <v>1</v>
      </c>
      <c r="P84" s="963"/>
      <c r="Q84" s="53">
        <f t="shared" si="19"/>
        <v>1</v>
      </c>
      <c r="R84" s="490">
        <f t="shared" si="20"/>
        <v>0</v>
      </c>
      <c r="S84" s="799">
        <f t="shared" si="22"/>
        <v>0</v>
      </c>
    </row>
    <row r="85" spans="1:19">
      <c r="A85" s="965"/>
      <c r="B85" s="137"/>
      <c r="C85" s="53">
        <f t="shared" si="12"/>
        <v>1</v>
      </c>
      <c r="D85" s="963"/>
      <c r="E85" s="53">
        <f t="shared" si="13"/>
        <v>0.1</v>
      </c>
      <c r="F85" s="963"/>
      <c r="G85" s="53">
        <f t="shared" si="14"/>
        <v>0.03</v>
      </c>
      <c r="H85" s="963"/>
      <c r="I85" s="53">
        <f t="shared" si="15"/>
        <v>0.03</v>
      </c>
      <c r="J85" s="963"/>
      <c r="K85" s="53">
        <f t="shared" si="16"/>
        <v>0.03</v>
      </c>
      <c r="L85" s="963"/>
      <c r="M85" s="53">
        <f t="shared" si="17"/>
        <v>0.02</v>
      </c>
      <c r="N85" s="963"/>
      <c r="O85" s="53">
        <f t="shared" si="18"/>
        <v>1</v>
      </c>
      <c r="P85" s="963"/>
      <c r="Q85" s="53">
        <f t="shared" si="19"/>
        <v>1</v>
      </c>
      <c r="R85" s="490">
        <f t="shared" si="20"/>
        <v>0</v>
      </c>
      <c r="S85" s="799">
        <f t="shared" si="22"/>
        <v>0</v>
      </c>
    </row>
    <row r="86" spans="1:19">
      <c r="A86" s="965"/>
      <c r="B86" s="137"/>
      <c r="C86" s="53">
        <f t="shared" si="12"/>
        <v>1</v>
      </c>
      <c r="D86" s="963"/>
      <c r="E86" s="53">
        <f t="shared" si="13"/>
        <v>0.1</v>
      </c>
      <c r="F86" s="963"/>
      <c r="G86" s="53">
        <f t="shared" si="14"/>
        <v>0.03</v>
      </c>
      <c r="H86" s="963"/>
      <c r="I86" s="53">
        <f t="shared" si="15"/>
        <v>0.03</v>
      </c>
      <c r="J86" s="963"/>
      <c r="K86" s="53">
        <f t="shared" si="16"/>
        <v>0.03</v>
      </c>
      <c r="L86" s="963"/>
      <c r="M86" s="53">
        <f t="shared" si="17"/>
        <v>0.02</v>
      </c>
      <c r="N86" s="963"/>
      <c r="O86" s="53">
        <f t="shared" si="18"/>
        <v>1</v>
      </c>
      <c r="P86" s="963"/>
      <c r="Q86" s="53">
        <f t="shared" si="19"/>
        <v>1</v>
      </c>
      <c r="R86" s="490">
        <f t="shared" si="20"/>
        <v>0</v>
      </c>
      <c r="S86" s="799">
        <f t="shared" si="22"/>
        <v>0</v>
      </c>
    </row>
    <row r="87" spans="1:19">
      <c r="A87" s="965"/>
      <c r="B87" s="137"/>
      <c r="C87" s="53">
        <f t="shared" si="12"/>
        <v>1</v>
      </c>
      <c r="D87" s="963"/>
      <c r="E87" s="53">
        <f t="shared" si="13"/>
        <v>0.1</v>
      </c>
      <c r="F87" s="963"/>
      <c r="G87" s="53">
        <f t="shared" si="14"/>
        <v>0.03</v>
      </c>
      <c r="H87" s="963"/>
      <c r="I87" s="53">
        <f t="shared" si="15"/>
        <v>0.03</v>
      </c>
      <c r="J87" s="963"/>
      <c r="K87" s="53">
        <f t="shared" si="16"/>
        <v>0.03</v>
      </c>
      <c r="L87" s="963"/>
      <c r="M87" s="53">
        <f t="shared" si="17"/>
        <v>0.02</v>
      </c>
      <c r="N87" s="963"/>
      <c r="O87" s="53">
        <f t="shared" si="18"/>
        <v>1</v>
      </c>
      <c r="P87" s="963"/>
      <c r="Q87" s="53">
        <f t="shared" si="19"/>
        <v>1</v>
      </c>
      <c r="R87" s="490">
        <f t="shared" si="20"/>
        <v>0</v>
      </c>
      <c r="S87" s="799">
        <f t="shared" si="22"/>
        <v>0</v>
      </c>
    </row>
    <row r="88" spans="1:19">
      <c r="A88" s="965"/>
      <c r="B88" s="137"/>
      <c r="C88" s="53">
        <f t="shared" si="12"/>
        <v>1</v>
      </c>
      <c r="D88" s="963"/>
      <c r="E88" s="53">
        <f t="shared" si="13"/>
        <v>0.1</v>
      </c>
      <c r="F88" s="963"/>
      <c r="G88" s="53">
        <f t="shared" si="14"/>
        <v>0.03</v>
      </c>
      <c r="H88" s="963"/>
      <c r="I88" s="53">
        <f t="shared" si="15"/>
        <v>0.03</v>
      </c>
      <c r="J88" s="963"/>
      <c r="K88" s="53">
        <f t="shared" si="16"/>
        <v>0.03</v>
      </c>
      <c r="L88" s="963"/>
      <c r="M88" s="53">
        <f t="shared" si="17"/>
        <v>0.02</v>
      </c>
      <c r="N88" s="963"/>
      <c r="O88" s="53">
        <f t="shared" si="18"/>
        <v>1</v>
      </c>
      <c r="P88" s="963"/>
      <c r="Q88" s="53">
        <f t="shared" si="19"/>
        <v>1</v>
      </c>
      <c r="R88" s="490">
        <f t="shared" si="20"/>
        <v>0</v>
      </c>
      <c r="S88" s="799">
        <f t="shared" si="22"/>
        <v>0</v>
      </c>
    </row>
    <row r="89" spans="1:19">
      <c r="A89" s="965"/>
      <c r="B89" s="137"/>
      <c r="C89" s="53">
        <f t="shared" si="12"/>
        <v>1</v>
      </c>
      <c r="D89" s="963"/>
      <c r="E89" s="53">
        <f t="shared" si="13"/>
        <v>0.1</v>
      </c>
      <c r="F89" s="963"/>
      <c r="G89" s="53">
        <f t="shared" si="14"/>
        <v>0.03</v>
      </c>
      <c r="H89" s="963"/>
      <c r="I89" s="53">
        <f t="shared" si="15"/>
        <v>0.03</v>
      </c>
      <c r="J89" s="963"/>
      <c r="K89" s="53">
        <f t="shared" si="16"/>
        <v>0.03</v>
      </c>
      <c r="L89" s="963"/>
      <c r="M89" s="53">
        <f t="shared" si="17"/>
        <v>0.02</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0.1</v>
      </c>
      <c r="F90" s="963"/>
      <c r="G90" s="53">
        <f t="shared" ref="G90:G153" si="25">(SUMIF($7:$7,F90,$8:$8)-SUMIF($7:$7,$F$24,$8:$8)+100)/100</f>
        <v>0.03</v>
      </c>
      <c r="H90" s="963"/>
      <c r="I90" s="53">
        <f t="shared" ref="I90:I153" si="26">(SUMIF($9:$9,H90,$10:$10)-SUMIF($9:$9,$H$24,$10:$10)+100)/100</f>
        <v>0.03</v>
      </c>
      <c r="J90" s="963"/>
      <c r="K90" s="53">
        <f t="shared" ref="K90:K153" si="27">(SUMIF($11:$11,J90,$12:$12)-SUMIF($11:$11,$J$24,$12:$12)+100)/100</f>
        <v>0.03</v>
      </c>
      <c r="L90" s="963"/>
      <c r="M90" s="53">
        <f t="shared" ref="M90:M153" si="28">(SUMIF($13:$13,L90,$14:$14)-SUMIF($13:$13,$L$24,$14:$14)+100)/100</f>
        <v>0.02</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0.1</v>
      </c>
      <c r="F91" s="963"/>
      <c r="G91" s="53">
        <f t="shared" si="25"/>
        <v>0.03</v>
      </c>
      <c r="H91" s="963"/>
      <c r="I91" s="53">
        <f t="shared" si="26"/>
        <v>0.03</v>
      </c>
      <c r="J91" s="963"/>
      <c r="K91" s="53">
        <f t="shared" si="27"/>
        <v>0.03</v>
      </c>
      <c r="L91" s="963"/>
      <c r="M91" s="53">
        <f t="shared" si="28"/>
        <v>0.02</v>
      </c>
      <c r="N91" s="963"/>
      <c r="O91" s="53">
        <f t="shared" si="29"/>
        <v>1</v>
      </c>
      <c r="P91" s="963"/>
      <c r="Q91" s="53">
        <f t="shared" si="30"/>
        <v>1</v>
      </c>
      <c r="R91" s="490">
        <f t="shared" si="31"/>
        <v>0</v>
      </c>
      <c r="S91" s="799">
        <f t="shared" si="22"/>
        <v>0</v>
      </c>
    </row>
    <row r="92" spans="1:19">
      <c r="A92" s="965"/>
      <c r="B92" s="137"/>
      <c r="C92" s="53">
        <f t="shared" si="23"/>
        <v>1</v>
      </c>
      <c r="D92" s="963"/>
      <c r="E92" s="53">
        <f t="shared" si="24"/>
        <v>0.1</v>
      </c>
      <c r="F92" s="963"/>
      <c r="G92" s="53">
        <f t="shared" si="25"/>
        <v>0.03</v>
      </c>
      <c r="H92" s="963"/>
      <c r="I92" s="53">
        <f t="shared" si="26"/>
        <v>0.03</v>
      </c>
      <c r="J92" s="963"/>
      <c r="K92" s="53">
        <f t="shared" si="27"/>
        <v>0.03</v>
      </c>
      <c r="L92" s="963"/>
      <c r="M92" s="53">
        <f t="shared" si="28"/>
        <v>0.02</v>
      </c>
      <c r="N92" s="963"/>
      <c r="O92" s="53">
        <f t="shared" si="29"/>
        <v>1</v>
      </c>
      <c r="P92" s="963"/>
      <c r="Q92" s="53">
        <f t="shared" si="30"/>
        <v>1</v>
      </c>
      <c r="R92" s="490">
        <f t="shared" si="31"/>
        <v>0</v>
      </c>
      <c r="S92" s="799">
        <f t="shared" si="22"/>
        <v>0</v>
      </c>
    </row>
    <row r="93" spans="1:19">
      <c r="A93" s="965"/>
      <c r="B93" s="137"/>
      <c r="C93" s="53">
        <f t="shared" si="23"/>
        <v>1</v>
      </c>
      <c r="D93" s="963"/>
      <c r="E93" s="53">
        <f t="shared" si="24"/>
        <v>0.1</v>
      </c>
      <c r="F93" s="963"/>
      <c r="G93" s="53">
        <f t="shared" si="25"/>
        <v>0.03</v>
      </c>
      <c r="H93" s="963"/>
      <c r="I93" s="53">
        <f t="shared" si="26"/>
        <v>0.03</v>
      </c>
      <c r="J93" s="963"/>
      <c r="K93" s="53">
        <f t="shared" si="27"/>
        <v>0.03</v>
      </c>
      <c r="L93" s="963"/>
      <c r="M93" s="53">
        <f t="shared" si="28"/>
        <v>0.02</v>
      </c>
      <c r="N93" s="963"/>
      <c r="O93" s="53">
        <f t="shared" si="29"/>
        <v>1</v>
      </c>
      <c r="P93" s="963"/>
      <c r="Q93" s="53">
        <f t="shared" si="30"/>
        <v>1</v>
      </c>
      <c r="R93" s="490">
        <f t="shared" si="31"/>
        <v>0</v>
      </c>
      <c r="S93" s="799">
        <f t="shared" si="22"/>
        <v>0</v>
      </c>
    </row>
    <row r="94" spans="1:19">
      <c r="A94" s="965"/>
      <c r="B94" s="137"/>
      <c r="C94" s="53">
        <f t="shared" si="23"/>
        <v>1</v>
      </c>
      <c r="D94" s="963"/>
      <c r="E94" s="53">
        <f t="shared" si="24"/>
        <v>0.1</v>
      </c>
      <c r="F94" s="963"/>
      <c r="G94" s="53">
        <f t="shared" si="25"/>
        <v>0.03</v>
      </c>
      <c r="H94" s="963"/>
      <c r="I94" s="53">
        <f t="shared" si="26"/>
        <v>0.03</v>
      </c>
      <c r="J94" s="963"/>
      <c r="K94" s="53">
        <f t="shared" si="27"/>
        <v>0.03</v>
      </c>
      <c r="L94" s="963"/>
      <c r="M94" s="53">
        <f t="shared" si="28"/>
        <v>0.02</v>
      </c>
      <c r="N94" s="963"/>
      <c r="O94" s="53">
        <f t="shared" si="29"/>
        <v>1</v>
      </c>
      <c r="P94" s="963"/>
      <c r="Q94" s="53">
        <f t="shared" si="30"/>
        <v>1</v>
      </c>
      <c r="R94" s="490">
        <f t="shared" si="31"/>
        <v>0</v>
      </c>
      <c r="S94" s="799">
        <f t="shared" si="22"/>
        <v>0</v>
      </c>
    </row>
    <row r="95" spans="1:19">
      <c r="A95" s="965"/>
      <c r="B95" s="137"/>
      <c r="C95" s="53">
        <f t="shared" si="23"/>
        <v>1</v>
      </c>
      <c r="D95" s="963"/>
      <c r="E95" s="53">
        <f t="shared" si="24"/>
        <v>0.1</v>
      </c>
      <c r="F95" s="963"/>
      <c r="G95" s="53">
        <f t="shared" si="25"/>
        <v>0.03</v>
      </c>
      <c r="H95" s="963"/>
      <c r="I95" s="53">
        <f t="shared" si="26"/>
        <v>0.03</v>
      </c>
      <c r="J95" s="963"/>
      <c r="K95" s="53">
        <f t="shared" si="27"/>
        <v>0.03</v>
      </c>
      <c r="L95" s="963"/>
      <c r="M95" s="53">
        <f t="shared" si="28"/>
        <v>0.02</v>
      </c>
      <c r="N95" s="963"/>
      <c r="O95" s="53">
        <f t="shared" si="29"/>
        <v>1</v>
      </c>
      <c r="P95" s="963"/>
      <c r="Q95" s="53">
        <f t="shared" si="30"/>
        <v>1</v>
      </c>
      <c r="R95" s="490">
        <f t="shared" si="31"/>
        <v>0</v>
      </c>
      <c r="S95" s="799">
        <f t="shared" si="22"/>
        <v>0</v>
      </c>
    </row>
    <row r="96" spans="1:19">
      <c r="A96" s="965"/>
      <c r="B96" s="137"/>
      <c r="C96" s="53">
        <f t="shared" si="23"/>
        <v>1</v>
      </c>
      <c r="D96" s="963"/>
      <c r="E96" s="53">
        <f t="shared" si="24"/>
        <v>0.1</v>
      </c>
      <c r="F96" s="963"/>
      <c r="G96" s="53">
        <f t="shared" si="25"/>
        <v>0.03</v>
      </c>
      <c r="H96" s="963"/>
      <c r="I96" s="53">
        <f t="shared" si="26"/>
        <v>0.03</v>
      </c>
      <c r="J96" s="963"/>
      <c r="K96" s="53">
        <f t="shared" si="27"/>
        <v>0.03</v>
      </c>
      <c r="L96" s="963"/>
      <c r="M96" s="53">
        <f t="shared" si="28"/>
        <v>0.02</v>
      </c>
      <c r="N96" s="963"/>
      <c r="O96" s="53">
        <f t="shared" si="29"/>
        <v>1</v>
      </c>
      <c r="P96" s="963"/>
      <c r="Q96" s="53">
        <f t="shared" si="30"/>
        <v>1</v>
      </c>
      <c r="R96" s="490">
        <f t="shared" si="31"/>
        <v>0</v>
      </c>
      <c r="S96" s="799">
        <f t="shared" si="22"/>
        <v>0</v>
      </c>
    </row>
    <row r="97" spans="1:19">
      <c r="A97" s="965"/>
      <c r="B97" s="137"/>
      <c r="C97" s="53">
        <f t="shared" si="23"/>
        <v>1</v>
      </c>
      <c r="D97" s="963"/>
      <c r="E97" s="53">
        <f t="shared" si="24"/>
        <v>0.1</v>
      </c>
      <c r="F97" s="963"/>
      <c r="G97" s="53">
        <f t="shared" si="25"/>
        <v>0.03</v>
      </c>
      <c r="H97" s="963"/>
      <c r="I97" s="53">
        <f t="shared" si="26"/>
        <v>0.03</v>
      </c>
      <c r="J97" s="963"/>
      <c r="K97" s="53">
        <f t="shared" si="27"/>
        <v>0.03</v>
      </c>
      <c r="L97" s="963"/>
      <c r="M97" s="53">
        <f t="shared" si="28"/>
        <v>0.02</v>
      </c>
      <c r="N97" s="963"/>
      <c r="O97" s="53">
        <f t="shared" si="29"/>
        <v>1</v>
      </c>
      <c r="P97" s="963"/>
      <c r="Q97" s="53">
        <f t="shared" si="30"/>
        <v>1</v>
      </c>
      <c r="R97" s="490">
        <f t="shared" si="31"/>
        <v>0</v>
      </c>
      <c r="S97" s="799">
        <f t="shared" si="22"/>
        <v>0</v>
      </c>
    </row>
    <row r="98" spans="1:19">
      <c r="A98" s="965"/>
      <c r="B98" s="137"/>
      <c r="C98" s="53">
        <f t="shared" si="23"/>
        <v>1</v>
      </c>
      <c r="D98" s="963"/>
      <c r="E98" s="53">
        <f t="shared" si="24"/>
        <v>0.1</v>
      </c>
      <c r="F98" s="963"/>
      <c r="G98" s="53">
        <f t="shared" si="25"/>
        <v>0.03</v>
      </c>
      <c r="H98" s="963"/>
      <c r="I98" s="53">
        <f t="shared" si="26"/>
        <v>0.03</v>
      </c>
      <c r="J98" s="963"/>
      <c r="K98" s="53">
        <f t="shared" si="27"/>
        <v>0.03</v>
      </c>
      <c r="L98" s="963"/>
      <c r="M98" s="53">
        <f t="shared" si="28"/>
        <v>0.02</v>
      </c>
      <c r="N98" s="963"/>
      <c r="O98" s="53">
        <f t="shared" si="29"/>
        <v>1</v>
      </c>
      <c r="P98" s="963"/>
      <c r="Q98" s="53">
        <f t="shared" si="30"/>
        <v>1</v>
      </c>
      <c r="R98" s="490">
        <f t="shared" si="31"/>
        <v>0</v>
      </c>
      <c r="S98" s="799">
        <f t="shared" si="22"/>
        <v>0</v>
      </c>
    </row>
    <row r="99" spans="1:19">
      <c r="A99" s="965"/>
      <c r="B99" s="137"/>
      <c r="C99" s="53">
        <f t="shared" si="23"/>
        <v>1</v>
      </c>
      <c r="D99" s="963"/>
      <c r="E99" s="53">
        <f t="shared" si="24"/>
        <v>0.1</v>
      </c>
      <c r="F99" s="963"/>
      <c r="G99" s="53">
        <f t="shared" si="25"/>
        <v>0.03</v>
      </c>
      <c r="H99" s="963"/>
      <c r="I99" s="53">
        <f t="shared" si="26"/>
        <v>0.03</v>
      </c>
      <c r="J99" s="963"/>
      <c r="K99" s="53">
        <f t="shared" si="27"/>
        <v>0.03</v>
      </c>
      <c r="L99" s="963"/>
      <c r="M99" s="53">
        <f t="shared" si="28"/>
        <v>0.02</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0.1</v>
      </c>
      <c r="F100" s="963"/>
      <c r="G100" s="53">
        <f t="shared" si="25"/>
        <v>0.03</v>
      </c>
      <c r="H100" s="963"/>
      <c r="I100" s="53">
        <f t="shared" si="26"/>
        <v>0.03</v>
      </c>
      <c r="J100" s="963"/>
      <c r="K100" s="53">
        <f t="shared" si="27"/>
        <v>0.03</v>
      </c>
      <c r="L100" s="963"/>
      <c r="M100" s="53">
        <f t="shared" si="28"/>
        <v>0.02</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0.1</v>
      </c>
      <c r="F101" s="963"/>
      <c r="G101" s="53">
        <f t="shared" si="25"/>
        <v>0.03</v>
      </c>
      <c r="H101" s="963"/>
      <c r="I101" s="53">
        <f t="shared" si="26"/>
        <v>0.03</v>
      </c>
      <c r="J101" s="963"/>
      <c r="K101" s="53">
        <f t="shared" si="27"/>
        <v>0.03</v>
      </c>
      <c r="L101" s="963"/>
      <c r="M101" s="53">
        <f t="shared" si="28"/>
        <v>0.02</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0.1</v>
      </c>
      <c r="F102" s="963"/>
      <c r="G102" s="53">
        <f t="shared" si="25"/>
        <v>0.03</v>
      </c>
      <c r="H102" s="963"/>
      <c r="I102" s="53">
        <f t="shared" si="26"/>
        <v>0.03</v>
      </c>
      <c r="J102" s="963"/>
      <c r="K102" s="53">
        <f t="shared" si="27"/>
        <v>0.03</v>
      </c>
      <c r="L102" s="963"/>
      <c r="M102" s="53">
        <f t="shared" si="28"/>
        <v>0.02</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0.1</v>
      </c>
      <c r="F103" s="963"/>
      <c r="G103" s="53">
        <f t="shared" si="25"/>
        <v>0.03</v>
      </c>
      <c r="H103" s="963"/>
      <c r="I103" s="53">
        <f t="shared" si="26"/>
        <v>0.03</v>
      </c>
      <c r="J103" s="963"/>
      <c r="K103" s="53">
        <f t="shared" si="27"/>
        <v>0.03</v>
      </c>
      <c r="L103" s="963"/>
      <c r="M103" s="53">
        <f t="shared" si="28"/>
        <v>0.02</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0.1</v>
      </c>
      <c r="F104" s="963"/>
      <c r="G104" s="53">
        <f t="shared" si="25"/>
        <v>0.03</v>
      </c>
      <c r="H104" s="963"/>
      <c r="I104" s="53">
        <f t="shared" si="26"/>
        <v>0.03</v>
      </c>
      <c r="J104" s="963"/>
      <c r="K104" s="53">
        <f t="shared" si="27"/>
        <v>0.03</v>
      </c>
      <c r="L104" s="963"/>
      <c r="M104" s="53">
        <f t="shared" si="28"/>
        <v>0.02</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0.1</v>
      </c>
      <c r="F105" s="963"/>
      <c r="G105" s="53">
        <f t="shared" si="25"/>
        <v>0.03</v>
      </c>
      <c r="H105" s="963"/>
      <c r="I105" s="53">
        <f t="shared" si="26"/>
        <v>0.03</v>
      </c>
      <c r="J105" s="963"/>
      <c r="K105" s="53">
        <f t="shared" si="27"/>
        <v>0.03</v>
      </c>
      <c r="L105" s="963"/>
      <c r="M105" s="53">
        <f t="shared" si="28"/>
        <v>0.02</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0.1</v>
      </c>
      <c r="F106" s="963"/>
      <c r="G106" s="53">
        <f t="shared" si="25"/>
        <v>0.03</v>
      </c>
      <c r="H106" s="963"/>
      <c r="I106" s="53">
        <f t="shared" si="26"/>
        <v>0.03</v>
      </c>
      <c r="J106" s="963"/>
      <c r="K106" s="53">
        <f t="shared" si="27"/>
        <v>0.03</v>
      </c>
      <c r="L106" s="963"/>
      <c r="M106" s="53">
        <f t="shared" si="28"/>
        <v>0.02</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0.1</v>
      </c>
      <c r="F107" s="963"/>
      <c r="G107" s="53">
        <f t="shared" si="25"/>
        <v>0.03</v>
      </c>
      <c r="H107" s="963"/>
      <c r="I107" s="53">
        <f t="shared" si="26"/>
        <v>0.03</v>
      </c>
      <c r="J107" s="963"/>
      <c r="K107" s="53">
        <f t="shared" si="27"/>
        <v>0.03</v>
      </c>
      <c r="L107" s="963"/>
      <c r="M107" s="53">
        <f t="shared" si="28"/>
        <v>0.02</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0.1</v>
      </c>
      <c r="F108" s="963"/>
      <c r="G108" s="53">
        <f t="shared" si="25"/>
        <v>0.03</v>
      </c>
      <c r="H108" s="963"/>
      <c r="I108" s="53">
        <f t="shared" si="26"/>
        <v>0.03</v>
      </c>
      <c r="J108" s="963"/>
      <c r="K108" s="53">
        <f t="shared" si="27"/>
        <v>0.03</v>
      </c>
      <c r="L108" s="963"/>
      <c r="M108" s="53">
        <f t="shared" si="28"/>
        <v>0.02</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0.1</v>
      </c>
      <c r="F109" s="963"/>
      <c r="G109" s="53">
        <f t="shared" si="25"/>
        <v>0.03</v>
      </c>
      <c r="H109" s="963"/>
      <c r="I109" s="53">
        <f t="shared" si="26"/>
        <v>0.03</v>
      </c>
      <c r="J109" s="963"/>
      <c r="K109" s="53">
        <f t="shared" si="27"/>
        <v>0.03</v>
      </c>
      <c r="L109" s="963"/>
      <c r="M109" s="53">
        <f t="shared" si="28"/>
        <v>0.02</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0.1</v>
      </c>
      <c r="F110" s="963"/>
      <c r="G110" s="53">
        <f t="shared" si="25"/>
        <v>0.03</v>
      </c>
      <c r="H110" s="963"/>
      <c r="I110" s="53">
        <f t="shared" si="26"/>
        <v>0.03</v>
      </c>
      <c r="J110" s="963"/>
      <c r="K110" s="53">
        <f t="shared" si="27"/>
        <v>0.03</v>
      </c>
      <c r="L110" s="963"/>
      <c r="M110" s="53">
        <f t="shared" si="28"/>
        <v>0.02</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0.1</v>
      </c>
      <c r="F111" s="963"/>
      <c r="G111" s="53">
        <f t="shared" si="25"/>
        <v>0.03</v>
      </c>
      <c r="H111" s="963"/>
      <c r="I111" s="53">
        <f t="shared" si="26"/>
        <v>0.03</v>
      </c>
      <c r="J111" s="963"/>
      <c r="K111" s="53">
        <f t="shared" si="27"/>
        <v>0.03</v>
      </c>
      <c r="L111" s="963"/>
      <c r="M111" s="53">
        <f t="shared" si="28"/>
        <v>0.02</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0.1</v>
      </c>
      <c r="F112" s="963"/>
      <c r="G112" s="53">
        <f t="shared" si="25"/>
        <v>0.03</v>
      </c>
      <c r="H112" s="963"/>
      <c r="I112" s="53">
        <f t="shared" si="26"/>
        <v>0.03</v>
      </c>
      <c r="J112" s="963"/>
      <c r="K112" s="53">
        <f t="shared" si="27"/>
        <v>0.03</v>
      </c>
      <c r="L112" s="963"/>
      <c r="M112" s="53">
        <f t="shared" si="28"/>
        <v>0.02</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0.1</v>
      </c>
      <c r="F113" s="963"/>
      <c r="G113" s="53">
        <f t="shared" si="25"/>
        <v>0.03</v>
      </c>
      <c r="H113" s="963"/>
      <c r="I113" s="53">
        <f t="shared" si="26"/>
        <v>0.03</v>
      </c>
      <c r="J113" s="963"/>
      <c r="K113" s="53">
        <f t="shared" si="27"/>
        <v>0.03</v>
      </c>
      <c r="L113" s="963"/>
      <c r="M113" s="53">
        <f t="shared" si="28"/>
        <v>0.02</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0.1</v>
      </c>
      <c r="F114" s="963"/>
      <c r="G114" s="53">
        <f t="shared" si="25"/>
        <v>0.03</v>
      </c>
      <c r="H114" s="963"/>
      <c r="I114" s="53">
        <f t="shared" si="26"/>
        <v>0.03</v>
      </c>
      <c r="J114" s="963"/>
      <c r="K114" s="53">
        <f t="shared" si="27"/>
        <v>0.03</v>
      </c>
      <c r="L114" s="963"/>
      <c r="M114" s="53">
        <f t="shared" si="28"/>
        <v>0.02</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0.1</v>
      </c>
      <c r="F115" s="963"/>
      <c r="G115" s="53">
        <f t="shared" si="25"/>
        <v>0.03</v>
      </c>
      <c r="H115" s="963"/>
      <c r="I115" s="53">
        <f t="shared" si="26"/>
        <v>0.03</v>
      </c>
      <c r="J115" s="963"/>
      <c r="K115" s="53">
        <f t="shared" si="27"/>
        <v>0.03</v>
      </c>
      <c r="L115" s="963"/>
      <c r="M115" s="53">
        <f t="shared" si="28"/>
        <v>0.02</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0.1</v>
      </c>
      <c r="F116" s="963"/>
      <c r="G116" s="53">
        <f t="shared" si="25"/>
        <v>0.03</v>
      </c>
      <c r="H116" s="963"/>
      <c r="I116" s="53">
        <f t="shared" si="26"/>
        <v>0.03</v>
      </c>
      <c r="J116" s="963"/>
      <c r="K116" s="53">
        <f t="shared" si="27"/>
        <v>0.03</v>
      </c>
      <c r="L116" s="963"/>
      <c r="M116" s="53">
        <f t="shared" si="28"/>
        <v>0.02</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0.1</v>
      </c>
      <c r="F117" s="963"/>
      <c r="G117" s="53">
        <f t="shared" si="25"/>
        <v>0.03</v>
      </c>
      <c r="H117" s="963"/>
      <c r="I117" s="53">
        <f t="shared" si="26"/>
        <v>0.03</v>
      </c>
      <c r="J117" s="963"/>
      <c r="K117" s="53">
        <f t="shared" si="27"/>
        <v>0.03</v>
      </c>
      <c r="L117" s="963"/>
      <c r="M117" s="53">
        <f t="shared" si="28"/>
        <v>0.02</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0.1</v>
      </c>
      <c r="F118" s="963"/>
      <c r="G118" s="53">
        <f t="shared" si="25"/>
        <v>0.03</v>
      </c>
      <c r="H118" s="963"/>
      <c r="I118" s="53">
        <f t="shared" si="26"/>
        <v>0.03</v>
      </c>
      <c r="J118" s="963"/>
      <c r="K118" s="53">
        <f t="shared" si="27"/>
        <v>0.03</v>
      </c>
      <c r="L118" s="963"/>
      <c r="M118" s="53">
        <f t="shared" si="28"/>
        <v>0.02</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0.1</v>
      </c>
      <c r="F119" s="963"/>
      <c r="G119" s="53">
        <f t="shared" si="25"/>
        <v>0.03</v>
      </c>
      <c r="H119" s="963"/>
      <c r="I119" s="53">
        <f t="shared" si="26"/>
        <v>0.03</v>
      </c>
      <c r="J119" s="963"/>
      <c r="K119" s="53">
        <f t="shared" si="27"/>
        <v>0.03</v>
      </c>
      <c r="L119" s="963"/>
      <c r="M119" s="53">
        <f t="shared" si="28"/>
        <v>0.02</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0.1</v>
      </c>
      <c r="F120" s="963"/>
      <c r="G120" s="53">
        <f t="shared" si="25"/>
        <v>0.03</v>
      </c>
      <c r="H120" s="963"/>
      <c r="I120" s="53">
        <f t="shared" si="26"/>
        <v>0.03</v>
      </c>
      <c r="J120" s="963"/>
      <c r="K120" s="53">
        <f t="shared" si="27"/>
        <v>0.03</v>
      </c>
      <c r="L120" s="963"/>
      <c r="M120" s="53">
        <f t="shared" si="28"/>
        <v>0.02</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0.1</v>
      </c>
      <c r="F121" s="963"/>
      <c r="G121" s="53">
        <f t="shared" si="25"/>
        <v>0.03</v>
      </c>
      <c r="H121" s="963"/>
      <c r="I121" s="53">
        <f t="shared" si="26"/>
        <v>0.03</v>
      </c>
      <c r="J121" s="963"/>
      <c r="K121" s="53">
        <f t="shared" si="27"/>
        <v>0.03</v>
      </c>
      <c r="L121" s="963"/>
      <c r="M121" s="53">
        <f t="shared" si="28"/>
        <v>0.02</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0.1</v>
      </c>
      <c r="F122" s="963"/>
      <c r="G122" s="53">
        <f t="shared" si="25"/>
        <v>0.03</v>
      </c>
      <c r="H122" s="963"/>
      <c r="I122" s="53">
        <f t="shared" si="26"/>
        <v>0.03</v>
      </c>
      <c r="J122" s="963"/>
      <c r="K122" s="53">
        <f t="shared" si="27"/>
        <v>0.03</v>
      </c>
      <c r="L122" s="963"/>
      <c r="M122" s="53">
        <f t="shared" si="28"/>
        <v>0.02</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0.1</v>
      </c>
      <c r="F123" s="963"/>
      <c r="G123" s="53">
        <f t="shared" si="25"/>
        <v>0.03</v>
      </c>
      <c r="H123" s="963"/>
      <c r="I123" s="53">
        <f t="shared" si="26"/>
        <v>0.03</v>
      </c>
      <c r="J123" s="963"/>
      <c r="K123" s="53">
        <f t="shared" si="27"/>
        <v>0.03</v>
      </c>
      <c r="L123" s="963"/>
      <c r="M123" s="53">
        <f t="shared" si="28"/>
        <v>0.02</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0.1</v>
      </c>
      <c r="F124" s="963"/>
      <c r="G124" s="53">
        <f t="shared" si="25"/>
        <v>0.03</v>
      </c>
      <c r="H124" s="963"/>
      <c r="I124" s="53">
        <f t="shared" si="26"/>
        <v>0.03</v>
      </c>
      <c r="J124" s="963"/>
      <c r="K124" s="53">
        <f t="shared" si="27"/>
        <v>0.03</v>
      </c>
      <c r="L124" s="963"/>
      <c r="M124" s="53">
        <f t="shared" si="28"/>
        <v>0.02</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0.1</v>
      </c>
      <c r="F125" s="963"/>
      <c r="G125" s="53">
        <f t="shared" si="25"/>
        <v>0.03</v>
      </c>
      <c r="H125" s="963"/>
      <c r="I125" s="53">
        <f t="shared" si="26"/>
        <v>0.03</v>
      </c>
      <c r="J125" s="963"/>
      <c r="K125" s="53">
        <f t="shared" si="27"/>
        <v>0.03</v>
      </c>
      <c r="L125" s="963"/>
      <c r="M125" s="53">
        <f t="shared" si="28"/>
        <v>0.02</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0.1</v>
      </c>
      <c r="F126" s="963"/>
      <c r="G126" s="53">
        <f t="shared" si="25"/>
        <v>0.03</v>
      </c>
      <c r="H126" s="963"/>
      <c r="I126" s="53">
        <f t="shared" si="26"/>
        <v>0.03</v>
      </c>
      <c r="J126" s="963"/>
      <c r="K126" s="53">
        <f t="shared" si="27"/>
        <v>0.03</v>
      </c>
      <c r="L126" s="963"/>
      <c r="M126" s="53">
        <f t="shared" si="28"/>
        <v>0.02</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0.1</v>
      </c>
      <c r="F127" s="963"/>
      <c r="G127" s="53">
        <f t="shared" si="25"/>
        <v>0.03</v>
      </c>
      <c r="H127" s="963"/>
      <c r="I127" s="53">
        <f t="shared" si="26"/>
        <v>0.03</v>
      </c>
      <c r="J127" s="963"/>
      <c r="K127" s="53">
        <f t="shared" si="27"/>
        <v>0.03</v>
      </c>
      <c r="L127" s="963"/>
      <c r="M127" s="53">
        <f t="shared" si="28"/>
        <v>0.02</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0.1</v>
      </c>
      <c r="F128" s="963"/>
      <c r="G128" s="53">
        <f t="shared" si="25"/>
        <v>0.03</v>
      </c>
      <c r="H128" s="963"/>
      <c r="I128" s="53">
        <f t="shared" si="26"/>
        <v>0.03</v>
      </c>
      <c r="J128" s="963"/>
      <c r="K128" s="53">
        <f t="shared" si="27"/>
        <v>0.03</v>
      </c>
      <c r="L128" s="963"/>
      <c r="M128" s="53">
        <f t="shared" si="28"/>
        <v>0.02</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0.1</v>
      </c>
      <c r="F129" s="963"/>
      <c r="G129" s="53">
        <f t="shared" si="25"/>
        <v>0.03</v>
      </c>
      <c r="H129" s="963"/>
      <c r="I129" s="53">
        <f t="shared" si="26"/>
        <v>0.03</v>
      </c>
      <c r="J129" s="963"/>
      <c r="K129" s="53">
        <f t="shared" si="27"/>
        <v>0.03</v>
      </c>
      <c r="L129" s="963"/>
      <c r="M129" s="53">
        <f t="shared" si="28"/>
        <v>0.02</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0.1</v>
      </c>
      <c r="F130" s="963"/>
      <c r="G130" s="53">
        <f t="shared" si="25"/>
        <v>0.03</v>
      </c>
      <c r="H130" s="963"/>
      <c r="I130" s="53">
        <f t="shared" si="26"/>
        <v>0.03</v>
      </c>
      <c r="J130" s="963"/>
      <c r="K130" s="53">
        <f t="shared" si="27"/>
        <v>0.03</v>
      </c>
      <c r="L130" s="963"/>
      <c r="M130" s="53">
        <f t="shared" si="28"/>
        <v>0.02</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0.1</v>
      </c>
      <c r="F131" s="963"/>
      <c r="G131" s="53">
        <f t="shared" si="25"/>
        <v>0.03</v>
      </c>
      <c r="H131" s="963"/>
      <c r="I131" s="53">
        <f t="shared" si="26"/>
        <v>0.03</v>
      </c>
      <c r="J131" s="963"/>
      <c r="K131" s="53">
        <f t="shared" si="27"/>
        <v>0.03</v>
      </c>
      <c r="L131" s="963"/>
      <c r="M131" s="53">
        <f t="shared" si="28"/>
        <v>0.02</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0.1</v>
      </c>
      <c r="F132" s="963"/>
      <c r="G132" s="53">
        <f t="shared" si="25"/>
        <v>0.03</v>
      </c>
      <c r="H132" s="963"/>
      <c r="I132" s="53">
        <f t="shared" si="26"/>
        <v>0.03</v>
      </c>
      <c r="J132" s="963"/>
      <c r="K132" s="53">
        <f t="shared" si="27"/>
        <v>0.03</v>
      </c>
      <c r="L132" s="963"/>
      <c r="M132" s="53">
        <f t="shared" si="28"/>
        <v>0.02</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0.1</v>
      </c>
      <c r="F133" s="963"/>
      <c r="G133" s="53">
        <f t="shared" si="25"/>
        <v>0.03</v>
      </c>
      <c r="H133" s="963"/>
      <c r="I133" s="53">
        <f t="shared" si="26"/>
        <v>0.03</v>
      </c>
      <c r="J133" s="963"/>
      <c r="K133" s="53">
        <f t="shared" si="27"/>
        <v>0.03</v>
      </c>
      <c r="L133" s="963"/>
      <c r="M133" s="53">
        <f t="shared" si="28"/>
        <v>0.02</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0.1</v>
      </c>
      <c r="F134" s="963"/>
      <c r="G134" s="53">
        <f t="shared" si="25"/>
        <v>0.03</v>
      </c>
      <c r="H134" s="963"/>
      <c r="I134" s="53">
        <f t="shared" si="26"/>
        <v>0.03</v>
      </c>
      <c r="J134" s="963"/>
      <c r="K134" s="53">
        <f t="shared" si="27"/>
        <v>0.03</v>
      </c>
      <c r="L134" s="963"/>
      <c r="M134" s="53">
        <f t="shared" si="28"/>
        <v>0.02</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0.1</v>
      </c>
      <c r="F135" s="963"/>
      <c r="G135" s="53">
        <f t="shared" si="25"/>
        <v>0.03</v>
      </c>
      <c r="H135" s="963"/>
      <c r="I135" s="53">
        <f t="shared" si="26"/>
        <v>0.03</v>
      </c>
      <c r="J135" s="963"/>
      <c r="K135" s="53">
        <f t="shared" si="27"/>
        <v>0.03</v>
      </c>
      <c r="L135" s="963"/>
      <c r="M135" s="53">
        <f t="shared" si="28"/>
        <v>0.02</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0.1</v>
      </c>
      <c r="F136" s="963"/>
      <c r="G136" s="53">
        <f t="shared" si="25"/>
        <v>0.03</v>
      </c>
      <c r="H136" s="963"/>
      <c r="I136" s="53">
        <f t="shared" si="26"/>
        <v>0.03</v>
      </c>
      <c r="J136" s="963"/>
      <c r="K136" s="53">
        <f t="shared" si="27"/>
        <v>0.03</v>
      </c>
      <c r="L136" s="963"/>
      <c r="M136" s="53">
        <f t="shared" si="28"/>
        <v>0.02</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0.1</v>
      </c>
      <c r="F137" s="963"/>
      <c r="G137" s="53">
        <f t="shared" si="25"/>
        <v>0.03</v>
      </c>
      <c r="H137" s="963"/>
      <c r="I137" s="53">
        <f t="shared" si="26"/>
        <v>0.03</v>
      </c>
      <c r="J137" s="963"/>
      <c r="K137" s="53">
        <f t="shared" si="27"/>
        <v>0.03</v>
      </c>
      <c r="L137" s="963"/>
      <c r="M137" s="53">
        <f t="shared" si="28"/>
        <v>0.02</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0.1</v>
      </c>
      <c r="F138" s="963"/>
      <c r="G138" s="53">
        <f t="shared" si="25"/>
        <v>0.03</v>
      </c>
      <c r="H138" s="963"/>
      <c r="I138" s="53">
        <f t="shared" si="26"/>
        <v>0.03</v>
      </c>
      <c r="J138" s="963"/>
      <c r="K138" s="53">
        <f t="shared" si="27"/>
        <v>0.03</v>
      </c>
      <c r="L138" s="963"/>
      <c r="M138" s="53">
        <f t="shared" si="28"/>
        <v>0.02</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0.1</v>
      </c>
      <c r="F139" s="963"/>
      <c r="G139" s="53">
        <f t="shared" si="25"/>
        <v>0.03</v>
      </c>
      <c r="H139" s="963"/>
      <c r="I139" s="53">
        <f t="shared" si="26"/>
        <v>0.03</v>
      </c>
      <c r="J139" s="963"/>
      <c r="K139" s="53">
        <f t="shared" si="27"/>
        <v>0.03</v>
      </c>
      <c r="L139" s="963"/>
      <c r="M139" s="53">
        <f t="shared" si="28"/>
        <v>0.02</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0.1</v>
      </c>
      <c r="F140" s="963"/>
      <c r="G140" s="53">
        <f t="shared" si="25"/>
        <v>0.03</v>
      </c>
      <c r="H140" s="963"/>
      <c r="I140" s="53">
        <f t="shared" si="26"/>
        <v>0.03</v>
      </c>
      <c r="J140" s="963"/>
      <c r="K140" s="53">
        <f t="shared" si="27"/>
        <v>0.03</v>
      </c>
      <c r="L140" s="963"/>
      <c r="M140" s="53">
        <f t="shared" si="28"/>
        <v>0.02</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0.1</v>
      </c>
      <c r="F141" s="963"/>
      <c r="G141" s="53">
        <f t="shared" si="25"/>
        <v>0.03</v>
      </c>
      <c r="H141" s="963"/>
      <c r="I141" s="53">
        <f t="shared" si="26"/>
        <v>0.03</v>
      </c>
      <c r="J141" s="963"/>
      <c r="K141" s="53">
        <f t="shared" si="27"/>
        <v>0.03</v>
      </c>
      <c r="L141" s="963"/>
      <c r="M141" s="53">
        <f t="shared" si="28"/>
        <v>0.02</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0.1</v>
      </c>
      <c r="F142" s="963"/>
      <c r="G142" s="53">
        <f t="shared" si="25"/>
        <v>0.03</v>
      </c>
      <c r="H142" s="963"/>
      <c r="I142" s="53">
        <f t="shared" si="26"/>
        <v>0.03</v>
      </c>
      <c r="J142" s="963"/>
      <c r="K142" s="53">
        <f t="shared" si="27"/>
        <v>0.03</v>
      </c>
      <c r="L142" s="963"/>
      <c r="M142" s="53">
        <f t="shared" si="28"/>
        <v>0.02</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0.1</v>
      </c>
      <c r="F143" s="963"/>
      <c r="G143" s="53">
        <f t="shared" si="25"/>
        <v>0.03</v>
      </c>
      <c r="H143" s="963"/>
      <c r="I143" s="53">
        <f t="shared" si="26"/>
        <v>0.03</v>
      </c>
      <c r="J143" s="963"/>
      <c r="K143" s="53">
        <f t="shared" si="27"/>
        <v>0.03</v>
      </c>
      <c r="L143" s="963"/>
      <c r="M143" s="53">
        <f t="shared" si="28"/>
        <v>0.02</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0.1</v>
      </c>
      <c r="F144" s="963"/>
      <c r="G144" s="53">
        <f t="shared" si="25"/>
        <v>0.03</v>
      </c>
      <c r="H144" s="963"/>
      <c r="I144" s="53">
        <f t="shared" si="26"/>
        <v>0.03</v>
      </c>
      <c r="J144" s="963"/>
      <c r="K144" s="53">
        <f t="shared" si="27"/>
        <v>0.03</v>
      </c>
      <c r="L144" s="963"/>
      <c r="M144" s="53">
        <f t="shared" si="28"/>
        <v>0.02</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0.1</v>
      </c>
      <c r="F145" s="963"/>
      <c r="G145" s="53">
        <f t="shared" si="25"/>
        <v>0.03</v>
      </c>
      <c r="H145" s="963"/>
      <c r="I145" s="53">
        <f t="shared" si="26"/>
        <v>0.03</v>
      </c>
      <c r="J145" s="963"/>
      <c r="K145" s="53">
        <f t="shared" si="27"/>
        <v>0.03</v>
      </c>
      <c r="L145" s="963"/>
      <c r="M145" s="53">
        <f t="shared" si="28"/>
        <v>0.02</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0.1</v>
      </c>
      <c r="F146" s="963"/>
      <c r="G146" s="53">
        <f t="shared" si="25"/>
        <v>0.03</v>
      </c>
      <c r="H146" s="963"/>
      <c r="I146" s="53">
        <f t="shared" si="26"/>
        <v>0.03</v>
      </c>
      <c r="J146" s="963"/>
      <c r="K146" s="53">
        <f t="shared" si="27"/>
        <v>0.03</v>
      </c>
      <c r="L146" s="963"/>
      <c r="M146" s="53">
        <f t="shared" si="28"/>
        <v>0.02</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0.1</v>
      </c>
      <c r="F147" s="963"/>
      <c r="G147" s="53">
        <f t="shared" si="25"/>
        <v>0.03</v>
      </c>
      <c r="H147" s="963"/>
      <c r="I147" s="53">
        <f t="shared" si="26"/>
        <v>0.03</v>
      </c>
      <c r="J147" s="963"/>
      <c r="K147" s="53">
        <f t="shared" si="27"/>
        <v>0.03</v>
      </c>
      <c r="L147" s="963"/>
      <c r="M147" s="53">
        <f t="shared" si="28"/>
        <v>0.02</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0.1</v>
      </c>
      <c r="F148" s="963"/>
      <c r="G148" s="53">
        <f t="shared" si="25"/>
        <v>0.03</v>
      </c>
      <c r="H148" s="963"/>
      <c r="I148" s="53">
        <f t="shared" si="26"/>
        <v>0.03</v>
      </c>
      <c r="J148" s="963"/>
      <c r="K148" s="53">
        <f t="shared" si="27"/>
        <v>0.03</v>
      </c>
      <c r="L148" s="963"/>
      <c r="M148" s="53">
        <f t="shared" si="28"/>
        <v>0.02</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0.1</v>
      </c>
      <c r="F149" s="963"/>
      <c r="G149" s="53">
        <f t="shared" si="25"/>
        <v>0.03</v>
      </c>
      <c r="H149" s="963"/>
      <c r="I149" s="53">
        <f t="shared" si="26"/>
        <v>0.03</v>
      </c>
      <c r="J149" s="963"/>
      <c r="K149" s="53">
        <f t="shared" si="27"/>
        <v>0.03</v>
      </c>
      <c r="L149" s="963"/>
      <c r="M149" s="53">
        <f t="shared" si="28"/>
        <v>0.02</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0.1</v>
      </c>
      <c r="F150" s="963"/>
      <c r="G150" s="53">
        <f t="shared" si="25"/>
        <v>0.03</v>
      </c>
      <c r="H150" s="963"/>
      <c r="I150" s="53">
        <f t="shared" si="26"/>
        <v>0.03</v>
      </c>
      <c r="J150" s="963"/>
      <c r="K150" s="53">
        <f t="shared" si="27"/>
        <v>0.03</v>
      </c>
      <c r="L150" s="963"/>
      <c r="M150" s="53">
        <f t="shared" si="28"/>
        <v>0.02</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0.1</v>
      </c>
      <c r="F151" s="963"/>
      <c r="G151" s="53">
        <f t="shared" si="25"/>
        <v>0.03</v>
      </c>
      <c r="H151" s="963"/>
      <c r="I151" s="53">
        <f t="shared" si="26"/>
        <v>0.03</v>
      </c>
      <c r="J151" s="963"/>
      <c r="K151" s="53">
        <f t="shared" si="27"/>
        <v>0.03</v>
      </c>
      <c r="L151" s="963"/>
      <c r="M151" s="53">
        <f t="shared" si="28"/>
        <v>0.02</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0.1</v>
      </c>
      <c r="F152" s="963"/>
      <c r="G152" s="53">
        <f t="shared" si="25"/>
        <v>0.03</v>
      </c>
      <c r="H152" s="963"/>
      <c r="I152" s="53">
        <f t="shared" si="26"/>
        <v>0.03</v>
      </c>
      <c r="J152" s="963"/>
      <c r="K152" s="53">
        <f t="shared" si="27"/>
        <v>0.03</v>
      </c>
      <c r="L152" s="963"/>
      <c r="M152" s="53">
        <f t="shared" si="28"/>
        <v>0.02</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0.1</v>
      </c>
      <c r="F153" s="963"/>
      <c r="G153" s="53">
        <f t="shared" si="25"/>
        <v>0.03</v>
      </c>
      <c r="H153" s="963"/>
      <c r="I153" s="53">
        <f t="shared" si="26"/>
        <v>0.03</v>
      </c>
      <c r="J153" s="963"/>
      <c r="K153" s="53">
        <f t="shared" si="27"/>
        <v>0.03</v>
      </c>
      <c r="L153" s="963"/>
      <c r="M153" s="53">
        <f t="shared" si="28"/>
        <v>0.02</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0.1</v>
      </c>
      <c r="F154" s="963"/>
      <c r="G154" s="53">
        <f t="shared" ref="G154:G217" si="35">(SUMIF($7:$7,F154,$8:$8)-SUMIF($7:$7,$F$24,$8:$8)+100)/100</f>
        <v>0.03</v>
      </c>
      <c r="H154" s="963"/>
      <c r="I154" s="53">
        <f t="shared" ref="I154:I217" si="36">(SUMIF($9:$9,H154,$10:$10)-SUMIF($9:$9,$H$24,$10:$10)+100)/100</f>
        <v>0.03</v>
      </c>
      <c r="J154" s="963"/>
      <c r="K154" s="53">
        <f t="shared" ref="K154:K217" si="37">(SUMIF($11:$11,J154,$12:$12)-SUMIF($11:$11,$J$24,$12:$12)+100)/100</f>
        <v>0.03</v>
      </c>
      <c r="L154" s="963"/>
      <c r="M154" s="53">
        <f t="shared" ref="M154:M217" si="38">(SUMIF($13:$13,L154,$14:$14)-SUMIF($13:$13,$L$24,$14:$14)+100)/100</f>
        <v>0.02</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0.1</v>
      </c>
      <c r="F155" s="963"/>
      <c r="G155" s="53">
        <f t="shared" si="35"/>
        <v>0.03</v>
      </c>
      <c r="H155" s="963"/>
      <c r="I155" s="53">
        <f t="shared" si="36"/>
        <v>0.03</v>
      </c>
      <c r="J155" s="963"/>
      <c r="K155" s="53">
        <f t="shared" si="37"/>
        <v>0.03</v>
      </c>
      <c r="L155" s="963"/>
      <c r="M155" s="53">
        <f t="shared" si="38"/>
        <v>0.02</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0.1</v>
      </c>
      <c r="F156" s="963"/>
      <c r="G156" s="53">
        <f t="shared" si="35"/>
        <v>0.03</v>
      </c>
      <c r="H156" s="963"/>
      <c r="I156" s="53">
        <f t="shared" si="36"/>
        <v>0.03</v>
      </c>
      <c r="J156" s="963"/>
      <c r="K156" s="53">
        <f t="shared" si="37"/>
        <v>0.03</v>
      </c>
      <c r="L156" s="963"/>
      <c r="M156" s="53">
        <f t="shared" si="38"/>
        <v>0.02</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0.1</v>
      </c>
      <c r="F157" s="963"/>
      <c r="G157" s="53">
        <f t="shared" si="35"/>
        <v>0.03</v>
      </c>
      <c r="H157" s="963"/>
      <c r="I157" s="53">
        <f t="shared" si="36"/>
        <v>0.03</v>
      </c>
      <c r="J157" s="963"/>
      <c r="K157" s="53">
        <f t="shared" si="37"/>
        <v>0.03</v>
      </c>
      <c r="L157" s="963"/>
      <c r="M157" s="53">
        <f t="shared" si="38"/>
        <v>0.02</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0.1</v>
      </c>
      <c r="F158" s="963"/>
      <c r="G158" s="53">
        <f t="shared" si="35"/>
        <v>0.03</v>
      </c>
      <c r="H158" s="963"/>
      <c r="I158" s="53">
        <f t="shared" si="36"/>
        <v>0.03</v>
      </c>
      <c r="J158" s="963"/>
      <c r="K158" s="53">
        <f t="shared" si="37"/>
        <v>0.03</v>
      </c>
      <c r="L158" s="963"/>
      <c r="M158" s="53">
        <f t="shared" si="38"/>
        <v>0.02</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0.1</v>
      </c>
      <c r="F159" s="963"/>
      <c r="G159" s="53">
        <f t="shared" si="35"/>
        <v>0.03</v>
      </c>
      <c r="H159" s="963"/>
      <c r="I159" s="53">
        <f t="shared" si="36"/>
        <v>0.03</v>
      </c>
      <c r="J159" s="963"/>
      <c r="K159" s="53">
        <f t="shared" si="37"/>
        <v>0.03</v>
      </c>
      <c r="L159" s="963"/>
      <c r="M159" s="53">
        <f t="shared" si="38"/>
        <v>0.02</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0.1</v>
      </c>
      <c r="F160" s="963"/>
      <c r="G160" s="53">
        <f t="shared" si="35"/>
        <v>0.03</v>
      </c>
      <c r="H160" s="963"/>
      <c r="I160" s="53">
        <f t="shared" si="36"/>
        <v>0.03</v>
      </c>
      <c r="J160" s="963"/>
      <c r="K160" s="53">
        <f t="shared" si="37"/>
        <v>0.03</v>
      </c>
      <c r="L160" s="963"/>
      <c r="M160" s="53">
        <f t="shared" si="38"/>
        <v>0.02</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0.1</v>
      </c>
      <c r="F161" s="963"/>
      <c r="G161" s="53">
        <f t="shared" si="35"/>
        <v>0.03</v>
      </c>
      <c r="H161" s="963"/>
      <c r="I161" s="53">
        <f t="shared" si="36"/>
        <v>0.03</v>
      </c>
      <c r="J161" s="963"/>
      <c r="K161" s="53">
        <f t="shared" si="37"/>
        <v>0.03</v>
      </c>
      <c r="L161" s="963"/>
      <c r="M161" s="53">
        <f t="shared" si="38"/>
        <v>0.02</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0.1</v>
      </c>
      <c r="F162" s="963"/>
      <c r="G162" s="53">
        <f t="shared" si="35"/>
        <v>0.03</v>
      </c>
      <c r="H162" s="963"/>
      <c r="I162" s="53">
        <f t="shared" si="36"/>
        <v>0.03</v>
      </c>
      <c r="J162" s="963"/>
      <c r="K162" s="53">
        <f t="shared" si="37"/>
        <v>0.03</v>
      </c>
      <c r="L162" s="963"/>
      <c r="M162" s="53">
        <f t="shared" si="38"/>
        <v>0.02</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0.1</v>
      </c>
      <c r="F163" s="963"/>
      <c r="G163" s="53">
        <f t="shared" si="35"/>
        <v>0.03</v>
      </c>
      <c r="H163" s="963"/>
      <c r="I163" s="53">
        <f t="shared" si="36"/>
        <v>0.03</v>
      </c>
      <c r="J163" s="963"/>
      <c r="K163" s="53">
        <f t="shared" si="37"/>
        <v>0.03</v>
      </c>
      <c r="L163" s="963"/>
      <c r="M163" s="53">
        <f t="shared" si="38"/>
        <v>0.02</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0.1</v>
      </c>
      <c r="F164" s="963"/>
      <c r="G164" s="53">
        <f t="shared" si="35"/>
        <v>0.03</v>
      </c>
      <c r="H164" s="963"/>
      <c r="I164" s="53">
        <f t="shared" si="36"/>
        <v>0.03</v>
      </c>
      <c r="J164" s="963"/>
      <c r="K164" s="53">
        <f t="shared" si="37"/>
        <v>0.03</v>
      </c>
      <c r="L164" s="963"/>
      <c r="M164" s="53">
        <f t="shared" si="38"/>
        <v>0.02</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0.1</v>
      </c>
      <c r="F165" s="963"/>
      <c r="G165" s="53">
        <f t="shared" si="35"/>
        <v>0.03</v>
      </c>
      <c r="H165" s="963"/>
      <c r="I165" s="53">
        <f t="shared" si="36"/>
        <v>0.03</v>
      </c>
      <c r="J165" s="963"/>
      <c r="K165" s="53">
        <f t="shared" si="37"/>
        <v>0.03</v>
      </c>
      <c r="L165" s="963"/>
      <c r="M165" s="53">
        <f t="shared" si="38"/>
        <v>0.02</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0.1</v>
      </c>
      <c r="F166" s="963"/>
      <c r="G166" s="53">
        <f t="shared" si="35"/>
        <v>0.03</v>
      </c>
      <c r="H166" s="963"/>
      <c r="I166" s="53">
        <f t="shared" si="36"/>
        <v>0.03</v>
      </c>
      <c r="J166" s="963"/>
      <c r="K166" s="53">
        <f t="shared" si="37"/>
        <v>0.03</v>
      </c>
      <c r="L166" s="963"/>
      <c r="M166" s="53">
        <f t="shared" si="38"/>
        <v>0.02</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0.1</v>
      </c>
      <c r="F167" s="963"/>
      <c r="G167" s="53">
        <f t="shared" si="35"/>
        <v>0.03</v>
      </c>
      <c r="H167" s="963"/>
      <c r="I167" s="53">
        <f t="shared" si="36"/>
        <v>0.03</v>
      </c>
      <c r="J167" s="963"/>
      <c r="K167" s="53">
        <f t="shared" si="37"/>
        <v>0.03</v>
      </c>
      <c r="L167" s="963"/>
      <c r="M167" s="53">
        <f t="shared" si="38"/>
        <v>0.02</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0.1</v>
      </c>
      <c r="F168" s="963"/>
      <c r="G168" s="53">
        <f t="shared" si="35"/>
        <v>0.03</v>
      </c>
      <c r="H168" s="963"/>
      <c r="I168" s="53">
        <f t="shared" si="36"/>
        <v>0.03</v>
      </c>
      <c r="J168" s="963"/>
      <c r="K168" s="53">
        <f t="shared" si="37"/>
        <v>0.03</v>
      </c>
      <c r="L168" s="963"/>
      <c r="M168" s="53">
        <f t="shared" si="38"/>
        <v>0.02</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0.1</v>
      </c>
      <c r="F169" s="963"/>
      <c r="G169" s="53">
        <f t="shared" si="35"/>
        <v>0.03</v>
      </c>
      <c r="H169" s="963"/>
      <c r="I169" s="53">
        <f t="shared" si="36"/>
        <v>0.03</v>
      </c>
      <c r="J169" s="963"/>
      <c r="K169" s="53">
        <f t="shared" si="37"/>
        <v>0.03</v>
      </c>
      <c r="L169" s="963"/>
      <c r="M169" s="53">
        <f t="shared" si="38"/>
        <v>0.02</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0.1</v>
      </c>
      <c r="F170" s="963"/>
      <c r="G170" s="53">
        <f t="shared" si="35"/>
        <v>0.03</v>
      </c>
      <c r="H170" s="963"/>
      <c r="I170" s="53">
        <f t="shared" si="36"/>
        <v>0.03</v>
      </c>
      <c r="J170" s="963"/>
      <c r="K170" s="53">
        <f t="shared" si="37"/>
        <v>0.03</v>
      </c>
      <c r="L170" s="963"/>
      <c r="M170" s="53">
        <f t="shared" si="38"/>
        <v>0.02</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0.1</v>
      </c>
      <c r="F171" s="963"/>
      <c r="G171" s="53">
        <f t="shared" si="35"/>
        <v>0.03</v>
      </c>
      <c r="H171" s="963"/>
      <c r="I171" s="53">
        <f t="shared" si="36"/>
        <v>0.03</v>
      </c>
      <c r="J171" s="963"/>
      <c r="K171" s="53">
        <f t="shared" si="37"/>
        <v>0.03</v>
      </c>
      <c r="L171" s="963"/>
      <c r="M171" s="53">
        <f t="shared" si="38"/>
        <v>0.02</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0.1</v>
      </c>
      <c r="F172" s="963"/>
      <c r="G172" s="53">
        <f t="shared" si="35"/>
        <v>0.03</v>
      </c>
      <c r="H172" s="963"/>
      <c r="I172" s="53">
        <f t="shared" si="36"/>
        <v>0.03</v>
      </c>
      <c r="J172" s="963"/>
      <c r="K172" s="53">
        <f t="shared" si="37"/>
        <v>0.03</v>
      </c>
      <c r="L172" s="963"/>
      <c r="M172" s="53">
        <f t="shared" si="38"/>
        <v>0.02</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0.1</v>
      </c>
      <c r="F173" s="963"/>
      <c r="G173" s="53">
        <f t="shared" si="35"/>
        <v>0.03</v>
      </c>
      <c r="H173" s="963"/>
      <c r="I173" s="53">
        <f t="shared" si="36"/>
        <v>0.03</v>
      </c>
      <c r="J173" s="963"/>
      <c r="K173" s="53">
        <f t="shared" si="37"/>
        <v>0.03</v>
      </c>
      <c r="L173" s="963"/>
      <c r="M173" s="53">
        <f t="shared" si="38"/>
        <v>0.02</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0.1</v>
      </c>
      <c r="F174" s="963"/>
      <c r="G174" s="53">
        <f t="shared" si="35"/>
        <v>0.03</v>
      </c>
      <c r="H174" s="963"/>
      <c r="I174" s="53">
        <f t="shared" si="36"/>
        <v>0.03</v>
      </c>
      <c r="J174" s="963"/>
      <c r="K174" s="53">
        <f t="shared" si="37"/>
        <v>0.03</v>
      </c>
      <c r="L174" s="963"/>
      <c r="M174" s="53">
        <f t="shared" si="38"/>
        <v>0.02</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0.1</v>
      </c>
      <c r="F175" s="963"/>
      <c r="G175" s="53">
        <f t="shared" si="35"/>
        <v>0.03</v>
      </c>
      <c r="H175" s="963"/>
      <c r="I175" s="53">
        <f t="shared" si="36"/>
        <v>0.03</v>
      </c>
      <c r="J175" s="963"/>
      <c r="K175" s="53">
        <f t="shared" si="37"/>
        <v>0.03</v>
      </c>
      <c r="L175" s="963"/>
      <c r="M175" s="53">
        <f t="shared" si="38"/>
        <v>0.02</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0.1</v>
      </c>
      <c r="F176" s="963"/>
      <c r="G176" s="53">
        <f t="shared" si="35"/>
        <v>0.03</v>
      </c>
      <c r="H176" s="963"/>
      <c r="I176" s="53">
        <f t="shared" si="36"/>
        <v>0.03</v>
      </c>
      <c r="J176" s="963"/>
      <c r="K176" s="53">
        <f t="shared" si="37"/>
        <v>0.03</v>
      </c>
      <c r="L176" s="963"/>
      <c r="M176" s="53">
        <f t="shared" si="38"/>
        <v>0.02</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0.1</v>
      </c>
      <c r="F177" s="963"/>
      <c r="G177" s="53">
        <f t="shared" si="35"/>
        <v>0.03</v>
      </c>
      <c r="H177" s="963"/>
      <c r="I177" s="53">
        <f t="shared" si="36"/>
        <v>0.03</v>
      </c>
      <c r="J177" s="963"/>
      <c r="K177" s="53">
        <f t="shared" si="37"/>
        <v>0.03</v>
      </c>
      <c r="L177" s="963"/>
      <c r="M177" s="53">
        <f t="shared" si="38"/>
        <v>0.02</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0.1</v>
      </c>
      <c r="F178" s="963"/>
      <c r="G178" s="53">
        <f t="shared" si="35"/>
        <v>0.03</v>
      </c>
      <c r="H178" s="963"/>
      <c r="I178" s="53">
        <f t="shared" si="36"/>
        <v>0.03</v>
      </c>
      <c r="J178" s="963"/>
      <c r="K178" s="53">
        <f t="shared" si="37"/>
        <v>0.03</v>
      </c>
      <c r="L178" s="963"/>
      <c r="M178" s="53">
        <f t="shared" si="38"/>
        <v>0.02</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0.1</v>
      </c>
      <c r="F179" s="963"/>
      <c r="G179" s="53">
        <f t="shared" si="35"/>
        <v>0.03</v>
      </c>
      <c r="H179" s="963"/>
      <c r="I179" s="53">
        <f t="shared" si="36"/>
        <v>0.03</v>
      </c>
      <c r="J179" s="963"/>
      <c r="K179" s="53">
        <f t="shared" si="37"/>
        <v>0.03</v>
      </c>
      <c r="L179" s="963"/>
      <c r="M179" s="53">
        <f t="shared" si="38"/>
        <v>0.02</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0.1</v>
      </c>
      <c r="F180" s="963"/>
      <c r="G180" s="53">
        <f t="shared" si="35"/>
        <v>0.03</v>
      </c>
      <c r="H180" s="963"/>
      <c r="I180" s="53">
        <f t="shared" si="36"/>
        <v>0.03</v>
      </c>
      <c r="J180" s="963"/>
      <c r="K180" s="53">
        <f t="shared" si="37"/>
        <v>0.03</v>
      </c>
      <c r="L180" s="963"/>
      <c r="M180" s="53">
        <f t="shared" si="38"/>
        <v>0.02</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0.1</v>
      </c>
      <c r="F181" s="963"/>
      <c r="G181" s="53">
        <f t="shared" si="35"/>
        <v>0.03</v>
      </c>
      <c r="H181" s="963"/>
      <c r="I181" s="53">
        <f t="shared" si="36"/>
        <v>0.03</v>
      </c>
      <c r="J181" s="963"/>
      <c r="K181" s="53">
        <f t="shared" si="37"/>
        <v>0.03</v>
      </c>
      <c r="L181" s="963"/>
      <c r="M181" s="53">
        <f t="shared" si="38"/>
        <v>0.02</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0.1</v>
      </c>
      <c r="F182" s="963"/>
      <c r="G182" s="53">
        <f t="shared" si="35"/>
        <v>0.03</v>
      </c>
      <c r="H182" s="963"/>
      <c r="I182" s="53">
        <f t="shared" si="36"/>
        <v>0.03</v>
      </c>
      <c r="J182" s="963"/>
      <c r="K182" s="53">
        <f t="shared" si="37"/>
        <v>0.03</v>
      </c>
      <c r="L182" s="963"/>
      <c r="M182" s="53">
        <f t="shared" si="38"/>
        <v>0.02</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0.1</v>
      </c>
      <c r="F183" s="963"/>
      <c r="G183" s="53">
        <f t="shared" si="35"/>
        <v>0.03</v>
      </c>
      <c r="H183" s="963"/>
      <c r="I183" s="53">
        <f t="shared" si="36"/>
        <v>0.03</v>
      </c>
      <c r="J183" s="963"/>
      <c r="K183" s="53">
        <f t="shared" si="37"/>
        <v>0.03</v>
      </c>
      <c r="L183" s="963"/>
      <c r="M183" s="53">
        <f t="shared" si="38"/>
        <v>0.02</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0.1</v>
      </c>
      <c r="F184" s="963"/>
      <c r="G184" s="53">
        <f t="shared" si="35"/>
        <v>0.03</v>
      </c>
      <c r="H184" s="963"/>
      <c r="I184" s="53">
        <f t="shared" si="36"/>
        <v>0.03</v>
      </c>
      <c r="J184" s="963"/>
      <c r="K184" s="53">
        <f t="shared" si="37"/>
        <v>0.03</v>
      </c>
      <c r="L184" s="963"/>
      <c r="M184" s="53">
        <f t="shared" si="38"/>
        <v>0.02</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0.1</v>
      </c>
      <c r="F185" s="963"/>
      <c r="G185" s="53">
        <f t="shared" si="35"/>
        <v>0.03</v>
      </c>
      <c r="H185" s="963"/>
      <c r="I185" s="53">
        <f t="shared" si="36"/>
        <v>0.03</v>
      </c>
      <c r="J185" s="963"/>
      <c r="K185" s="53">
        <f t="shared" si="37"/>
        <v>0.03</v>
      </c>
      <c r="L185" s="963"/>
      <c r="M185" s="53">
        <f t="shared" si="38"/>
        <v>0.02</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0.1</v>
      </c>
      <c r="F186" s="963"/>
      <c r="G186" s="53">
        <f t="shared" si="35"/>
        <v>0.03</v>
      </c>
      <c r="H186" s="963"/>
      <c r="I186" s="53">
        <f t="shared" si="36"/>
        <v>0.03</v>
      </c>
      <c r="J186" s="963"/>
      <c r="K186" s="53">
        <f t="shared" si="37"/>
        <v>0.03</v>
      </c>
      <c r="L186" s="963"/>
      <c r="M186" s="53">
        <f t="shared" si="38"/>
        <v>0.02</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0.1</v>
      </c>
      <c r="F187" s="963"/>
      <c r="G187" s="53">
        <f t="shared" si="35"/>
        <v>0.03</v>
      </c>
      <c r="H187" s="963"/>
      <c r="I187" s="53">
        <f t="shared" si="36"/>
        <v>0.03</v>
      </c>
      <c r="J187" s="963"/>
      <c r="K187" s="53">
        <f t="shared" si="37"/>
        <v>0.03</v>
      </c>
      <c r="L187" s="963"/>
      <c r="M187" s="53">
        <f t="shared" si="38"/>
        <v>0.02</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0.1</v>
      </c>
      <c r="F188" s="963"/>
      <c r="G188" s="53">
        <f t="shared" si="35"/>
        <v>0.03</v>
      </c>
      <c r="H188" s="963"/>
      <c r="I188" s="53">
        <f t="shared" si="36"/>
        <v>0.03</v>
      </c>
      <c r="J188" s="963"/>
      <c r="K188" s="53">
        <f t="shared" si="37"/>
        <v>0.03</v>
      </c>
      <c r="L188" s="963"/>
      <c r="M188" s="53">
        <f t="shared" si="38"/>
        <v>0.02</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0.1</v>
      </c>
      <c r="F189" s="963"/>
      <c r="G189" s="53">
        <f t="shared" si="35"/>
        <v>0.03</v>
      </c>
      <c r="H189" s="963"/>
      <c r="I189" s="53">
        <f t="shared" si="36"/>
        <v>0.03</v>
      </c>
      <c r="J189" s="963"/>
      <c r="K189" s="53">
        <f t="shared" si="37"/>
        <v>0.03</v>
      </c>
      <c r="L189" s="963"/>
      <c r="M189" s="53">
        <f t="shared" si="38"/>
        <v>0.02</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0.1</v>
      </c>
      <c r="F190" s="963"/>
      <c r="G190" s="53">
        <f t="shared" si="35"/>
        <v>0.03</v>
      </c>
      <c r="H190" s="963"/>
      <c r="I190" s="53">
        <f t="shared" si="36"/>
        <v>0.03</v>
      </c>
      <c r="J190" s="963"/>
      <c r="K190" s="53">
        <f t="shared" si="37"/>
        <v>0.03</v>
      </c>
      <c r="L190" s="963"/>
      <c r="M190" s="53">
        <f t="shared" si="38"/>
        <v>0.02</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0.1</v>
      </c>
      <c r="F191" s="963"/>
      <c r="G191" s="53">
        <f t="shared" si="35"/>
        <v>0.03</v>
      </c>
      <c r="H191" s="963"/>
      <c r="I191" s="53">
        <f t="shared" si="36"/>
        <v>0.03</v>
      </c>
      <c r="J191" s="963"/>
      <c r="K191" s="53">
        <f t="shared" si="37"/>
        <v>0.03</v>
      </c>
      <c r="L191" s="963"/>
      <c r="M191" s="53">
        <f t="shared" si="38"/>
        <v>0.02</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0.1</v>
      </c>
      <c r="F192" s="963"/>
      <c r="G192" s="53">
        <f t="shared" si="35"/>
        <v>0.03</v>
      </c>
      <c r="H192" s="963"/>
      <c r="I192" s="53">
        <f t="shared" si="36"/>
        <v>0.03</v>
      </c>
      <c r="J192" s="963"/>
      <c r="K192" s="53">
        <f t="shared" si="37"/>
        <v>0.03</v>
      </c>
      <c r="L192" s="963"/>
      <c r="M192" s="53">
        <f t="shared" si="38"/>
        <v>0.02</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0.1</v>
      </c>
      <c r="F193" s="963"/>
      <c r="G193" s="53">
        <f t="shared" si="35"/>
        <v>0.03</v>
      </c>
      <c r="H193" s="963"/>
      <c r="I193" s="53">
        <f t="shared" si="36"/>
        <v>0.03</v>
      </c>
      <c r="J193" s="963"/>
      <c r="K193" s="53">
        <f t="shared" si="37"/>
        <v>0.03</v>
      </c>
      <c r="L193" s="963"/>
      <c r="M193" s="53">
        <f t="shared" si="38"/>
        <v>0.02</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0.1</v>
      </c>
      <c r="F194" s="963"/>
      <c r="G194" s="53">
        <f t="shared" si="35"/>
        <v>0.03</v>
      </c>
      <c r="H194" s="963"/>
      <c r="I194" s="53">
        <f t="shared" si="36"/>
        <v>0.03</v>
      </c>
      <c r="J194" s="963"/>
      <c r="K194" s="53">
        <f t="shared" si="37"/>
        <v>0.03</v>
      </c>
      <c r="L194" s="963"/>
      <c r="M194" s="53">
        <f t="shared" si="38"/>
        <v>0.02</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0.1</v>
      </c>
      <c r="F195" s="963"/>
      <c r="G195" s="53">
        <f t="shared" si="35"/>
        <v>0.03</v>
      </c>
      <c r="H195" s="963"/>
      <c r="I195" s="53">
        <f t="shared" si="36"/>
        <v>0.03</v>
      </c>
      <c r="J195" s="963"/>
      <c r="K195" s="53">
        <f t="shared" si="37"/>
        <v>0.03</v>
      </c>
      <c r="L195" s="963"/>
      <c r="M195" s="53">
        <f t="shared" si="38"/>
        <v>0.02</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0.1</v>
      </c>
      <c r="F196" s="963"/>
      <c r="G196" s="53">
        <f t="shared" si="35"/>
        <v>0.03</v>
      </c>
      <c r="H196" s="963"/>
      <c r="I196" s="53">
        <f t="shared" si="36"/>
        <v>0.03</v>
      </c>
      <c r="J196" s="963"/>
      <c r="K196" s="53">
        <f t="shared" si="37"/>
        <v>0.03</v>
      </c>
      <c r="L196" s="963"/>
      <c r="M196" s="53">
        <f t="shared" si="38"/>
        <v>0.02</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0.1</v>
      </c>
      <c r="F197" s="963"/>
      <c r="G197" s="53">
        <f t="shared" si="35"/>
        <v>0.03</v>
      </c>
      <c r="H197" s="963"/>
      <c r="I197" s="53">
        <f t="shared" si="36"/>
        <v>0.03</v>
      </c>
      <c r="J197" s="963"/>
      <c r="K197" s="53">
        <f t="shared" si="37"/>
        <v>0.03</v>
      </c>
      <c r="L197" s="963"/>
      <c r="M197" s="53">
        <f t="shared" si="38"/>
        <v>0.02</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0.1</v>
      </c>
      <c r="F198" s="963"/>
      <c r="G198" s="53">
        <f t="shared" si="35"/>
        <v>0.03</v>
      </c>
      <c r="H198" s="963"/>
      <c r="I198" s="53">
        <f t="shared" si="36"/>
        <v>0.03</v>
      </c>
      <c r="J198" s="963"/>
      <c r="K198" s="53">
        <f t="shared" si="37"/>
        <v>0.03</v>
      </c>
      <c r="L198" s="963"/>
      <c r="M198" s="53">
        <f t="shared" si="38"/>
        <v>0.02</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0.1</v>
      </c>
      <c r="F199" s="963"/>
      <c r="G199" s="53">
        <f t="shared" si="35"/>
        <v>0.03</v>
      </c>
      <c r="H199" s="963"/>
      <c r="I199" s="53">
        <f t="shared" si="36"/>
        <v>0.03</v>
      </c>
      <c r="J199" s="963"/>
      <c r="K199" s="53">
        <f t="shared" si="37"/>
        <v>0.03</v>
      </c>
      <c r="L199" s="963"/>
      <c r="M199" s="53">
        <f t="shared" si="38"/>
        <v>0.02</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0.1</v>
      </c>
      <c r="F200" s="963"/>
      <c r="G200" s="53">
        <f t="shared" si="35"/>
        <v>0.03</v>
      </c>
      <c r="H200" s="963"/>
      <c r="I200" s="53">
        <f t="shared" si="36"/>
        <v>0.03</v>
      </c>
      <c r="J200" s="963"/>
      <c r="K200" s="53">
        <f t="shared" si="37"/>
        <v>0.03</v>
      </c>
      <c r="L200" s="963"/>
      <c r="M200" s="53">
        <f t="shared" si="38"/>
        <v>0.02</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0.1</v>
      </c>
      <c r="F201" s="963"/>
      <c r="G201" s="53">
        <f t="shared" si="35"/>
        <v>0.03</v>
      </c>
      <c r="H201" s="963"/>
      <c r="I201" s="53">
        <f t="shared" si="36"/>
        <v>0.03</v>
      </c>
      <c r="J201" s="963"/>
      <c r="K201" s="53">
        <f t="shared" si="37"/>
        <v>0.03</v>
      </c>
      <c r="L201" s="963"/>
      <c r="M201" s="53">
        <f t="shared" si="38"/>
        <v>0.02</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0.1</v>
      </c>
      <c r="F202" s="963"/>
      <c r="G202" s="53">
        <f t="shared" si="35"/>
        <v>0.03</v>
      </c>
      <c r="H202" s="963"/>
      <c r="I202" s="53">
        <f t="shared" si="36"/>
        <v>0.03</v>
      </c>
      <c r="J202" s="963"/>
      <c r="K202" s="53">
        <f t="shared" si="37"/>
        <v>0.03</v>
      </c>
      <c r="L202" s="963"/>
      <c r="M202" s="53">
        <f t="shared" si="38"/>
        <v>0.02</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0.1</v>
      </c>
      <c r="F203" s="963"/>
      <c r="G203" s="53">
        <f t="shared" si="35"/>
        <v>0.03</v>
      </c>
      <c r="H203" s="963"/>
      <c r="I203" s="53">
        <f t="shared" si="36"/>
        <v>0.03</v>
      </c>
      <c r="J203" s="963"/>
      <c r="K203" s="53">
        <f t="shared" si="37"/>
        <v>0.03</v>
      </c>
      <c r="L203" s="963"/>
      <c r="M203" s="53">
        <f t="shared" si="38"/>
        <v>0.02</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0.1</v>
      </c>
      <c r="F204" s="963"/>
      <c r="G204" s="53">
        <f t="shared" si="35"/>
        <v>0.03</v>
      </c>
      <c r="H204" s="963"/>
      <c r="I204" s="53">
        <f t="shared" si="36"/>
        <v>0.03</v>
      </c>
      <c r="J204" s="963"/>
      <c r="K204" s="53">
        <f t="shared" si="37"/>
        <v>0.03</v>
      </c>
      <c r="L204" s="963"/>
      <c r="M204" s="53">
        <f t="shared" si="38"/>
        <v>0.02</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0.1</v>
      </c>
      <c r="F205" s="963"/>
      <c r="G205" s="53">
        <f t="shared" si="35"/>
        <v>0.03</v>
      </c>
      <c r="H205" s="963"/>
      <c r="I205" s="53">
        <f t="shared" si="36"/>
        <v>0.03</v>
      </c>
      <c r="J205" s="963"/>
      <c r="K205" s="53">
        <f t="shared" si="37"/>
        <v>0.03</v>
      </c>
      <c r="L205" s="963"/>
      <c r="M205" s="53">
        <f t="shared" si="38"/>
        <v>0.02</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0.1</v>
      </c>
      <c r="F206" s="963"/>
      <c r="G206" s="53">
        <f t="shared" si="35"/>
        <v>0.03</v>
      </c>
      <c r="H206" s="963"/>
      <c r="I206" s="53">
        <f t="shared" si="36"/>
        <v>0.03</v>
      </c>
      <c r="J206" s="963"/>
      <c r="K206" s="53">
        <f t="shared" si="37"/>
        <v>0.03</v>
      </c>
      <c r="L206" s="963"/>
      <c r="M206" s="53">
        <f t="shared" si="38"/>
        <v>0.02</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0.1</v>
      </c>
      <c r="F207" s="963"/>
      <c r="G207" s="53">
        <f t="shared" si="35"/>
        <v>0.03</v>
      </c>
      <c r="H207" s="963"/>
      <c r="I207" s="53">
        <f t="shared" si="36"/>
        <v>0.03</v>
      </c>
      <c r="J207" s="963"/>
      <c r="K207" s="53">
        <f t="shared" si="37"/>
        <v>0.03</v>
      </c>
      <c r="L207" s="963"/>
      <c r="M207" s="53">
        <f t="shared" si="38"/>
        <v>0.02</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0.1</v>
      </c>
      <c r="F208" s="963"/>
      <c r="G208" s="53">
        <f t="shared" si="35"/>
        <v>0.03</v>
      </c>
      <c r="H208" s="963"/>
      <c r="I208" s="53">
        <f t="shared" si="36"/>
        <v>0.03</v>
      </c>
      <c r="J208" s="963"/>
      <c r="K208" s="53">
        <f t="shared" si="37"/>
        <v>0.03</v>
      </c>
      <c r="L208" s="963"/>
      <c r="M208" s="53">
        <f t="shared" si="38"/>
        <v>0.02</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0.1</v>
      </c>
      <c r="F209" s="963"/>
      <c r="G209" s="53">
        <f t="shared" si="35"/>
        <v>0.03</v>
      </c>
      <c r="H209" s="963"/>
      <c r="I209" s="53">
        <f t="shared" si="36"/>
        <v>0.03</v>
      </c>
      <c r="J209" s="963"/>
      <c r="K209" s="53">
        <f t="shared" si="37"/>
        <v>0.03</v>
      </c>
      <c r="L209" s="963"/>
      <c r="M209" s="53">
        <f t="shared" si="38"/>
        <v>0.02</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0.1</v>
      </c>
      <c r="F210" s="963"/>
      <c r="G210" s="53">
        <f t="shared" si="35"/>
        <v>0.03</v>
      </c>
      <c r="H210" s="963"/>
      <c r="I210" s="53">
        <f t="shared" si="36"/>
        <v>0.03</v>
      </c>
      <c r="J210" s="963"/>
      <c r="K210" s="53">
        <f t="shared" si="37"/>
        <v>0.03</v>
      </c>
      <c r="L210" s="963"/>
      <c r="M210" s="53">
        <f t="shared" si="38"/>
        <v>0.02</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0.1</v>
      </c>
      <c r="F211" s="963"/>
      <c r="G211" s="53">
        <f t="shared" si="35"/>
        <v>0.03</v>
      </c>
      <c r="H211" s="963"/>
      <c r="I211" s="53">
        <f t="shared" si="36"/>
        <v>0.03</v>
      </c>
      <c r="J211" s="963"/>
      <c r="K211" s="53">
        <f t="shared" si="37"/>
        <v>0.03</v>
      </c>
      <c r="L211" s="963"/>
      <c r="M211" s="53">
        <f t="shared" si="38"/>
        <v>0.02</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0.1</v>
      </c>
      <c r="F212" s="963"/>
      <c r="G212" s="53">
        <f t="shared" si="35"/>
        <v>0.03</v>
      </c>
      <c r="H212" s="963"/>
      <c r="I212" s="53">
        <f t="shared" si="36"/>
        <v>0.03</v>
      </c>
      <c r="J212" s="963"/>
      <c r="K212" s="53">
        <f t="shared" si="37"/>
        <v>0.03</v>
      </c>
      <c r="L212" s="963"/>
      <c r="M212" s="53">
        <f t="shared" si="38"/>
        <v>0.02</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0.1</v>
      </c>
      <c r="F213" s="963"/>
      <c r="G213" s="53">
        <f t="shared" si="35"/>
        <v>0.03</v>
      </c>
      <c r="H213" s="963"/>
      <c r="I213" s="53">
        <f t="shared" si="36"/>
        <v>0.03</v>
      </c>
      <c r="J213" s="963"/>
      <c r="K213" s="53">
        <f t="shared" si="37"/>
        <v>0.03</v>
      </c>
      <c r="L213" s="963"/>
      <c r="M213" s="53">
        <f t="shared" si="38"/>
        <v>0.02</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0.1</v>
      </c>
      <c r="F214" s="963"/>
      <c r="G214" s="53">
        <f t="shared" si="35"/>
        <v>0.03</v>
      </c>
      <c r="H214" s="963"/>
      <c r="I214" s="53">
        <f t="shared" si="36"/>
        <v>0.03</v>
      </c>
      <c r="J214" s="963"/>
      <c r="K214" s="53">
        <f t="shared" si="37"/>
        <v>0.03</v>
      </c>
      <c r="L214" s="963"/>
      <c r="M214" s="53">
        <f t="shared" si="38"/>
        <v>0.02</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0.1</v>
      </c>
      <c r="F215" s="963"/>
      <c r="G215" s="53">
        <f t="shared" si="35"/>
        <v>0.03</v>
      </c>
      <c r="H215" s="963"/>
      <c r="I215" s="53">
        <f t="shared" si="36"/>
        <v>0.03</v>
      </c>
      <c r="J215" s="963"/>
      <c r="K215" s="53">
        <f t="shared" si="37"/>
        <v>0.03</v>
      </c>
      <c r="L215" s="963"/>
      <c r="M215" s="53">
        <f t="shared" si="38"/>
        <v>0.02</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0.1</v>
      </c>
      <c r="F216" s="963"/>
      <c r="G216" s="53">
        <f t="shared" si="35"/>
        <v>0.03</v>
      </c>
      <c r="H216" s="963"/>
      <c r="I216" s="53">
        <f t="shared" si="36"/>
        <v>0.03</v>
      </c>
      <c r="J216" s="963"/>
      <c r="K216" s="53">
        <f t="shared" si="37"/>
        <v>0.03</v>
      </c>
      <c r="L216" s="963"/>
      <c r="M216" s="53">
        <f t="shared" si="38"/>
        <v>0.02</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0.1</v>
      </c>
      <c r="F217" s="963"/>
      <c r="G217" s="53">
        <f t="shared" si="35"/>
        <v>0.03</v>
      </c>
      <c r="H217" s="963"/>
      <c r="I217" s="53">
        <f t="shared" si="36"/>
        <v>0.03</v>
      </c>
      <c r="J217" s="963"/>
      <c r="K217" s="53">
        <f t="shared" si="37"/>
        <v>0.03</v>
      </c>
      <c r="L217" s="963"/>
      <c r="M217" s="53">
        <f t="shared" si="38"/>
        <v>0.02</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0.1</v>
      </c>
      <c r="F218" s="963"/>
      <c r="G218" s="53">
        <f t="shared" ref="G218:G281" si="45">(SUMIF($7:$7,F218,$8:$8)-SUMIF($7:$7,$F$24,$8:$8)+100)/100</f>
        <v>0.03</v>
      </c>
      <c r="H218" s="963"/>
      <c r="I218" s="53">
        <f t="shared" ref="I218:I281" si="46">(SUMIF($9:$9,H218,$10:$10)-SUMIF($9:$9,$H$24,$10:$10)+100)/100</f>
        <v>0.03</v>
      </c>
      <c r="J218" s="963"/>
      <c r="K218" s="53">
        <f t="shared" ref="K218:K281" si="47">(SUMIF($11:$11,J218,$12:$12)-SUMIF($11:$11,$J$24,$12:$12)+100)/100</f>
        <v>0.03</v>
      </c>
      <c r="L218" s="963"/>
      <c r="M218" s="53">
        <f t="shared" ref="M218:M281" si="48">(SUMIF($13:$13,L218,$14:$14)-SUMIF($13:$13,$L$24,$14:$14)+100)/100</f>
        <v>0.02</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0.1</v>
      </c>
      <c r="F219" s="963"/>
      <c r="G219" s="53">
        <f t="shared" si="45"/>
        <v>0.03</v>
      </c>
      <c r="H219" s="963"/>
      <c r="I219" s="53">
        <f t="shared" si="46"/>
        <v>0.03</v>
      </c>
      <c r="J219" s="963"/>
      <c r="K219" s="53">
        <f t="shared" si="47"/>
        <v>0.03</v>
      </c>
      <c r="L219" s="963"/>
      <c r="M219" s="53">
        <f t="shared" si="48"/>
        <v>0.02</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0.1</v>
      </c>
      <c r="F220" s="963"/>
      <c r="G220" s="53">
        <f t="shared" si="45"/>
        <v>0.03</v>
      </c>
      <c r="H220" s="963"/>
      <c r="I220" s="53">
        <f t="shared" si="46"/>
        <v>0.03</v>
      </c>
      <c r="J220" s="963"/>
      <c r="K220" s="53">
        <f t="shared" si="47"/>
        <v>0.03</v>
      </c>
      <c r="L220" s="963"/>
      <c r="M220" s="53">
        <f t="shared" si="48"/>
        <v>0.02</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0.1</v>
      </c>
      <c r="F221" s="963"/>
      <c r="G221" s="53">
        <f t="shared" si="45"/>
        <v>0.03</v>
      </c>
      <c r="H221" s="963"/>
      <c r="I221" s="53">
        <f t="shared" si="46"/>
        <v>0.03</v>
      </c>
      <c r="J221" s="963"/>
      <c r="K221" s="53">
        <f t="shared" si="47"/>
        <v>0.03</v>
      </c>
      <c r="L221" s="963"/>
      <c r="M221" s="53">
        <f t="shared" si="48"/>
        <v>0.02</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0.1</v>
      </c>
      <c r="F222" s="963"/>
      <c r="G222" s="53">
        <f t="shared" si="45"/>
        <v>0.03</v>
      </c>
      <c r="H222" s="963"/>
      <c r="I222" s="53">
        <f t="shared" si="46"/>
        <v>0.03</v>
      </c>
      <c r="J222" s="963"/>
      <c r="K222" s="53">
        <f t="shared" si="47"/>
        <v>0.03</v>
      </c>
      <c r="L222" s="963"/>
      <c r="M222" s="53">
        <f t="shared" si="48"/>
        <v>0.02</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0.1</v>
      </c>
      <c r="F223" s="963"/>
      <c r="G223" s="53">
        <f t="shared" si="45"/>
        <v>0.03</v>
      </c>
      <c r="H223" s="963"/>
      <c r="I223" s="53">
        <f t="shared" si="46"/>
        <v>0.03</v>
      </c>
      <c r="J223" s="963"/>
      <c r="K223" s="53">
        <f t="shared" si="47"/>
        <v>0.03</v>
      </c>
      <c r="L223" s="963"/>
      <c r="M223" s="53">
        <f t="shared" si="48"/>
        <v>0.02</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0.1</v>
      </c>
      <c r="F224" s="963"/>
      <c r="G224" s="53">
        <f t="shared" si="45"/>
        <v>0.03</v>
      </c>
      <c r="H224" s="963"/>
      <c r="I224" s="53">
        <f t="shared" si="46"/>
        <v>0.03</v>
      </c>
      <c r="J224" s="963"/>
      <c r="K224" s="53">
        <f t="shared" si="47"/>
        <v>0.03</v>
      </c>
      <c r="L224" s="963"/>
      <c r="M224" s="53">
        <f t="shared" si="48"/>
        <v>0.02</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0.1</v>
      </c>
      <c r="F225" s="963"/>
      <c r="G225" s="53">
        <f t="shared" si="45"/>
        <v>0.03</v>
      </c>
      <c r="H225" s="963"/>
      <c r="I225" s="53">
        <f t="shared" si="46"/>
        <v>0.03</v>
      </c>
      <c r="J225" s="963"/>
      <c r="K225" s="53">
        <f t="shared" si="47"/>
        <v>0.03</v>
      </c>
      <c r="L225" s="963"/>
      <c r="M225" s="53">
        <f t="shared" si="48"/>
        <v>0.02</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0.1</v>
      </c>
      <c r="F226" s="963"/>
      <c r="G226" s="53">
        <f t="shared" si="45"/>
        <v>0.03</v>
      </c>
      <c r="H226" s="963"/>
      <c r="I226" s="53">
        <f t="shared" si="46"/>
        <v>0.03</v>
      </c>
      <c r="J226" s="963"/>
      <c r="K226" s="53">
        <f t="shared" si="47"/>
        <v>0.03</v>
      </c>
      <c r="L226" s="963"/>
      <c r="M226" s="53">
        <f t="shared" si="48"/>
        <v>0.02</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0.1</v>
      </c>
      <c r="F227" s="963"/>
      <c r="G227" s="53">
        <f t="shared" si="45"/>
        <v>0.03</v>
      </c>
      <c r="H227" s="963"/>
      <c r="I227" s="53">
        <f t="shared" si="46"/>
        <v>0.03</v>
      </c>
      <c r="J227" s="963"/>
      <c r="K227" s="53">
        <f t="shared" si="47"/>
        <v>0.03</v>
      </c>
      <c r="L227" s="963"/>
      <c r="M227" s="53">
        <f t="shared" si="48"/>
        <v>0.02</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0.1</v>
      </c>
      <c r="F228" s="963"/>
      <c r="G228" s="53">
        <f t="shared" si="45"/>
        <v>0.03</v>
      </c>
      <c r="H228" s="963"/>
      <c r="I228" s="53">
        <f t="shared" si="46"/>
        <v>0.03</v>
      </c>
      <c r="J228" s="963"/>
      <c r="K228" s="53">
        <f t="shared" si="47"/>
        <v>0.03</v>
      </c>
      <c r="L228" s="963"/>
      <c r="M228" s="53">
        <f t="shared" si="48"/>
        <v>0.02</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0.1</v>
      </c>
      <c r="F229" s="963"/>
      <c r="G229" s="53">
        <f t="shared" si="45"/>
        <v>0.03</v>
      </c>
      <c r="H229" s="963"/>
      <c r="I229" s="53">
        <f t="shared" si="46"/>
        <v>0.03</v>
      </c>
      <c r="J229" s="963"/>
      <c r="K229" s="53">
        <f t="shared" si="47"/>
        <v>0.03</v>
      </c>
      <c r="L229" s="963"/>
      <c r="M229" s="53">
        <f t="shared" si="48"/>
        <v>0.02</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0.1</v>
      </c>
      <c r="F230" s="963"/>
      <c r="G230" s="53">
        <f t="shared" si="45"/>
        <v>0.03</v>
      </c>
      <c r="H230" s="963"/>
      <c r="I230" s="53">
        <f t="shared" si="46"/>
        <v>0.03</v>
      </c>
      <c r="J230" s="963"/>
      <c r="K230" s="53">
        <f t="shared" si="47"/>
        <v>0.03</v>
      </c>
      <c r="L230" s="963"/>
      <c r="M230" s="53">
        <f t="shared" si="48"/>
        <v>0.02</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0.1</v>
      </c>
      <c r="F231" s="963"/>
      <c r="G231" s="53">
        <f t="shared" si="45"/>
        <v>0.03</v>
      </c>
      <c r="H231" s="963"/>
      <c r="I231" s="53">
        <f t="shared" si="46"/>
        <v>0.03</v>
      </c>
      <c r="J231" s="963"/>
      <c r="K231" s="53">
        <f t="shared" si="47"/>
        <v>0.03</v>
      </c>
      <c r="L231" s="963"/>
      <c r="M231" s="53">
        <f t="shared" si="48"/>
        <v>0.02</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0.1</v>
      </c>
      <c r="F232" s="963"/>
      <c r="G232" s="53">
        <f t="shared" si="45"/>
        <v>0.03</v>
      </c>
      <c r="H232" s="963"/>
      <c r="I232" s="53">
        <f t="shared" si="46"/>
        <v>0.03</v>
      </c>
      <c r="J232" s="963"/>
      <c r="K232" s="53">
        <f t="shared" si="47"/>
        <v>0.03</v>
      </c>
      <c r="L232" s="963"/>
      <c r="M232" s="53">
        <f t="shared" si="48"/>
        <v>0.02</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0.1</v>
      </c>
      <c r="F233" s="963"/>
      <c r="G233" s="53">
        <f t="shared" si="45"/>
        <v>0.03</v>
      </c>
      <c r="H233" s="963"/>
      <c r="I233" s="53">
        <f t="shared" si="46"/>
        <v>0.03</v>
      </c>
      <c r="J233" s="963"/>
      <c r="K233" s="53">
        <f t="shared" si="47"/>
        <v>0.03</v>
      </c>
      <c r="L233" s="963"/>
      <c r="M233" s="53">
        <f t="shared" si="48"/>
        <v>0.02</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0.1</v>
      </c>
      <c r="F234" s="963"/>
      <c r="G234" s="53">
        <f t="shared" si="45"/>
        <v>0.03</v>
      </c>
      <c r="H234" s="963"/>
      <c r="I234" s="53">
        <f t="shared" si="46"/>
        <v>0.03</v>
      </c>
      <c r="J234" s="963"/>
      <c r="K234" s="53">
        <f t="shared" si="47"/>
        <v>0.03</v>
      </c>
      <c r="L234" s="963"/>
      <c r="M234" s="53">
        <f t="shared" si="48"/>
        <v>0.02</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0.1</v>
      </c>
      <c r="F235" s="963"/>
      <c r="G235" s="53">
        <f t="shared" si="45"/>
        <v>0.03</v>
      </c>
      <c r="H235" s="963"/>
      <c r="I235" s="53">
        <f t="shared" si="46"/>
        <v>0.03</v>
      </c>
      <c r="J235" s="963"/>
      <c r="K235" s="53">
        <f t="shared" si="47"/>
        <v>0.03</v>
      </c>
      <c r="L235" s="963"/>
      <c r="M235" s="53">
        <f t="shared" si="48"/>
        <v>0.02</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0.1</v>
      </c>
      <c r="F236" s="963"/>
      <c r="G236" s="53">
        <f t="shared" si="45"/>
        <v>0.03</v>
      </c>
      <c r="H236" s="963"/>
      <c r="I236" s="53">
        <f t="shared" si="46"/>
        <v>0.03</v>
      </c>
      <c r="J236" s="963"/>
      <c r="K236" s="53">
        <f t="shared" si="47"/>
        <v>0.03</v>
      </c>
      <c r="L236" s="963"/>
      <c r="M236" s="53">
        <f t="shared" si="48"/>
        <v>0.02</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0.1</v>
      </c>
      <c r="F237" s="963"/>
      <c r="G237" s="53">
        <f t="shared" si="45"/>
        <v>0.03</v>
      </c>
      <c r="H237" s="963"/>
      <c r="I237" s="53">
        <f t="shared" si="46"/>
        <v>0.03</v>
      </c>
      <c r="J237" s="963"/>
      <c r="K237" s="53">
        <f t="shared" si="47"/>
        <v>0.03</v>
      </c>
      <c r="L237" s="963"/>
      <c r="M237" s="53">
        <f t="shared" si="48"/>
        <v>0.02</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0.1</v>
      </c>
      <c r="F238" s="963"/>
      <c r="G238" s="53">
        <f t="shared" si="45"/>
        <v>0.03</v>
      </c>
      <c r="H238" s="963"/>
      <c r="I238" s="53">
        <f t="shared" si="46"/>
        <v>0.03</v>
      </c>
      <c r="J238" s="963"/>
      <c r="K238" s="53">
        <f t="shared" si="47"/>
        <v>0.03</v>
      </c>
      <c r="L238" s="963"/>
      <c r="M238" s="53">
        <f t="shared" si="48"/>
        <v>0.02</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0.1</v>
      </c>
      <c r="F239" s="963"/>
      <c r="G239" s="53">
        <f t="shared" si="45"/>
        <v>0.03</v>
      </c>
      <c r="H239" s="963"/>
      <c r="I239" s="53">
        <f t="shared" si="46"/>
        <v>0.03</v>
      </c>
      <c r="J239" s="963"/>
      <c r="K239" s="53">
        <f t="shared" si="47"/>
        <v>0.03</v>
      </c>
      <c r="L239" s="963"/>
      <c r="M239" s="53">
        <f t="shared" si="48"/>
        <v>0.02</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0.1</v>
      </c>
      <c r="F240" s="963"/>
      <c r="G240" s="53">
        <f t="shared" si="45"/>
        <v>0.03</v>
      </c>
      <c r="H240" s="963"/>
      <c r="I240" s="53">
        <f t="shared" si="46"/>
        <v>0.03</v>
      </c>
      <c r="J240" s="963"/>
      <c r="K240" s="53">
        <f t="shared" si="47"/>
        <v>0.03</v>
      </c>
      <c r="L240" s="963"/>
      <c r="M240" s="53">
        <f t="shared" si="48"/>
        <v>0.02</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0.1</v>
      </c>
      <c r="F241" s="963"/>
      <c r="G241" s="53">
        <f t="shared" si="45"/>
        <v>0.03</v>
      </c>
      <c r="H241" s="963"/>
      <c r="I241" s="53">
        <f t="shared" si="46"/>
        <v>0.03</v>
      </c>
      <c r="J241" s="963"/>
      <c r="K241" s="53">
        <f t="shared" si="47"/>
        <v>0.03</v>
      </c>
      <c r="L241" s="963"/>
      <c r="M241" s="53">
        <f t="shared" si="48"/>
        <v>0.02</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0.1</v>
      </c>
      <c r="F242" s="963"/>
      <c r="G242" s="53">
        <f t="shared" si="45"/>
        <v>0.03</v>
      </c>
      <c r="H242" s="963"/>
      <c r="I242" s="53">
        <f t="shared" si="46"/>
        <v>0.03</v>
      </c>
      <c r="J242" s="963"/>
      <c r="K242" s="53">
        <f t="shared" si="47"/>
        <v>0.03</v>
      </c>
      <c r="L242" s="963"/>
      <c r="M242" s="53">
        <f t="shared" si="48"/>
        <v>0.02</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0.1</v>
      </c>
      <c r="F243" s="963"/>
      <c r="G243" s="53">
        <f t="shared" si="45"/>
        <v>0.03</v>
      </c>
      <c r="H243" s="963"/>
      <c r="I243" s="53">
        <f t="shared" si="46"/>
        <v>0.03</v>
      </c>
      <c r="J243" s="963"/>
      <c r="K243" s="53">
        <f t="shared" si="47"/>
        <v>0.03</v>
      </c>
      <c r="L243" s="963"/>
      <c r="M243" s="53">
        <f t="shared" si="48"/>
        <v>0.02</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0.1</v>
      </c>
      <c r="F244" s="963"/>
      <c r="G244" s="53">
        <f t="shared" si="45"/>
        <v>0.03</v>
      </c>
      <c r="H244" s="963"/>
      <c r="I244" s="53">
        <f t="shared" si="46"/>
        <v>0.03</v>
      </c>
      <c r="J244" s="963"/>
      <c r="K244" s="53">
        <f t="shared" si="47"/>
        <v>0.03</v>
      </c>
      <c r="L244" s="963"/>
      <c r="M244" s="53">
        <f t="shared" si="48"/>
        <v>0.02</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0.1</v>
      </c>
      <c r="F245" s="963"/>
      <c r="G245" s="53">
        <f t="shared" si="45"/>
        <v>0.03</v>
      </c>
      <c r="H245" s="963"/>
      <c r="I245" s="53">
        <f t="shared" si="46"/>
        <v>0.03</v>
      </c>
      <c r="J245" s="963"/>
      <c r="K245" s="53">
        <f t="shared" si="47"/>
        <v>0.03</v>
      </c>
      <c r="L245" s="963"/>
      <c r="M245" s="53">
        <f t="shared" si="48"/>
        <v>0.02</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0.1</v>
      </c>
      <c r="F246" s="963"/>
      <c r="G246" s="53">
        <f t="shared" si="45"/>
        <v>0.03</v>
      </c>
      <c r="H246" s="963"/>
      <c r="I246" s="53">
        <f t="shared" si="46"/>
        <v>0.03</v>
      </c>
      <c r="J246" s="963"/>
      <c r="K246" s="53">
        <f t="shared" si="47"/>
        <v>0.03</v>
      </c>
      <c r="L246" s="963"/>
      <c r="M246" s="53">
        <f t="shared" si="48"/>
        <v>0.02</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0.1</v>
      </c>
      <c r="F247" s="963"/>
      <c r="G247" s="53">
        <f t="shared" si="45"/>
        <v>0.03</v>
      </c>
      <c r="H247" s="963"/>
      <c r="I247" s="53">
        <f t="shared" si="46"/>
        <v>0.03</v>
      </c>
      <c r="J247" s="963"/>
      <c r="K247" s="53">
        <f t="shared" si="47"/>
        <v>0.03</v>
      </c>
      <c r="L247" s="963"/>
      <c r="M247" s="53">
        <f t="shared" si="48"/>
        <v>0.02</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0.1</v>
      </c>
      <c r="F248" s="963"/>
      <c r="G248" s="53">
        <f t="shared" si="45"/>
        <v>0.03</v>
      </c>
      <c r="H248" s="963"/>
      <c r="I248" s="53">
        <f t="shared" si="46"/>
        <v>0.03</v>
      </c>
      <c r="J248" s="963"/>
      <c r="K248" s="53">
        <f t="shared" si="47"/>
        <v>0.03</v>
      </c>
      <c r="L248" s="963"/>
      <c r="M248" s="53">
        <f t="shared" si="48"/>
        <v>0.02</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0.1</v>
      </c>
      <c r="F249" s="963"/>
      <c r="G249" s="53">
        <f t="shared" si="45"/>
        <v>0.03</v>
      </c>
      <c r="H249" s="963"/>
      <c r="I249" s="53">
        <f t="shared" si="46"/>
        <v>0.03</v>
      </c>
      <c r="J249" s="963"/>
      <c r="K249" s="53">
        <f t="shared" si="47"/>
        <v>0.03</v>
      </c>
      <c r="L249" s="963"/>
      <c r="M249" s="53">
        <f t="shared" si="48"/>
        <v>0.02</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0.1</v>
      </c>
      <c r="F250" s="963"/>
      <c r="G250" s="53">
        <f t="shared" si="45"/>
        <v>0.03</v>
      </c>
      <c r="H250" s="963"/>
      <c r="I250" s="53">
        <f t="shared" si="46"/>
        <v>0.03</v>
      </c>
      <c r="J250" s="963"/>
      <c r="K250" s="53">
        <f t="shared" si="47"/>
        <v>0.03</v>
      </c>
      <c r="L250" s="963"/>
      <c r="M250" s="53">
        <f t="shared" si="48"/>
        <v>0.02</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0.1</v>
      </c>
      <c r="F251" s="963"/>
      <c r="G251" s="53">
        <f t="shared" si="45"/>
        <v>0.03</v>
      </c>
      <c r="H251" s="963"/>
      <c r="I251" s="53">
        <f t="shared" si="46"/>
        <v>0.03</v>
      </c>
      <c r="J251" s="963"/>
      <c r="K251" s="53">
        <f t="shared" si="47"/>
        <v>0.03</v>
      </c>
      <c r="L251" s="963"/>
      <c r="M251" s="53">
        <f t="shared" si="48"/>
        <v>0.02</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0.1</v>
      </c>
      <c r="F252" s="963"/>
      <c r="G252" s="53">
        <f t="shared" si="45"/>
        <v>0.03</v>
      </c>
      <c r="H252" s="963"/>
      <c r="I252" s="53">
        <f t="shared" si="46"/>
        <v>0.03</v>
      </c>
      <c r="J252" s="963"/>
      <c r="K252" s="53">
        <f t="shared" si="47"/>
        <v>0.03</v>
      </c>
      <c r="L252" s="963"/>
      <c r="M252" s="53">
        <f t="shared" si="48"/>
        <v>0.02</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0.1</v>
      </c>
      <c r="F253" s="963"/>
      <c r="G253" s="53">
        <f t="shared" si="45"/>
        <v>0.03</v>
      </c>
      <c r="H253" s="963"/>
      <c r="I253" s="53">
        <f t="shared" si="46"/>
        <v>0.03</v>
      </c>
      <c r="J253" s="963"/>
      <c r="K253" s="53">
        <f t="shared" si="47"/>
        <v>0.03</v>
      </c>
      <c r="L253" s="963"/>
      <c r="M253" s="53">
        <f t="shared" si="48"/>
        <v>0.02</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0.1</v>
      </c>
      <c r="F254" s="963"/>
      <c r="G254" s="53">
        <f t="shared" si="45"/>
        <v>0.03</v>
      </c>
      <c r="H254" s="963"/>
      <c r="I254" s="53">
        <f t="shared" si="46"/>
        <v>0.03</v>
      </c>
      <c r="J254" s="963"/>
      <c r="K254" s="53">
        <f t="shared" si="47"/>
        <v>0.03</v>
      </c>
      <c r="L254" s="963"/>
      <c r="M254" s="53">
        <f t="shared" si="48"/>
        <v>0.02</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0.1</v>
      </c>
      <c r="F255" s="963"/>
      <c r="G255" s="53">
        <f t="shared" si="45"/>
        <v>0.03</v>
      </c>
      <c r="H255" s="963"/>
      <c r="I255" s="53">
        <f t="shared" si="46"/>
        <v>0.03</v>
      </c>
      <c r="J255" s="963"/>
      <c r="K255" s="53">
        <f t="shared" si="47"/>
        <v>0.03</v>
      </c>
      <c r="L255" s="963"/>
      <c r="M255" s="53">
        <f t="shared" si="48"/>
        <v>0.02</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0.1</v>
      </c>
      <c r="F256" s="963"/>
      <c r="G256" s="53">
        <f t="shared" si="45"/>
        <v>0.03</v>
      </c>
      <c r="H256" s="963"/>
      <c r="I256" s="53">
        <f t="shared" si="46"/>
        <v>0.03</v>
      </c>
      <c r="J256" s="963"/>
      <c r="K256" s="53">
        <f t="shared" si="47"/>
        <v>0.03</v>
      </c>
      <c r="L256" s="963"/>
      <c r="M256" s="53">
        <f t="shared" si="48"/>
        <v>0.02</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0.1</v>
      </c>
      <c r="F257" s="963"/>
      <c r="G257" s="53">
        <f t="shared" si="45"/>
        <v>0.03</v>
      </c>
      <c r="H257" s="963"/>
      <c r="I257" s="53">
        <f t="shared" si="46"/>
        <v>0.03</v>
      </c>
      <c r="J257" s="963"/>
      <c r="K257" s="53">
        <f t="shared" si="47"/>
        <v>0.03</v>
      </c>
      <c r="L257" s="963"/>
      <c r="M257" s="53">
        <f t="shared" si="48"/>
        <v>0.02</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0.1</v>
      </c>
      <c r="F258" s="963"/>
      <c r="G258" s="53">
        <f t="shared" si="45"/>
        <v>0.03</v>
      </c>
      <c r="H258" s="963"/>
      <c r="I258" s="53">
        <f t="shared" si="46"/>
        <v>0.03</v>
      </c>
      <c r="J258" s="963"/>
      <c r="K258" s="53">
        <f t="shared" si="47"/>
        <v>0.03</v>
      </c>
      <c r="L258" s="963"/>
      <c r="M258" s="53">
        <f t="shared" si="48"/>
        <v>0.02</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0.1</v>
      </c>
      <c r="F259" s="963"/>
      <c r="G259" s="53">
        <f t="shared" si="45"/>
        <v>0.03</v>
      </c>
      <c r="H259" s="963"/>
      <c r="I259" s="53">
        <f t="shared" si="46"/>
        <v>0.03</v>
      </c>
      <c r="J259" s="963"/>
      <c r="K259" s="53">
        <f t="shared" si="47"/>
        <v>0.03</v>
      </c>
      <c r="L259" s="963"/>
      <c r="M259" s="53">
        <f t="shared" si="48"/>
        <v>0.02</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0.1</v>
      </c>
      <c r="F260" s="963"/>
      <c r="G260" s="53">
        <f t="shared" si="45"/>
        <v>0.03</v>
      </c>
      <c r="H260" s="963"/>
      <c r="I260" s="53">
        <f t="shared" si="46"/>
        <v>0.03</v>
      </c>
      <c r="J260" s="963"/>
      <c r="K260" s="53">
        <f t="shared" si="47"/>
        <v>0.03</v>
      </c>
      <c r="L260" s="963"/>
      <c r="M260" s="53">
        <f t="shared" si="48"/>
        <v>0.02</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0.1</v>
      </c>
      <c r="F261" s="963"/>
      <c r="G261" s="53">
        <f t="shared" si="45"/>
        <v>0.03</v>
      </c>
      <c r="H261" s="963"/>
      <c r="I261" s="53">
        <f t="shared" si="46"/>
        <v>0.03</v>
      </c>
      <c r="J261" s="963"/>
      <c r="K261" s="53">
        <f t="shared" si="47"/>
        <v>0.03</v>
      </c>
      <c r="L261" s="963"/>
      <c r="M261" s="53">
        <f t="shared" si="48"/>
        <v>0.02</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0.1</v>
      </c>
      <c r="F262" s="963"/>
      <c r="G262" s="53">
        <f t="shared" si="45"/>
        <v>0.03</v>
      </c>
      <c r="H262" s="963"/>
      <c r="I262" s="53">
        <f t="shared" si="46"/>
        <v>0.03</v>
      </c>
      <c r="J262" s="963"/>
      <c r="K262" s="53">
        <f t="shared" si="47"/>
        <v>0.03</v>
      </c>
      <c r="L262" s="963"/>
      <c r="M262" s="53">
        <f t="shared" si="48"/>
        <v>0.02</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0.1</v>
      </c>
      <c r="F263" s="963"/>
      <c r="G263" s="53">
        <f t="shared" si="45"/>
        <v>0.03</v>
      </c>
      <c r="H263" s="963"/>
      <c r="I263" s="53">
        <f t="shared" si="46"/>
        <v>0.03</v>
      </c>
      <c r="J263" s="963"/>
      <c r="K263" s="53">
        <f t="shared" si="47"/>
        <v>0.03</v>
      </c>
      <c r="L263" s="963"/>
      <c r="M263" s="53">
        <f t="shared" si="48"/>
        <v>0.02</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0.1</v>
      </c>
      <c r="F264" s="963"/>
      <c r="G264" s="53">
        <f t="shared" si="45"/>
        <v>0.03</v>
      </c>
      <c r="H264" s="963"/>
      <c r="I264" s="53">
        <f t="shared" si="46"/>
        <v>0.03</v>
      </c>
      <c r="J264" s="963"/>
      <c r="K264" s="53">
        <f t="shared" si="47"/>
        <v>0.03</v>
      </c>
      <c r="L264" s="963"/>
      <c r="M264" s="53">
        <f t="shared" si="48"/>
        <v>0.02</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0.1</v>
      </c>
      <c r="F265" s="963"/>
      <c r="G265" s="53">
        <f t="shared" si="45"/>
        <v>0.03</v>
      </c>
      <c r="H265" s="963"/>
      <c r="I265" s="53">
        <f t="shared" si="46"/>
        <v>0.03</v>
      </c>
      <c r="J265" s="963"/>
      <c r="K265" s="53">
        <f t="shared" si="47"/>
        <v>0.03</v>
      </c>
      <c r="L265" s="963"/>
      <c r="M265" s="53">
        <f t="shared" si="48"/>
        <v>0.02</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0.1</v>
      </c>
      <c r="F266" s="963"/>
      <c r="G266" s="53">
        <f t="shared" si="45"/>
        <v>0.03</v>
      </c>
      <c r="H266" s="963"/>
      <c r="I266" s="53">
        <f t="shared" si="46"/>
        <v>0.03</v>
      </c>
      <c r="J266" s="963"/>
      <c r="K266" s="53">
        <f t="shared" si="47"/>
        <v>0.03</v>
      </c>
      <c r="L266" s="963"/>
      <c r="M266" s="53">
        <f t="shared" si="48"/>
        <v>0.02</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0.1</v>
      </c>
      <c r="F267" s="963"/>
      <c r="G267" s="53">
        <f t="shared" si="45"/>
        <v>0.03</v>
      </c>
      <c r="H267" s="963"/>
      <c r="I267" s="53">
        <f t="shared" si="46"/>
        <v>0.03</v>
      </c>
      <c r="J267" s="963"/>
      <c r="K267" s="53">
        <f t="shared" si="47"/>
        <v>0.03</v>
      </c>
      <c r="L267" s="963"/>
      <c r="M267" s="53">
        <f t="shared" si="48"/>
        <v>0.02</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0.1</v>
      </c>
      <c r="F268" s="963"/>
      <c r="G268" s="53">
        <f t="shared" si="45"/>
        <v>0.03</v>
      </c>
      <c r="H268" s="963"/>
      <c r="I268" s="53">
        <f t="shared" si="46"/>
        <v>0.03</v>
      </c>
      <c r="J268" s="963"/>
      <c r="K268" s="53">
        <f t="shared" si="47"/>
        <v>0.03</v>
      </c>
      <c r="L268" s="963"/>
      <c r="M268" s="53">
        <f t="shared" si="48"/>
        <v>0.02</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0.1</v>
      </c>
      <c r="F269" s="963"/>
      <c r="G269" s="53">
        <f t="shared" si="45"/>
        <v>0.03</v>
      </c>
      <c r="H269" s="963"/>
      <c r="I269" s="53">
        <f t="shared" si="46"/>
        <v>0.03</v>
      </c>
      <c r="J269" s="963"/>
      <c r="K269" s="53">
        <f t="shared" si="47"/>
        <v>0.03</v>
      </c>
      <c r="L269" s="963"/>
      <c r="M269" s="53">
        <f t="shared" si="48"/>
        <v>0.02</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0.1</v>
      </c>
      <c r="F270" s="963"/>
      <c r="G270" s="53">
        <f t="shared" si="45"/>
        <v>0.03</v>
      </c>
      <c r="H270" s="963"/>
      <c r="I270" s="53">
        <f t="shared" si="46"/>
        <v>0.03</v>
      </c>
      <c r="J270" s="963"/>
      <c r="K270" s="53">
        <f t="shared" si="47"/>
        <v>0.03</v>
      </c>
      <c r="L270" s="963"/>
      <c r="M270" s="53">
        <f t="shared" si="48"/>
        <v>0.02</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0.1</v>
      </c>
      <c r="F271" s="963"/>
      <c r="G271" s="53">
        <f t="shared" si="45"/>
        <v>0.03</v>
      </c>
      <c r="H271" s="963"/>
      <c r="I271" s="53">
        <f t="shared" si="46"/>
        <v>0.03</v>
      </c>
      <c r="J271" s="963"/>
      <c r="K271" s="53">
        <f t="shared" si="47"/>
        <v>0.03</v>
      </c>
      <c r="L271" s="963"/>
      <c r="M271" s="53">
        <f t="shared" si="48"/>
        <v>0.02</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0.1</v>
      </c>
      <c r="F272" s="963"/>
      <c r="G272" s="53">
        <f t="shared" si="45"/>
        <v>0.03</v>
      </c>
      <c r="H272" s="963"/>
      <c r="I272" s="53">
        <f t="shared" si="46"/>
        <v>0.03</v>
      </c>
      <c r="J272" s="963"/>
      <c r="K272" s="53">
        <f t="shared" si="47"/>
        <v>0.03</v>
      </c>
      <c r="L272" s="963"/>
      <c r="M272" s="53">
        <f t="shared" si="48"/>
        <v>0.02</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0.1</v>
      </c>
      <c r="F273" s="963"/>
      <c r="G273" s="53">
        <f t="shared" si="45"/>
        <v>0.03</v>
      </c>
      <c r="H273" s="963"/>
      <c r="I273" s="53">
        <f t="shared" si="46"/>
        <v>0.03</v>
      </c>
      <c r="J273" s="963"/>
      <c r="K273" s="53">
        <f t="shared" si="47"/>
        <v>0.03</v>
      </c>
      <c r="L273" s="963"/>
      <c r="M273" s="53">
        <f t="shared" si="48"/>
        <v>0.02</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0.1</v>
      </c>
      <c r="F274" s="963"/>
      <c r="G274" s="53">
        <f t="shared" si="45"/>
        <v>0.03</v>
      </c>
      <c r="H274" s="963"/>
      <c r="I274" s="53">
        <f t="shared" si="46"/>
        <v>0.03</v>
      </c>
      <c r="J274" s="963"/>
      <c r="K274" s="53">
        <f t="shared" si="47"/>
        <v>0.03</v>
      </c>
      <c r="L274" s="963"/>
      <c r="M274" s="53">
        <f t="shared" si="48"/>
        <v>0.02</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0.1</v>
      </c>
      <c r="F275" s="963"/>
      <c r="G275" s="53">
        <f t="shared" si="45"/>
        <v>0.03</v>
      </c>
      <c r="H275" s="963"/>
      <c r="I275" s="53">
        <f t="shared" si="46"/>
        <v>0.03</v>
      </c>
      <c r="J275" s="963"/>
      <c r="K275" s="53">
        <f t="shared" si="47"/>
        <v>0.03</v>
      </c>
      <c r="L275" s="963"/>
      <c r="M275" s="53">
        <f t="shared" si="48"/>
        <v>0.02</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0.1</v>
      </c>
      <c r="F276" s="963"/>
      <c r="G276" s="53">
        <f t="shared" si="45"/>
        <v>0.03</v>
      </c>
      <c r="H276" s="963"/>
      <c r="I276" s="53">
        <f t="shared" si="46"/>
        <v>0.03</v>
      </c>
      <c r="J276" s="963"/>
      <c r="K276" s="53">
        <f t="shared" si="47"/>
        <v>0.03</v>
      </c>
      <c r="L276" s="963"/>
      <c r="M276" s="53">
        <f t="shared" si="48"/>
        <v>0.02</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0.1</v>
      </c>
      <c r="F277" s="963"/>
      <c r="G277" s="53">
        <f t="shared" si="45"/>
        <v>0.03</v>
      </c>
      <c r="H277" s="963"/>
      <c r="I277" s="53">
        <f t="shared" si="46"/>
        <v>0.03</v>
      </c>
      <c r="J277" s="963"/>
      <c r="K277" s="53">
        <f t="shared" si="47"/>
        <v>0.03</v>
      </c>
      <c r="L277" s="963"/>
      <c r="M277" s="53">
        <f t="shared" si="48"/>
        <v>0.02</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0.1</v>
      </c>
      <c r="F278" s="963"/>
      <c r="G278" s="53">
        <f t="shared" si="45"/>
        <v>0.03</v>
      </c>
      <c r="H278" s="963"/>
      <c r="I278" s="53">
        <f t="shared" si="46"/>
        <v>0.03</v>
      </c>
      <c r="J278" s="963"/>
      <c r="K278" s="53">
        <f t="shared" si="47"/>
        <v>0.03</v>
      </c>
      <c r="L278" s="963"/>
      <c r="M278" s="53">
        <f t="shared" si="48"/>
        <v>0.02</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0.1</v>
      </c>
      <c r="F279" s="963"/>
      <c r="G279" s="53">
        <f t="shared" si="45"/>
        <v>0.03</v>
      </c>
      <c r="H279" s="963"/>
      <c r="I279" s="53">
        <f t="shared" si="46"/>
        <v>0.03</v>
      </c>
      <c r="J279" s="963"/>
      <c r="K279" s="53">
        <f t="shared" si="47"/>
        <v>0.03</v>
      </c>
      <c r="L279" s="963"/>
      <c r="M279" s="53">
        <f t="shared" si="48"/>
        <v>0.02</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0.1</v>
      </c>
      <c r="F280" s="963"/>
      <c r="G280" s="53">
        <f t="shared" si="45"/>
        <v>0.03</v>
      </c>
      <c r="H280" s="963"/>
      <c r="I280" s="53">
        <f t="shared" si="46"/>
        <v>0.03</v>
      </c>
      <c r="J280" s="963"/>
      <c r="K280" s="53">
        <f t="shared" si="47"/>
        <v>0.03</v>
      </c>
      <c r="L280" s="963"/>
      <c r="M280" s="53">
        <f t="shared" si="48"/>
        <v>0.02</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0.1</v>
      </c>
      <c r="F281" s="963"/>
      <c r="G281" s="53">
        <f t="shared" si="45"/>
        <v>0.03</v>
      </c>
      <c r="H281" s="963"/>
      <c r="I281" s="53">
        <f t="shared" si="46"/>
        <v>0.03</v>
      </c>
      <c r="J281" s="963"/>
      <c r="K281" s="53">
        <f t="shared" si="47"/>
        <v>0.03</v>
      </c>
      <c r="L281" s="963"/>
      <c r="M281" s="53">
        <f t="shared" si="48"/>
        <v>0.02</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0.1</v>
      </c>
      <c r="F282" s="963"/>
      <c r="G282" s="53">
        <f t="shared" ref="G282:G345" si="55">(SUMIF($7:$7,F282,$8:$8)-SUMIF($7:$7,$F$24,$8:$8)+100)/100</f>
        <v>0.03</v>
      </c>
      <c r="H282" s="963"/>
      <c r="I282" s="53">
        <f t="shared" ref="I282:I345" si="56">(SUMIF($9:$9,H282,$10:$10)-SUMIF($9:$9,$H$24,$10:$10)+100)/100</f>
        <v>0.03</v>
      </c>
      <c r="J282" s="963"/>
      <c r="K282" s="53">
        <f t="shared" ref="K282:K345" si="57">(SUMIF($11:$11,J282,$12:$12)-SUMIF($11:$11,$J$24,$12:$12)+100)/100</f>
        <v>0.03</v>
      </c>
      <c r="L282" s="963"/>
      <c r="M282" s="53">
        <f t="shared" ref="M282:M345" si="58">(SUMIF($13:$13,L282,$14:$14)-SUMIF($13:$13,$L$24,$14:$14)+100)/100</f>
        <v>0.02</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0.1</v>
      </c>
      <c r="F283" s="963"/>
      <c r="G283" s="53">
        <f t="shared" si="55"/>
        <v>0.03</v>
      </c>
      <c r="H283" s="963"/>
      <c r="I283" s="53">
        <f t="shared" si="56"/>
        <v>0.03</v>
      </c>
      <c r="J283" s="963"/>
      <c r="K283" s="53">
        <f t="shared" si="57"/>
        <v>0.03</v>
      </c>
      <c r="L283" s="963"/>
      <c r="M283" s="53">
        <f t="shared" si="58"/>
        <v>0.02</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0.1</v>
      </c>
      <c r="F284" s="963"/>
      <c r="G284" s="53">
        <f t="shared" si="55"/>
        <v>0.03</v>
      </c>
      <c r="H284" s="963"/>
      <c r="I284" s="53">
        <f t="shared" si="56"/>
        <v>0.03</v>
      </c>
      <c r="J284" s="963"/>
      <c r="K284" s="53">
        <f t="shared" si="57"/>
        <v>0.03</v>
      </c>
      <c r="L284" s="963"/>
      <c r="M284" s="53">
        <f t="shared" si="58"/>
        <v>0.02</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0.1</v>
      </c>
      <c r="F285" s="963"/>
      <c r="G285" s="53">
        <f t="shared" si="55"/>
        <v>0.03</v>
      </c>
      <c r="H285" s="963"/>
      <c r="I285" s="53">
        <f t="shared" si="56"/>
        <v>0.03</v>
      </c>
      <c r="J285" s="963"/>
      <c r="K285" s="53">
        <f t="shared" si="57"/>
        <v>0.03</v>
      </c>
      <c r="L285" s="963"/>
      <c r="M285" s="53">
        <f t="shared" si="58"/>
        <v>0.02</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0.1</v>
      </c>
      <c r="F286" s="963"/>
      <c r="G286" s="53">
        <f t="shared" si="55"/>
        <v>0.03</v>
      </c>
      <c r="H286" s="963"/>
      <c r="I286" s="53">
        <f t="shared" si="56"/>
        <v>0.03</v>
      </c>
      <c r="J286" s="963"/>
      <c r="K286" s="53">
        <f t="shared" si="57"/>
        <v>0.03</v>
      </c>
      <c r="L286" s="963"/>
      <c r="M286" s="53">
        <f t="shared" si="58"/>
        <v>0.02</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0.1</v>
      </c>
      <c r="F287" s="963"/>
      <c r="G287" s="53">
        <f t="shared" si="55"/>
        <v>0.03</v>
      </c>
      <c r="H287" s="963"/>
      <c r="I287" s="53">
        <f t="shared" si="56"/>
        <v>0.03</v>
      </c>
      <c r="J287" s="963"/>
      <c r="K287" s="53">
        <f t="shared" si="57"/>
        <v>0.03</v>
      </c>
      <c r="L287" s="963"/>
      <c r="M287" s="53">
        <f t="shared" si="58"/>
        <v>0.02</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0.1</v>
      </c>
      <c r="F288" s="963"/>
      <c r="G288" s="53">
        <f t="shared" si="55"/>
        <v>0.03</v>
      </c>
      <c r="H288" s="963"/>
      <c r="I288" s="53">
        <f t="shared" si="56"/>
        <v>0.03</v>
      </c>
      <c r="J288" s="963"/>
      <c r="K288" s="53">
        <f t="shared" si="57"/>
        <v>0.03</v>
      </c>
      <c r="L288" s="963"/>
      <c r="M288" s="53">
        <f t="shared" si="58"/>
        <v>0.02</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0.1</v>
      </c>
      <c r="F289" s="963"/>
      <c r="G289" s="53">
        <f t="shared" si="55"/>
        <v>0.03</v>
      </c>
      <c r="H289" s="963"/>
      <c r="I289" s="53">
        <f t="shared" si="56"/>
        <v>0.03</v>
      </c>
      <c r="J289" s="963"/>
      <c r="K289" s="53">
        <f t="shared" si="57"/>
        <v>0.03</v>
      </c>
      <c r="L289" s="963"/>
      <c r="M289" s="53">
        <f t="shared" si="58"/>
        <v>0.02</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0.1</v>
      </c>
      <c r="F290" s="963"/>
      <c r="G290" s="53">
        <f t="shared" si="55"/>
        <v>0.03</v>
      </c>
      <c r="H290" s="963"/>
      <c r="I290" s="53">
        <f t="shared" si="56"/>
        <v>0.03</v>
      </c>
      <c r="J290" s="963"/>
      <c r="K290" s="53">
        <f t="shared" si="57"/>
        <v>0.03</v>
      </c>
      <c r="L290" s="963"/>
      <c r="M290" s="53">
        <f t="shared" si="58"/>
        <v>0.02</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0.1</v>
      </c>
      <c r="F291" s="963"/>
      <c r="G291" s="53">
        <f t="shared" si="55"/>
        <v>0.03</v>
      </c>
      <c r="H291" s="963"/>
      <c r="I291" s="53">
        <f t="shared" si="56"/>
        <v>0.03</v>
      </c>
      <c r="J291" s="963"/>
      <c r="K291" s="53">
        <f t="shared" si="57"/>
        <v>0.03</v>
      </c>
      <c r="L291" s="963"/>
      <c r="M291" s="53">
        <f t="shared" si="58"/>
        <v>0.02</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0.1</v>
      </c>
      <c r="F292" s="963"/>
      <c r="G292" s="53">
        <f t="shared" si="55"/>
        <v>0.03</v>
      </c>
      <c r="H292" s="963"/>
      <c r="I292" s="53">
        <f t="shared" si="56"/>
        <v>0.03</v>
      </c>
      <c r="J292" s="963"/>
      <c r="K292" s="53">
        <f t="shared" si="57"/>
        <v>0.03</v>
      </c>
      <c r="L292" s="963"/>
      <c r="M292" s="53">
        <f t="shared" si="58"/>
        <v>0.02</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0.1</v>
      </c>
      <c r="F293" s="963"/>
      <c r="G293" s="53">
        <f t="shared" si="55"/>
        <v>0.03</v>
      </c>
      <c r="H293" s="963"/>
      <c r="I293" s="53">
        <f t="shared" si="56"/>
        <v>0.03</v>
      </c>
      <c r="J293" s="963"/>
      <c r="K293" s="53">
        <f t="shared" si="57"/>
        <v>0.03</v>
      </c>
      <c r="L293" s="963"/>
      <c r="M293" s="53">
        <f t="shared" si="58"/>
        <v>0.02</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0.1</v>
      </c>
      <c r="F294" s="963"/>
      <c r="G294" s="53">
        <f t="shared" si="55"/>
        <v>0.03</v>
      </c>
      <c r="H294" s="963"/>
      <c r="I294" s="53">
        <f t="shared" si="56"/>
        <v>0.03</v>
      </c>
      <c r="J294" s="963"/>
      <c r="K294" s="53">
        <f t="shared" si="57"/>
        <v>0.03</v>
      </c>
      <c r="L294" s="963"/>
      <c r="M294" s="53">
        <f t="shared" si="58"/>
        <v>0.02</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0.1</v>
      </c>
      <c r="F295" s="963"/>
      <c r="G295" s="53">
        <f t="shared" si="55"/>
        <v>0.03</v>
      </c>
      <c r="H295" s="963"/>
      <c r="I295" s="53">
        <f t="shared" si="56"/>
        <v>0.03</v>
      </c>
      <c r="J295" s="963"/>
      <c r="K295" s="53">
        <f t="shared" si="57"/>
        <v>0.03</v>
      </c>
      <c r="L295" s="963"/>
      <c r="M295" s="53">
        <f t="shared" si="58"/>
        <v>0.02</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0.1</v>
      </c>
      <c r="F296" s="963"/>
      <c r="G296" s="53">
        <f t="shared" si="55"/>
        <v>0.03</v>
      </c>
      <c r="H296" s="963"/>
      <c r="I296" s="53">
        <f t="shared" si="56"/>
        <v>0.03</v>
      </c>
      <c r="J296" s="963"/>
      <c r="K296" s="53">
        <f t="shared" si="57"/>
        <v>0.03</v>
      </c>
      <c r="L296" s="963"/>
      <c r="M296" s="53">
        <f t="shared" si="58"/>
        <v>0.02</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0.1</v>
      </c>
      <c r="F297" s="963"/>
      <c r="G297" s="53">
        <f t="shared" si="55"/>
        <v>0.03</v>
      </c>
      <c r="H297" s="963"/>
      <c r="I297" s="53">
        <f t="shared" si="56"/>
        <v>0.03</v>
      </c>
      <c r="J297" s="963"/>
      <c r="K297" s="53">
        <f t="shared" si="57"/>
        <v>0.03</v>
      </c>
      <c r="L297" s="963"/>
      <c r="M297" s="53">
        <f t="shared" si="58"/>
        <v>0.02</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0.1</v>
      </c>
      <c r="F298" s="963"/>
      <c r="G298" s="53">
        <f t="shared" si="55"/>
        <v>0.03</v>
      </c>
      <c r="H298" s="963"/>
      <c r="I298" s="53">
        <f t="shared" si="56"/>
        <v>0.03</v>
      </c>
      <c r="J298" s="963"/>
      <c r="K298" s="53">
        <f t="shared" si="57"/>
        <v>0.03</v>
      </c>
      <c r="L298" s="963"/>
      <c r="M298" s="53">
        <f t="shared" si="58"/>
        <v>0.02</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0.1</v>
      </c>
      <c r="F299" s="963"/>
      <c r="G299" s="53">
        <f t="shared" si="55"/>
        <v>0.03</v>
      </c>
      <c r="H299" s="963"/>
      <c r="I299" s="53">
        <f t="shared" si="56"/>
        <v>0.03</v>
      </c>
      <c r="J299" s="963"/>
      <c r="K299" s="53">
        <f t="shared" si="57"/>
        <v>0.03</v>
      </c>
      <c r="L299" s="963"/>
      <c r="M299" s="53">
        <f t="shared" si="58"/>
        <v>0.02</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0.1</v>
      </c>
      <c r="F300" s="963"/>
      <c r="G300" s="53">
        <f t="shared" si="55"/>
        <v>0.03</v>
      </c>
      <c r="H300" s="963"/>
      <c r="I300" s="53">
        <f t="shared" si="56"/>
        <v>0.03</v>
      </c>
      <c r="J300" s="963"/>
      <c r="K300" s="53">
        <f t="shared" si="57"/>
        <v>0.03</v>
      </c>
      <c r="L300" s="963"/>
      <c r="M300" s="53">
        <f t="shared" si="58"/>
        <v>0.02</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0.1</v>
      </c>
      <c r="F301" s="963"/>
      <c r="G301" s="53">
        <f t="shared" si="55"/>
        <v>0.03</v>
      </c>
      <c r="H301" s="963"/>
      <c r="I301" s="53">
        <f t="shared" si="56"/>
        <v>0.03</v>
      </c>
      <c r="J301" s="963"/>
      <c r="K301" s="53">
        <f t="shared" si="57"/>
        <v>0.03</v>
      </c>
      <c r="L301" s="963"/>
      <c r="M301" s="53">
        <f t="shared" si="58"/>
        <v>0.02</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0.1</v>
      </c>
      <c r="F302" s="963"/>
      <c r="G302" s="53">
        <f t="shared" si="55"/>
        <v>0.03</v>
      </c>
      <c r="H302" s="963"/>
      <c r="I302" s="53">
        <f t="shared" si="56"/>
        <v>0.03</v>
      </c>
      <c r="J302" s="963"/>
      <c r="K302" s="53">
        <f t="shared" si="57"/>
        <v>0.03</v>
      </c>
      <c r="L302" s="963"/>
      <c r="M302" s="53">
        <f t="shared" si="58"/>
        <v>0.02</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0.1</v>
      </c>
      <c r="F303" s="963"/>
      <c r="G303" s="53">
        <f t="shared" si="55"/>
        <v>0.03</v>
      </c>
      <c r="H303" s="963"/>
      <c r="I303" s="53">
        <f t="shared" si="56"/>
        <v>0.03</v>
      </c>
      <c r="J303" s="963"/>
      <c r="K303" s="53">
        <f t="shared" si="57"/>
        <v>0.03</v>
      </c>
      <c r="L303" s="963"/>
      <c r="M303" s="53">
        <f t="shared" si="58"/>
        <v>0.02</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0.1</v>
      </c>
      <c r="F304" s="963"/>
      <c r="G304" s="53">
        <f t="shared" si="55"/>
        <v>0.03</v>
      </c>
      <c r="H304" s="963"/>
      <c r="I304" s="53">
        <f t="shared" si="56"/>
        <v>0.03</v>
      </c>
      <c r="J304" s="963"/>
      <c r="K304" s="53">
        <f t="shared" si="57"/>
        <v>0.03</v>
      </c>
      <c r="L304" s="963"/>
      <c r="M304" s="53">
        <f t="shared" si="58"/>
        <v>0.02</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0.1</v>
      </c>
      <c r="F305" s="963"/>
      <c r="G305" s="53">
        <f t="shared" si="55"/>
        <v>0.03</v>
      </c>
      <c r="H305" s="963"/>
      <c r="I305" s="53">
        <f t="shared" si="56"/>
        <v>0.03</v>
      </c>
      <c r="J305" s="963"/>
      <c r="K305" s="53">
        <f t="shared" si="57"/>
        <v>0.03</v>
      </c>
      <c r="L305" s="963"/>
      <c r="M305" s="53">
        <f t="shared" si="58"/>
        <v>0.02</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0.1</v>
      </c>
      <c r="F306" s="963"/>
      <c r="G306" s="53">
        <f t="shared" si="55"/>
        <v>0.03</v>
      </c>
      <c r="H306" s="963"/>
      <c r="I306" s="53">
        <f t="shared" si="56"/>
        <v>0.03</v>
      </c>
      <c r="J306" s="963"/>
      <c r="K306" s="53">
        <f t="shared" si="57"/>
        <v>0.03</v>
      </c>
      <c r="L306" s="963"/>
      <c r="M306" s="53">
        <f t="shared" si="58"/>
        <v>0.02</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0.1</v>
      </c>
      <c r="F307" s="963"/>
      <c r="G307" s="53">
        <f t="shared" si="55"/>
        <v>0.03</v>
      </c>
      <c r="H307" s="963"/>
      <c r="I307" s="53">
        <f t="shared" si="56"/>
        <v>0.03</v>
      </c>
      <c r="J307" s="963"/>
      <c r="K307" s="53">
        <f t="shared" si="57"/>
        <v>0.03</v>
      </c>
      <c r="L307" s="963"/>
      <c r="M307" s="53">
        <f t="shared" si="58"/>
        <v>0.02</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0.1</v>
      </c>
      <c r="F308" s="963"/>
      <c r="G308" s="53">
        <f t="shared" si="55"/>
        <v>0.03</v>
      </c>
      <c r="H308" s="963"/>
      <c r="I308" s="53">
        <f t="shared" si="56"/>
        <v>0.03</v>
      </c>
      <c r="J308" s="963"/>
      <c r="K308" s="53">
        <f t="shared" si="57"/>
        <v>0.03</v>
      </c>
      <c r="L308" s="963"/>
      <c r="M308" s="53">
        <f t="shared" si="58"/>
        <v>0.02</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0.1</v>
      </c>
      <c r="F309" s="963"/>
      <c r="G309" s="53">
        <f t="shared" si="55"/>
        <v>0.03</v>
      </c>
      <c r="H309" s="963"/>
      <c r="I309" s="53">
        <f t="shared" si="56"/>
        <v>0.03</v>
      </c>
      <c r="J309" s="963"/>
      <c r="K309" s="53">
        <f t="shared" si="57"/>
        <v>0.03</v>
      </c>
      <c r="L309" s="963"/>
      <c r="M309" s="53">
        <f t="shared" si="58"/>
        <v>0.02</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0.1</v>
      </c>
      <c r="F310" s="963"/>
      <c r="G310" s="53">
        <f t="shared" si="55"/>
        <v>0.03</v>
      </c>
      <c r="H310" s="963"/>
      <c r="I310" s="53">
        <f t="shared" si="56"/>
        <v>0.03</v>
      </c>
      <c r="J310" s="963"/>
      <c r="K310" s="53">
        <f t="shared" si="57"/>
        <v>0.03</v>
      </c>
      <c r="L310" s="963"/>
      <c r="M310" s="53">
        <f t="shared" si="58"/>
        <v>0.02</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0.1</v>
      </c>
      <c r="F311" s="963"/>
      <c r="G311" s="53">
        <f t="shared" si="55"/>
        <v>0.03</v>
      </c>
      <c r="H311" s="963"/>
      <c r="I311" s="53">
        <f t="shared" si="56"/>
        <v>0.03</v>
      </c>
      <c r="J311" s="963"/>
      <c r="K311" s="53">
        <f t="shared" si="57"/>
        <v>0.03</v>
      </c>
      <c r="L311" s="963"/>
      <c r="M311" s="53">
        <f t="shared" si="58"/>
        <v>0.02</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0.1</v>
      </c>
      <c r="F312" s="963"/>
      <c r="G312" s="53">
        <f t="shared" si="55"/>
        <v>0.03</v>
      </c>
      <c r="H312" s="963"/>
      <c r="I312" s="53">
        <f t="shared" si="56"/>
        <v>0.03</v>
      </c>
      <c r="J312" s="963"/>
      <c r="K312" s="53">
        <f t="shared" si="57"/>
        <v>0.03</v>
      </c>
      <c r="L312" s="963"/>
      <c r="M312" s="53">
        <f t="shared" si="58"/>
        <v>0.02</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0.1</v>
      </c>
      <c r="F313" s="963"/>
      <c r="G313" s="53">
        <f t="shared" si="55"/>
        <v>0.03</v>
      </c>
      <c r="H313" s="963"/>
      <c r="I313" s="53">
        <f t="shared" si="56"/>
        <v>0.03</v>
      </c>
      <c r="J313" s="963"/>
      <c r="K313" s="53">
        <f t="shared" si="57"/>
        <v>0.03</v>
      </c>
      <c r="L313" s="963"/>
      <c r="M313" s="53">
        <f t="shared" si="58"/>
        <v>0.02</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0.1</v>
      </c>
      <c r="F314" s="963"/>
      <c r="G314" s="53">
        <f t="shared" si="55"/>
        <v>0.03</v>
      </c>
      <c r="H314" s="963"/>
      <c r="I314" s="53">
        <f t="shared" si="56"/>
        <v>0.03</v>
      </c>
      <c r="J314" s="963"/>
      <c r="K314" s="53">
        <f t="shared" si="57"/>
        <v>0.03</v>
      </c>
      <c r="L314" s="963"/>
      <c r="M314" s="53">
        <f t="shared" si="58"/>
        <v>0.02</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0.1</v>
      </c>
      <c r="F315" s="963"/>
      <c r="G315" s="53">
        <f t="shared" si="55"/>
        <v>0.03</v>
      </c>
      <c r="H315" s="963"/>
      <c r="I315" s="53">
        <f t="shared" si="56"/>
        <v>0.03</v>
      </c>
      <c r="J315" s="963"/>
      <c r="K315" s="53">
        <f t="shared" si="57"/>
        <v>0.03</v>
      </c>
      <c r="L315" s="963"/>
      <c r="M315" s="53">
        <f t="shared" si="58"/>
        <v>0.02</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0.1</v>
      </c>
      <c r="F316" s="963"/>
      <c r="G316" s="53">
        <f t="shared" si="55"/>
        <v>0.03</v>
      </c>
      <c r="H316" s="963"/>
      <c r="I316" s="53">
        <f t="shared" si="56"/>
        <v>0.03</v>
      </c>
      <c r="J316" s="963"/>
      <c r="K316" s="53">
        <f t="shared" si="57"/>
        <v>0.03</v>
      </c>
      <c r="L316" s="963"/>
      <c r="M316" s="53">
        <f t="shared" si="58"/>
        <v>0.02</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0.1</v>
      </c>
      <c r="F317" s="963"/>
      <c r="G317" s="53">
        <f t="shared" si="55"/>
        <v>0.03</v>
      </c>
      <c r="H317" s="963"/>
      <c r="I317" s="53">
        <f t="shared" si="56"/>
        <v>0.03</v>
      </c>
      <c r="J317" s="963"/>
      <c r="K317" s="53">
        <f t="shared" si="57"/>
        <v>0.03</v>
      </c>
      <c r="L317" s="963"/>
      <c r="M317" s="53">
        <f t="shared" si="58"/>
        <v>0.02</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0.1</v>
      </c>
      <c r="F318" s="963"/>
      <c r="G318" s="53">
        <f t="shared" si="55"/>
        <v>0.03</v>
      </c>
      <c r="H318" s="963"/>
      <c r="I318" s="53">
        <f t="shared" si="56"/>
        <v>0.03</v>
      </c>
      <c r="J318" s="963"/>
      <c r="K318" s="53">
        <f t="shared" si="57"/>
        <v>0.03</v>
      </c>
      <c r="L318" s="963"/>
      <c r="M318" s="53">
        <f t="shared" si="58"/>
        <v>0.02</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0.1</v>
      </c>
      <c r="F319" s="963"/>
      <c r="G319" s="53">
        <f t="shared" si="55"/>
        <v>0.03</v>
      </c>
      <c r="H319" s="963"/>
      <c r="I319" s="53">
        <f t="shared" si="56"/>
        <v>0.03</v>
      </c>
      <c r="J319" s="963"/>
      <c r="K319" s="53">
        <f t="shared" si="57"/>
        <v>0.03</v>
      </c>
      <c r="L319" s="963"/>
      <c r="M319" s="53">
        <f t="shared" si="58"/>
        <v>0.02</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0.1</v>
      </c>
      <c r="F320" s="963"/>
      <c r="G320" s="53">
        <f t="shared" si="55"/>
        <v>0.03</v>
      </c>
      <c r="H320" s="963"/>
      <c r="I320" s="53">
        <f t="shared" si="56"/>
        <v>0.03</v>
      </c>
      <c r="J320" s="963"/>
      <c r="K320" s="53">
        <f t="shared" si="57"/>
        <v>0.03</v>
      </c>
      <c r="L320" s="963"/>
      <c r="M320" s="53">
        <f t="shared" si="58"/>
        <v>0.02</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0.1</v>
      </c>
      <c r="F321" s="963"/>
      <c r="G321" s="53">
        <f t="shared" si="55"/>
        <v>0.03</v>
      </c>
      <c r="H321" s="963"/>
      <c r="I321" s="53">
        <f t="shared" si="56"/>
        <v>0.03</v>
      </c>
      <c r="J321" s="963"/>
      <c r="K321" s="53">
        <f t="shared" si="57"/>
        <v>0.03</v>
      </c>
      <c r="L321" s="963"/>
      <c r="M321" s="53">
        <f t="shared" si="58"/>
        <v>0.02</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0.1</v>
      </c>
      <c r="F322" s="963"/>
      <c r="G322" s="53">
        <f t="shared" si="55"/>
        <v>0.03</v>
      </c>
      <c r="H322" s="963"/>
      <c r="I322" s="53">
        <f t="shared" si="56"/>
        <v>0.03</v>
      </c>
      <c r="J322" s="963"/>
      <c r="K322" s="53">
        <f t="shared" si="57"/>
        <v>0.03</v>
      </c>
      <c r="L322" s="963"/>
      <c r="M322" s="53">
        <f t="shared" si="58"/>
        <v>0.02</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0.1</v>
      </c>
      <c r="F323" s="963"/>
      <c r="G323" s="53">
        <f t="shared" si="55"/>
        <v>0.03</v>
      </c>
      <c r="H323" s="963"/>
      <c r="I323" s="53">
        <f t="shared" si="56"/>
        <v>0.03</v>
      </c>
      <c r="J323" s="963"/>
      <c r="K323" s="53">
        <f t="shared" si="57"/>
        <v>0.03</v>
      </c>
      <c r="L323" s="963"/>
      <c r="M323" s="53">
        <f t="shared" si="58"/>
        <v>0.02</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0.1</v>
      </c>
      <c r="F324" s="963"/>
      <c r="G324" s="53">
        <f t="shared" si="55"/>
        <v>0.03</v>
      </c>
      <c r="H324" s="963"/>
      <c r="I324" s="53">
        <f t="shared" si="56"/>
        <v>0.03</v>
      </c>
      <c r="J324" s="963"/>
      <c r="K324" s="53">
        <f t="shared" si="57"/>
        <v>0.03</v>
      </c>
      <c r="L324" s="963"/>
      <c r="M324" s="53">
        <f t="shared" si="58"/>
        <v>0.02</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0.1</v>
      </c>
      <c r="F325" s="963"/>
      <c r="G325" s="53">
        <f t="shared" si="55"/>
        <v>0.03</v>
      </c>
      <c r="H325" s="963"/>
      <c r="I325" s="53">
        <f t="shared" si="56"/>
        <v>0.03</v>
      </c>
      <c r="J325" s="963"/>
      <c r="K325" s="53">
        <f t="shared" si="57"/>
        <v>0.03</v>
      </c>
      <c r="L325" s="963"/>
      <c r="M325" s="53">
        <f t="shared" si="58"/>
        <v>0.02</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0.1</v>
      </c>
      <c r="F326" s="963"/>
      <c r="G326" s="53">
        <f t="shared" si="55"/>
        <v>0.03</v>
      </c>
      <c r="H326" s="963"/>
      <c r="I326" s="53">
        <f t="shared" si="56"/>
        <v>0.03</v>
      </c>
      <c r="J326" s="963"/>
      <c r="K326" s="53">
        <f t="shared" si="57"/>
        <v>0.03</v>
      </c>
      <c r="L326" s="963"/>
      <c r="M326" s="53">
        <f t="shared" si="58"/>
        <v>0.02</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0.1</v>
      </c>
      <c r="F327" s="963"/>
      <c r="G327" s="53">
        <f t="shared" si="55"/>
        <v>0.03</v>
      </c>
      <c r="H327" s="963"/>
      <c r="I327" s="53">
        <f t="shared" si="56"/>
        <v>0.03</v>
      </c>
      <c r="J327" s="963"/>
      <c r="K327" s="53">
        <f t="shared" si="57"/>
        <v>0.03</v>
      </c>
      <c r="L327" s="963"/>
      <c r="M327" s="53">
        <f t="shared" si="58"/>
        <v>0.02</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0.1</v>
      </c>
      <c r="F328" s="963"/>
      <c r="G328" s="53">
        <f t="shared" si="55"/>
        <v>0.03</v>
      </c>
      <c r="H328" s="963"/>
      <c r="I328" s="53">
        <f t="shared" si="56"/>
        <v>0.03</v>
      </c>
      <c r="J328" s="963"/>
      <c r="K328" s="53">
        <f t="shared" si="57"/>
        <v>0.03</v>
      </c>
      <c r="L328" s="963"/>
      <c r="M328" s="53">
        <f t="shared" si="58"/>
        <v>0.02</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0.1</v>
      </c>
      <c r="F329" s="963"/>
      <c r="G329" s="53">
        <f t="shared" si="55"/>
        <v>0.03</v>
      </c>
      <c r="H329" s="963"/>
      <c r="I329" s="53">
        <f t="shared" si="56"/>
        <v>0.03</v>
      </c>
      <c r="J329" s="963"/>
      <c r="K329" s="53">
        <f t="shared" si="57"/>
        <v>0.03</v>
      </c>
      <c r="L329" s="963"/>
      <c r="M329" s="53">
        <f t="shared" si="58"/>
        <v>0.02</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0.1</v>
      </c>
      <c r="F330" s="963"/>
      <c r="G330" s="53">
        <f t="shared" si="55"/>
        <v>0.03</v>
      </c>
      <c r="H330" s="963"/>
      <c r="I330" s="53">
        <f t="shared" si="56"/>
        <v>0.03</v>
      </c>
      <c r="J330" s="963"/>
      <c r="K330" s="53">
        <f t="shared" si="57"/>
        <v>0.03</v>
      </c>
      <c r="L330" s="963"/>
      <c r="M330" s="53">
        <f t="shared" si="58"/>
        <v>0.02</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0.1</v>
      </c>
      <c r="F331" s="963"/>
      <c r="G331" s="53">
        <f t="shared" si="55"/>
        <v>0.03</v>
      </c>
      <c r="H331" s="963"/>
      <c r="I331" s="53">
        <f t="shared" si="56"/>
        <v>0.03</v>
      </c>
      <c r="J331" s="963"/>
      <c r="K331" s="53">
        <f t="shared" si="57"/>
        <v>0.03</v>
      </c>
      <c r="L331" s="963"/>
      <c r="M331" s="53">
        <f t="shared" si="58"/>
        <v>0.02</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0.1</v>
      </c>
      <c r="F332" s="963"/>
      <c r="G332" s="53">
        <f t="shared" si="55"/>
        <v>0.03</v>
      </c>
      <c r="H332" s="963"/>
      <c r="I332" s="53">
        <f t="shared" si="56"/>
        <v>0.03</v>
      </c>
      <c r="J332" s="963"/>
      <c r="K332" s="53">
        <f t="shared" si="57"/>
        <v>0.03</v>
      </c>
      <c r="L332" s="963"/>
      <c r="M332" s="53">
        <f t="shared" si="58"/>
        <v>0.02</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0.1</v>
      </c>
      <c r="F333" s="963"/>
      <c r="G333" s="53">
        <f t="shared" si="55"/>
        <v>0.03</v>
      </c>
      <c r="H333" s="963"/>
      <c r="I333" s="53">
        <f t="shared" si="56"/>
        <v>0.03</v>
      </c>
      <c r="J333" s="963"/>
      <c r="K333" s="53">
        <f t="shared" si="57"/>
        <v>0.03</v>
      </c>
      <c r="L333" s="963"/>
      <c r="M333" s="53">
        <f t="shared" si="58"/>
        <v>0.02</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0.1</v>
      </c>
      <c r="F334" s="963"/>
      <c r="G334" s="53">
        <f t="shared" si="55"/>
        <v>0.03</v>
      </c>
      <c r="H334" s="963"/>
      <c r="I334" s="53">
        <f t="shared" si="56"/>
        <v>0.03</v>
      </c>
      <c r="J334" s="963"/>
      <c r="K334" s="53">
        <f t="shared" si="57"/>
        <v>0.03</v>
      </c>
      <c r="L334" s="963"/>
      <c r="M334" s="53">
        <f t="shared" si="58"/>
        <v>0.02</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0.1</v>
      </c>
      <c r="F335" s="963"/>
      <c r="G335" s="53">
        <f t="shared" si="55"/>
        <v>0.03</v>
      </c>
      <c r="H335" s="963"/>
      <c r="I335" s="53">
        <f t="shared" si="56"/>
        <v>0.03</v>
      </c>
      <c r="J335" s="963"/>
      <c r="K335" s="53">
        <f t="shared" si="57"/>
        <v>0.03</v>
      </c>
      <c r="L335" s="963"/>
      <c r="M335" s="53">
        <f t="shared" si="58"/>
        <v>0.02</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0.1</v>
      </c>
      <c r="F336" s="963"/>
      <c r="G336" s="53">
        <f t="shared" si="55"/>
        <v>0.03</v>
      </c>
      <c r="H336" s="963"/>
      <c r="I336" s="53">
        <f t="shared" si="56"/>
        <v>0.03</v>
      </c>
      <c r="J336" s="963"/>
      <c r="K336" s="53">
        <f t="shared" si="57"/>
        <v>0.03</v>
      </c>
      <c r="L336" s="963"/>
      <c r="M336" s="53">
        <f t="shared" si="58"/>
        <v>0.02</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0.1</v>
      </c>
      <c r="F337" s="963"/>
      <c r="G337" s="53">
        <f t="shared" si="55"/>
        <v>0.03</v>
      </c>
      <c r="H337" s="963"/>
      <c r="I337" s="53">
        <f t="shared" si="56"/>
        <v>0.03</v>
      </c>
      <c r="J337" s="963"/>
      <c r="K337" s="53">
        <f t="shared" si="57"/>
        <v>0.03</v>
      </c>
      <c r="L337" s="963"/>
      <c r="M337" s="53">
        <f t="shared" si="58"/>
        <v>0.02</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0.1</v>
      </c>
      <c r="F338" s="963"/>
      <c r="G338" s="53">
        <f t="shared" si="55"/>
        <v>0.03</v>
      </c>
      <c r="H338" s="963"/>
      <c r="I338" s="53">
        <f t="shared" si="56"/>
        <v>0.03</v>
      </c>
      <c r="J338" s="963"/>
      <c r="K338" s="53">
        <f t="shared" si="57"/>
        <v>0.03</v>
      </c>
      <c r="L338" s="963"/>
      <c r="M338" s="53">
        <f t="shared" si="58"/>
        <v>0.02</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0.1</v>
      </c>
      <c r="F339" s="963"/>
      <c r="G339" s="53">
        <f t="shared" si="55"/>
        <v>0.03</v>
      </c>
      <c r="H339" s="963"/>
      <c r="I339" s="53">
        <f t="shared" si="56"/>
        <v>0.03</v>
      </c>
      <c r="J339" s="963"/>
      <c r="K339" s="53">
        <f t="shared" si="57"/>
        <v>0.03</v>
      </c>
      <c r="L339" s="963"/>
      <c r="M339" s="53">
        <f t="shared" si="58"/>
        <v>0.02</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0.1</v>
      </c>
      <c r="F340" s="963"/>
      <c r="G340" s="53">
        <f t="shared" si="55"/>
        <v>0.03</v>
      </c>
      <c r="H340" s="963"/>
      <c r="I340" s="53">
        <f t="shared" si="56"/>
        <v>0.03</v>
      </c>
      <c r="J340" s="963"/>
      <c r="K340" s="53">
        <f t="shared" si="57"/>
        <v>0.03</v>
      </c>
      <c r="L340" s="963"/>
      <c r="M340" s="53">
        <f t="shared" si="58"/>
        <v>0.02</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0.1</v>
      </c>
      <c r="F341" s="963"/>
      <c r="G341" s="53">
        <f t="shared" si="55"/>
        <v>0.03</v>
      </c>
      <c r="H341" s="963"/>
      <c r="I341" s="53">
        <f t="shared" si="56"/>
        <v>0.03</v>
      </c>
      <c r="J341" s="963"/>
      <c r="K341" s="53">
        <f t="shared" si="57"/>
        <v>0.03</v>
      </c>
      <c r="L341" s="963"/>
      <c r="M341" s="53">
        <f t="shared" si="58"/>
        <v>0.02</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0.1</v>
      </c>
      <c r="F342" s="963"/>
      <c r="G342" s="53">
        <f t="shared" si="55"/>
        <v>0.03</v>
      </c>
      <c r="H342" s="963"/>
      <c r="I342" s="53">
        <f t="shared" si="56"/>
        <v>0.03</v>
      </c>
      <c r="J342" s="963"/>
      <c r="K342" s="53">
        <f t="shared" si="57"/>
        <v>0.03</v>
      </c>
      <c r="L342" s="963"/>
      <c r="M342" s="53">
        <f t="shared" si="58"/>
        <v>0.02</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0.1</v>
      </c>
      <c r="F343" s="963"/>
      <c r="G343" s="53">
        <f t="shared" si="55"/>
        <v>0.03</v>
      </c>
      <c r="H343" s="963"/>
      <c r="I343" s="53">
        <f t="shared" si="56"/>
        <v>0.03</v>
      </c>
      <c r="J343" s="963"/>
      <c r="K343" s="53">
        <f t="shared" si="57"/>
        <v>0.03</v>
      </c>
      <c r="L343" s="963"/>
      <c r="M343" s="53">
        <f t="shared" si="58"/>
        <v>0.02</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0.1</v>
      </c>
      <c r="F344" s="963"/>
      <c r="G344" s="53">
        <f t="shared" si="55"/>
        <v>0.03</v>
      </c>
      <c r="H344" s="963"/>
      <c r="I344" s="53">
        <f t="shared" si="56"/>
        <v>0.03</v>
      </c>
      <c r="J344" s="963"/>
      <c r="K344" s="53">
        <f t="shared" si="57"/>
        <v>0.03</v>
      </c>
      <c r="L344" s="963"/>
      <c r="M344" s="53">
        <f t="shared" si="58"/>
        <v>0.02</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0.1</v>
      </c>
      <c r="F345" s="963"/>
      <c r="G345" s="53">
        <f t="shared" si="55"/>
        <v>0.03</v>
      </c>
      <c r="H345" s="963"/>
      <c r="I345" s="53">
        <f t="shared" si="56"/>
        <v>0.03</v>
      </c>
      <c r="J345" s="963"/>
      <c r="K345" s="53">
        <f t="shared" si="57"/>
        <v>0.03</v>
      </c>
      <c r="L345" s="963"/>
      <c r="M345" s="53">
        <f t="shared" si="58"/>
        <v>0.02</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0.1</v>
      </c>
      <c r="F346" s="963"/>
      <c r="G346" s="53">
        <f t="shared" ref="G346:G409" si="66">(SUMIF($7:$7,F346,$8:$8)-SUMIF($7:$7,$F$24,$8:$8)+100)/100</f>
        <v>0.03</v>
      </c>
      <c r="H346" s="963"/>
      <c r="I346" s="53">
        <f t="shared" ref="I346:I409" si="67">(SUMIF($9:$9,H346,$10:$10)-SUMIF($9:$9,$H$24,$10:$10)+100)/100</f>
        <v>0.03</v>
      </c>
      <c r="J346" s="963"/>
      <c r="K346" s="53">
        <f t="shared" ref="K346:K409" si="68">(SUMIF($11:$11,J346,$12:$12)-SUMIF($11:$11,$J$24,$12:$12)+100)/100</f>
        <v>0.03</v>
      </c>
      <c r="L346" s="963"/>
      <c r="M346" s="53">
        <f t="shared" ref="M346:M409" si="69">(SUMIF($13:$13,L346,$14:$14)-SUMIF($13:$13,$L$24,$14:$14)+100)/100</f>
        <v>0.02</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0.1</v>
      </c>
      <c r="F347" s="963"/>
      <c r="G347" s="53">
        <f t="shared" si="66"/>
        <v>0.03</v>
      </c>
      <c r="H347" s="963"/>
      <c r="I347" s="53">
        <f t="shared" si="67"/>
        <v>0.03</v>
      </c>
      <c r="J347" s="963"/>
      <c r="K347" s="53">
        <f t="shared" si="68"/>
        <v>0.03</v>
      </c>
      <c r="L347" s="963"/>
      <c r="M347" s="53">
        <f t="shared" si="69"/>
        <v>0.02</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0.1</v>
      </c>
      <c r="F348" s="963"/>
      <c r="G348" s="53">
        <f t="shared" si="66"/>
        <v>0.03</v>
      </c>
      <c r="H348" s="963"/>
      <c r="I348" s="53">
        <f t="shared" si="67"/>
        <v>0.03</v>
      </c>
      <c r="J348" s="963"/>
      <c r="K348" s="53">
        <f t="shared" si="68"/>
        <v>0.03</v>
      </c>
      <c r="L348" s="963"/>
      <c r="M348" s="53">
        <f t="shared" si="69"/>
        <v>0.02</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0.1</v>
      </c>
      <c r="F349" s="963"/>
      <c r="G349" s="53">
        <f t="shared" si="66"/>
        <v>0.03</v>
      </c>
      <c r="H349" s="963"/>
      <c r="I349" s="53">
        <f t="shared" si="67"/>
        <v>0.03</v>
      </c>
      <c r="J349" s="963"/>
      <c r="K349" s="53">
        <f t="shared" si="68"/>
        <v>0.03</v>
      </c>
      <c r="L349" s="963"/>
      <c r="M349" s="53">
        <f t="shared" si="69"/>
        <v>0.02</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0.1</v>
      </c>
      <c r="F350" s="963"/>
      <c r="G350" s="53">
        <f t="shared" si="66"/>
        <v>0.03</v>
      </c>
      <c r="H350" s="963"/>
      <c r="I350" s="53">
        <f t="shared" si="67"/>
        <v>0.03</v>
      </c>
      <c r="J350" s="963"/>
      <c r="K350" s="53">
        <f t="shared" si="68"/>
        <v>0.03</v>
      </c>
      <c r="L350" s="963"/>
      <c r="M350" s="53">
        <f t="shared" si="69"/>
        <v>0.02</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0.1</v>
      </c>
      <c r="F351" s="963"/>
      <c r="G351" s="53">
        <f t="shared" si="66"/>
        <v>0.03</v>
      </c>
      <c r="H351" s="963"/>
      <c r="I351" s="53">
        <f t="shared" si="67"/>
        <v>0.03</v>
      </c>
      <c r="J351" s="963"/>
      <c r="K351" s="53">
        <f t="shared" si="68"/>
        <v>0.03</v>
      </c>
      <c r="L351" s="963"/>
      <c r="M351" s="53">
        <f t="shared" si="69"/>
        <v>0.02</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0.1</v>
      </c>
      <c r="F352" s="963"/>
      <c r="G352" s="53">
        <f t="shared" si="66"/>
        <v>0.03</v>
      </c>
      <c r="H352" s="963"/>
      <c r="I352" s="53">
        <f t="shared" si="67"/>
        <v>0.03</v>
      </c>
      <c r="J352" s="963"/>
      <c r="K352" s="53">
        <f t="shared" si="68"/>
        <v>0.03</v>
      </c>
      <c r="L352" s="963"/>
      <c r="M352" s="53">
        <f t="shared" si="69"/>
        <v>0.02</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0.1</v>
      </c>
      <c r="F353" s="963"/>
      <c r="G353" s="53">
        <f t="shared" si="66"/>
        <v>0.03</v>
      </c>
      <c r="H353" s="963"/>
      <c r="I353" s="53">
        <f t="shared" si="67"/>
        <v>0.03</v>
      </c>
      <c r="J353" s="963"/>
      <c r="K353" s="53">
        <f t="shared" si="68"/>
        <v>0.03</v>
      </c>
      <c r="L353" s="963"/>
      <c r="M353" s="53">
        <f t="shared" si="69"/>
        <v>0.02</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0.1</v>
      </c>
      <c r="F354" s="963"/>
      <c r="G354" s="53">
        <f t="shared" si="66"/>
        <v>0.03</v>
      </c>
      <c r="H354" s="963"/>
      <c r="I354" s="53">
        <f t="shared" si="67"/>
        <v>0.03</v>
      </c>
      <c r="J354" s="963"/>
      <c r="K354" s="53">
        <f t="shared" si="68"/>
        <v>0.03</v>
      </c>
      <c r="L354" s="963"/>
      <c r="M354" s="53">
        <f t="shared" si="69"/>
        <v>0.02</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0.1</v>
      </c>
      <c r="F355" s="963"/>
      <c r="G355" s="53">
        <f t="shared" si="66"/>
        <v>0.03</v>
      </c>
      <c r="H355" s="963"/>
      <c r="I355" s="53">
        <f t="shared" si="67"/>
        <v>0.03</v>
      </c>
      <c r="J355" s="963"/>
      <c r="K355" s="53">
        <f t="shared" si="68"/>
        <v>0.03</v>
      </c>
      <c r="L355" s="963"/>
      <c r="M355" s="53">
        <f t="shared" si="69"/>
        <v>0.02</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0.1</v>
      </c>
      <c r="F356" s="963"/>
      <c r="G356" s="53">
        <f t="shared" si="66"/>
        <v>0.03</v>
      </c>
      <c r="H356" s="963"/>
      <c r="I356" s="53">
        <f t="shared" si="67"/>
        <v>0.03</v>
      </c>
      <c r="J356" s="963"/>
      <c r="K356" s="53">
        <f t="shared" si="68"/>
        <v>0.03</v>
      </c>
      <c r="L356" s="963"/>
      <c r="M356" s="53">
        <f t="shared" si="69"/>
        <v>0.02</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0.1</v>
      </c>
      <c r="F357" s="963"/>
      <c r="G357" s="53">
        <f t="shared" si="66"/>
        <v>0.03</v>
      </c>
      <c r="H357" s="963"/>
      <c r="I357" s="53">
        <f t="shared" si="67"/>
        <v>0.03</v>
      </c>
      <c r="J357" s="963"/>
      <c r="K357" s="53">
        <f t="shared" si="68"/>
        <v>0.03</v>
      </c>
      <c r="L357" s="963"/>
      <c r="M357" s="53">
        <f t="shared" si="69"/>
        <v>0.02</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0.1</v>
      </c>
      <c r="F358" s="963"/>
      <c r="G358" s="53">
        <f t="shared" si="66"/>
        <v>0.03</v>
      </c>
      <c r="H358" s="963"/>
      <c r="I358" s="53">
        <f t="shared" si="67"/>
        <v>0.03</v>
      </c>
      <c r="J358" s="963"/>
      <c r="K358" s="53">
        <f t="shared" si="68"/>
        <v>0.03</v>
      </c>
      <c r="L358" s="963"/>
      <c r="M358" s="53">
        <f t="shared" si="69"/>
        <v>0.02</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0.1</v>
      </c>
      <c r="F359" s="963"/>
      <c r="G359" s="53">
        <f t="shared" si="66"/>
        <v>0.03</v>
      </c>
      <c r="H359" s="963"/>
      <c r="I359" s="53">
        <f t="shared" si="67"/>
        <v>0.03</v>
      </c>
      <c r="J359" s="963"/>
      <c r="K359" s="53">
        <f t="shared" si="68"/>
        <v>0.03</v>
      </c>
      <c r="L359" s="963"/>
      <c r="M359" s="53">
        <f t="shared" si="69"/>
        <v>0.02</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0.1</v>
      </c>
      <c r="F360" s="963"/>
      <c r="G360" s="53">
        <f t="shared" si="66"/>
        <v>0.03</v>
      </c>
      <c r="H360" s="963"/>
      <c r="I360" s="53">
        <f t="shared" si="67"/>
        <v>0.03</v>
      </c>
      <c r="J360" s="963"/>
      <c r="K360" s="53">
        <f t="shared" si="68"/>
        <v>0.03</v>
      </c>
      <c r="L360" s="963"/>
      <c r="M360" s="53">
        <f t="shared" si="69"/>
        <v>0.02</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0.1</v>
      </c>
      <c r="F361" s="963"/>
      <c r="G361" s="53">
        <f t="shared" si="66"/>
        <v>0.03</v>
      </c>
      <c r="H361" s="963"/>
      <c r="I361" s="53">
        <f t="shared" si="67"/>
        <v>0.03</v>
      </c>
      <c r="J361" s="963"/>
      <c r="K361" s="53">
        <f t="shared" si="68"/>
        <v>0.03</v>
      </c>
      <c r="L361" s="963"/>
      <c r="M361" s="53">
        <f t="shared" si="69"/>
        <v>0.02</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0.1</v>
      </c>
      <c r="F362" s="963"/>
      <c r="G362" s="53">
        <f t="shared" si="66"/>
        <v>0.03</v>
      </c>
      <c r="H362" s="963"/>
      <c r="I362" s="53">
        <f t="shared" si="67"/>
        <v>0.03</v>
      </c>
      <c r="J362" s="963"/>
      <c r="K362" s="53">
        <f t="shared" si="68"/>
        <v>0.03</v>
      </c>
      <c r="L362" s="963"/>
      <c r="M362" s="53">
        <f t="shared" si="69"/>
        <v>0.02</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0.1</v>
      </c>
      <c r="F363" s="963"/>
      <c r="G363" s="53">
        <f t="shared" si="66"/>
        <v>0.03</v>
      </c>
      <c r="H363" s="963"/>
      <c r="I363" s="53">
        <f t="shared" si="67"/>
        <v>0.03</v>
      </c>
      <c r="J363" s="963"/>
      <c r="K363" s="53">
        <f t="shared" si="68"/>
        <v>0.03</v>
      </c>
      <c r="L363" s="963"/>
      <c r="M363" s="53">
        <f t="shared" si="69"/>
        <v>0.02</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0.1</v>
      </c>
      <c r="F364" s="963"/>
      <c r="G364" s="53">
        <f t="shared" si="66"/>
        <v>0.03</v>
      </c>
      <c r="H364" s="963"/>
      <c r="I364" s="53">
        <f t="shared" si="67"/>
        <v>0.03</v>
      </c>
      <c r="J364" s="963"/>
      <c r="K364" s="53">
        <f t="shared" si="68"/>
        <v>0.03</v>
      </c>
      <c r="L364" s="963"/>
      <c r="M364" s="53">
        <f t="shared" si="69"/>
        <v>0.02</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0.1</v>
      </c>
      <c r="F365" s="963"/>
      <c r="G365" s="53">
        <f t="shared" si="66"/>
        <v>0.03</v>
      </c>
      <c r="H365" s="963"/>
      <c r="I365" s="53">
        <f t="shared" si="67"/>
        <v>0.03</v>
      </c>
      <c r="J365" s="963"/>
      <c r="K365" s="53">
        <f t="shared" si="68"/>
        <v>0.03</v>
      </c>
      <c r="L365" s="963"/>
      <c r="M365" s="53">
        <f t="shared" si="69"/>
        <v>0.02</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0.1</v>
      </c>
      <c r="F366" s="963"/>
      <c r="G366" s="53">
        <f t="shared" si="66"/>
        <v>0.03</v>
      </c>
      <c r="H366" s="963"/>
      <c r="I366" s="53">
        <f t="shared" si="67"/>
        <v>0.03</v>
      </c>
      <c r="J366" s="963"/>
      <c r="K366" s="53">
        <f t="shared" si="68"/>
        <v>0.03</v>
      </c>
      <c r="L366" s="963"/>
      <c r="M366" s="53">
        <f t="shared" si="69"/>
        <v>0.02</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0.1</v>
      </c>
      <c r="F367" s="963"/>
      <c r="G367" s="53">
        <f t="shared" si="66"/>
        <v>0.03</v>
      </c>
      <c r="H367" s="963"/>
      <c r="I367" s="53">
        <f t="shared" si="67"/>
        <v>0.03</v>
      </c>
      <c r="J367" s="963"/>
      <c r="K367" s="53">
        <f t="shared" si="68"/>
        <v>0.03</v>
      </c>
      <c r="L367" s="963"/>
      <c r="M367" s="53">
        <f t="shared" si="69"/>
        <v>0.02</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0.1</v>
      </c>
      <c r="F368" s="963"/>
      <c r="G368" s="53">
        <f t="shared" si="66"/>
        <v>0.03</v>
      </c>
      <c r="H368" s="963"/>
      <c r="I368" s="53">
        <f t="shared" si="67"/>
        <v>0.03</v>
      </c>
      <c r="J368" s="963"/>
      <c r="K368" s="53">
        <f t="shared" si="68"/>
        <v>0.03</v>
      </c>
      <c r="L368" s="963"/>
      <c r="M368" s="53">
        <f t="shared" si="69"/>
        <v>0.02</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0.1</v>
      </c>
      <c r="F369" s="963"/>
      <c r="G369" s="53">
        <f t="shared" si="66"/>
        <v>0.03</v>
      </c>
      <c r="H369" s="963"/>
      <c r="I369" s="53">
        <f t="shared" si="67"/>
        <v>0.03</v>
      </c>
      <c r="J369" s="963"/>
      <c r="K369" s="53">
        <f t="shared" si="68"/>
        <v>0.03</v>
      </c>
      <c r="L369" s="963"/>
      <c r="M369" s="53">
        <f t="shared" si="69"/>
        <v>0.02</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0.1</v>
      </c>
      <c r="F370" s="963"/>
      <c r="G370" s="53">
        <f t="shared" si="66"/>
        <v>0.03</v>
      </c>
      <c r="H370" s="963"/>
      <c r="I370" s="53">
        <f t="shared" si="67"/>
        <v>0.03</v>
      </c>
      <c r="J370" s="963"/>
      <c r="K370" s="53">
        <f t="shared" si="68"/>
        <v>0.03</v>
      </c>
      <c r="L370" s="963"/>
      <c r="M370" s="53">
        <f t="shared" si="69"/>
        <v>0.02</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0.1</v>
      </c>
      <c r="F371" s="963"/>
      <c r="G371" s="53">
        <f t="shared" si="66"/>
        <v>0.03</v>
      </c>
      <c r="H371" s="963"/>
      <c r="I371" s="53">
        <f t="shared" si="67"/>
        <v>0.03</v>
      </c>
      <c r="J371" s="963"/>
      <c r="K371" s="53">
        <f t="shared" si="68"/>
        <v>0.03</v>
      </c>
      <c r="L371" s="963"/>
      <c r="M371" s="53">
        <f t="shared" si="69"/>
        <v>0.02</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0.1</v>
      </c>
      <c r="F372" s="963"/>
      <c r="G372" s="53">
        <f t="shared" si="66"/>
        <v>0.03</v>
      </c>
      <c r="H372" s="963"/>
      <c r="I372" s="53">
        <f t="shared" si="67"/>
        <v>0.03</v>
      </c>
      <c r="J372" s="963"/>
      <c r="K372" s="53">
        <f t="shared" si="68"/>
        <v>0.03</v>
      </c>
      <c r="L372" s="963"/>
      <c r="M372" s="53">
        <f t="shared" si="69"/>
        <v>0.02</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0.1</v>
      </c>
      <c r="F373" s="963"/>
      <c r="G373" s="53">
        <f t="shared" si="66"/>
        <v>0.03</v>
      </c>
      <c r="H373" s="963"/>
      <c r="I373" s="53">
        <f t="shared" si="67"/>
        <v>0.03</v>
      </c>
      <c r="J373" s="963"/>
      <c r="K373" s="53">
        <f t="shared" si="68"/>
        <v>0.03</v>
      </c>
      <c r="L373" s="963"/>
      <c r="M373" s="53">
        <f t="shared" si="69"/>
        <v>0.02</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0.1</v>
      </c>
      <c r="F374" s="963"/>
      <c r="G374" s="53">
        <f t="shared" si="66"/>
        <v>0.03</v>
      </c>
      <c r="H374" s="963"/>
      <c r="I374" s="53">
        <f t="shared" si="67"/>
        <v>0.03</v>
      </c>
      <c r="J374" s="963"/>
      <c r="K374" s="53">
        <f t="shared" si="68"/>
        <v>0.03</v>
      </c>
      <c r="L374" s="963"/>
      <c r="M374" s="53">
        <f t="shared" si="69"/>
        <v>0.02</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0.1</v>
      </c>
      <c r="F375" s="963"/>
      <c r="G375" s="53">
        <f t="shared" si="66"/>
        <v>0.03</v>
      </c>
      <c r="H375" s="963"/>
      <c r="I375" s="53">
        <f t="shared" si="67"/>
        <v>0.03</v>
      </c>
      <c r="J375" s="963"/>
      <c r="K375" s="53">
        <f t="shared" si="68"/>
        <v>0.03</v>
      </c>
      <c r="L375" s="963"/>
      <c r="M375" s="53">
        <f t="shared" si="69"/>
        <v>0.02</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0.1</v>
      </c>
      <c r="F376" s="963"/>
      <c r="G376" s="53">
        <f t="shared" si="66"/>
        <v>0.03</v>
      </c>
      <c r="H376" s="963"/>
      <c r="I376" s="53">
        <f t="shared" si="67"/>
        <v>0.03</v>
      </c>
      <c r="J376" s="963"/>
      <c r="K376" s="53">
        <f t="shared" si="68"/>
        <v>0.03</v>
      </c>
      <c r="L376" s="963"/>
      <c r="M376" s="53">
        <f t="shared" si="69"/>
        <v>0.02</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0.1</v>
      </c>
      <c r="F377" s="963"/>
      <c r="G377" s="53">
        <f t="shared" si="66"/>
        <v>0.03</v>
      </c>
      <c r="H377" s="963"/>
      <c r="I377" s="53">
        <f t="shared" si="67"/>
        <v>0.03</v>
      </c>
      <c r="J377" s="963"/>
      <c r="K377" s="53">
        <f t="shared" si="68"/>
        <v>0.03</v>
      </c>
      <c r="L377" s="963"/>
      <c r="M377" s="53">
        <f t="shared" si="69"/>
        <v>0.02</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0.1</v>
      </c>
      <c r="F378" s="963"/>
      <c r="G378" s="53">
        <f t="shared" si="66"/>
        <v>0.03</v>
      </c>
      <c r="H378" s="963"/>
      <c r="I378" s="53">
        <f t="shared" si="67"/>
        <v>0.03</v>
      </c>
      <c r="J378" s="963"/>
      <c r="K378" s="53">
        <f t="shared" si="68"/>
        <v>0.03</v>
      </c>
      <c r="L378" s="963"/>
      <c r="M378" s="53">
        <f t="shared" si="69"/>
        <v>0.02</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0.1</v>
      </c>
      <c r="F379" s="963"/>
      <c r="G379" s="53">
        <f t="shared" si="66"/>
        <v>0.03</v>
      </c>
      <c r="H379" s="963"/>
      <c r="I379" s="53">
        <f t="shared" si="67"/>
        <v>0.03</v>
      </c>
      <c r="J379" s="963"/>
      <c r="K379" s="53">
        <f t="shared" si="68"/>
        <v>0.03</v>
      </c>
      <c r="L379" s="963"/>
      <c r="M379" s="53">
        <f t="shared" si="69"/>
        <v>0.02</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0.1</v>
      </c>
      <c r="F380" s="963"/>
      <c r="G380" s="53">
        <f t="shared" si="66"/>
        <v>0.03</v>
      </c>
      <c r="H380" s="963"/>
      <c r="I380" s="53">
        <f t="shared" si="67"/>
        <v>0.03</v>
      </c>
      <c r="J380" s="963"/>
      <c r="K380" s="53">
        <f t="shared" si="68"/>
        <v>0.03</v>
      </c>
      <c r="L380" s="963"/>
      <c r="M380" s="53">
        <f t="shared" si="69"/>
        <v>0.02</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0.1</v>
      </c>
      <c r="F381" s="963"/>
      <c r="G381" s="53">
        <f t="shared" si="66"/>
        <v>0.03</v>
      </c>
      <c r="H381" s="963"/>
      <c r="I381" s="53">
        <f t="shared" si="67"/>
        <v>0.03</v>
      </c>
      <c r="J381" s="963"/>
      <c r="K381" s="53">
        <f t="shared" si="68"/>
        <v>0.03</v>
      </c>
      <c r="L381" s="963"/>
      <c r="M381" s="53">
        <f t="shared" si="69"/>
        <v>0.02</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0.1</v>
      </c>
      <c r="F382" s="963"/>
      <c r="G382" s="53">
        <f t="shared" si="66"/>
        <v>0.03</v>
      </c>
      <c r="H382" s="963"/>
      <c r="I382" s="53">
        <f t="shared" si="67"/>
        <v>0.03</v>
      </c>
      <c r="J382" s="963"/>
      <c r="K382" s="53">
        <f t="shared" si="68"/>
        <v>0.03</v>
      </c>
      <c r="L382" s="963"/>
      <c r="M382" s="53">
        <f t="shared" si="69"/>
        <v>0.02</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0.1</v>
      </c>
      <c r="F383" s="963"/>
      <c r="G383" s="53">
        <f t="shared" si="66"/>
        <v>0.03</v>
      </c>
      <c r="H383" s="963"/>
      <c r="I383" s="53">
        <f t="shared" si="67"/>
        <v>0.03</v>
      </c>
      <c r="J383" s="963"/>
      <c r="K383" s="53">
        <f t="shared" si="68"/>
        <v>0.03</v>
      </c>
      <c r="L383" s="963"/>
      <c r="M383" s="53">
        <f t="shared" si="69"/>
        <v>0.02</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0.1</v>
      </c>
      <c r="F384" s="963"/>
      <c r="G384" s="53">
        <f t="shared" si="66"/>
        <v>0.03</v>
      </c>
      <c r="H384" s="963"/>
      <c r="I384" s="53">
        <f t="shared" si="67"/>
        <v>0.03</v>
      </c>
      <c r="J384" s="963"/>
      <c r="K384" s="53">
        <f t="shared" si="68"/>
        <v>0.03</v>
      </c>
      <c r="L384" s="963"/>
      <c r="M384" s="53">
        <f t="shared" si="69"/>
        <v>0.02</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0.1</v>
      </c>
      <c r="F385" s="963"/>
      <c r="G385" s="53">
        <f t="shared" si="66"/>
        <v>0.03</v>
      </c>
      <c r="H385" s="963"/>
      <c r="I385" s="53">
        <f t="shared" si="67"/>
        <v>0.03</v>
      </c>
      <c r="J385" s="963"/>
      <c r="K385" s="53">
        <f t="shared" si="68"/>
        <v>0.03</v>
      </c>
      <c r="L385" s="963"/>
      <c r="M385" s="53">
        <f t="shared" si="69"/>
        <v>0.02</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0.1</v>
      </c>
      <c r="F386" s="963"/>
      <c r="G386" s="53">
        <f t="shared" si="66"/>
        <v>0.03</v>
      </c>
      <c r="H386" s="963"/>
      <c r="I386" s="53">
        <f t="shared" si="67"/>
        <v>0.03</v>
      </c>
      <c r="J386" s="963"/>
      <c r="K386" s="53">
        <f t="shared" si="68"/>
        <v>0.03</v>
      </c>
      <c r="L386" s="963"/>
      <c r="M386" s="53">
        <f t="shared" si="69"/>
        <v>0.02</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0.1</v>
      </c>
      <c r="F387" s="963"/>
      <c r="G387" s="53">
        <f t="shared" si="66"/>
        <v>0.03</v>
      </c>
      <c r="H387" s="963"/>
      <c r="I387" s="53">
        <f t="shared" si="67"/>
        <v>0.03</v>
      </c>
      <c r="J387" s="963"/>
      <c r="K387" s="53">
        <f t="shared" si="68"/>
        <v>0.03</v>
      </c>
      <c r="L387" s="963"/>
      <c r="M387" s="53">
        <f t="shared" si="69"/>
        <v>0.02</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0.1</v>
      </c>
      <c r="F388" s="963"/>
      <c r="G388" s="53">
        <f t="shared" si="66"/>
        <v>0.03</v>
      </c>
      <c r="H388" s="963"/>
      <c r="I388" s="53">
        <f t="shared" si="67"/>
        <v>0.03</v>
      </c>
      <c r="J388" s="963"/>
      <c r="K388" s="53">
        <f t="shared" si="68"/>
        <v>0.03</v>
      </c>
      <c r="L388" s="963"/>
      <c r="M388" s="53">
        <f t="shared" si="69"/>
        <v>0.02</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0.1</v>
      </c>
      <c r="F389" s="963"/>
      <c r="G389" s="53">
        <f t="shared" si="66"/>
        <v>0.03</v>
      </c>
      <c r="H389" s="963"/>
      <c r="I389" s="53">
        <f t="shared" si="67"/>
        <v>0.03</v>
      </c>
      <c r="J389" s="963"/>
      <c r="K389" s="53">
        <f t="shared" si="68"/>
        <v>0.03</v>
      </c>
      <c r="L389" s="963"/>
      <c r="M389" s="53">
        <f t="shared" si="69"/>
        <v>0.02</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0.1</v>
      </c>
      <c r="F390" s="963"/>
      <c r="G390" s="53">
        <f t="shared" si="66"/>
        <v>0.03</v>
      </c>
      <c r="H390" s="963"/>
      <c r="I390" s="53">
        <f t="shared" si="67"/>
        <v>0.03</v>
      </c>
      <c r="J390" s="963"/>
      <c r="K390" s="53">
        <f t="shared" si="68"/>
        <v>0.03</v>
      </c>
      <c r="L390" s="963"/>
      <c r="M390" s="53">
        <f t="shared" si="69"/>
        <v>0.02</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0.1</v>
      </c>
      <c r="F391" s="963"/>
      <c r="G391" s="53">
        <f t="shared" si="66"/>
        <v>0.03</v>
      </c>
      <c r="H391" s="963"/>
      <c r="I391" s="53">
        <f t="shared" si="67"/>
        <v>0.03</v>
      </c>
      <c r="J391" s="963"/>
      <c r="K391" s="53">
        <f t="shared" si="68"/>
        <v>0.03</v>
      </c>
      <c r="L391" s="963"/>
      <c r="M391" s="53">
        <f t="shared" si="69"/>
        <v>0.02</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0.1</v>
      </c>
      <c r="F392" s="963"/>
      <c r="G392" s="53">
        <f t="shared" si="66"/>
        <v>0.03</v>
      </c>
      <c r="H392" s="963"/>
      <c r="I392" s="53">
        <f t="shared" si="67"/>
        <v>0.03</v>
      </c>
      <c r="J392" s="963"/>
      <c r="K392" s="53">
        <f t="shared" si="68"/>
        <v>0.03</v>
      </c>
      <c r="L392" s="963"/>
      <c r="M392" s="53">
        <f t="shared" si="69"/>
        <v>0.02</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0.1</v>
      </c>
      <c r="F393" s="963"/>
      <c r="G393" s="53">
        <f t="shared" si="66"/>
        <v>0.03</v>
      </c>
      <c r="H393" s="963"/>
      <c r="I393" s="53">
        <f t="shared" si="67"/>
        <v>0.03</v>
      </c>
      <c r="J393" s="963"/>
      <c r="K393" s="53">
        <f t="shared" si="68"/>
        <v>0.03</v>
      </c>
      <c r="L393" s="963"/>
      <c r="M393" s="53">
        <f t="shared" si="69"/>
        <v>0.02</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0.1</v>
      </c>
      <c r="F394" s="963"/>
      <c r="G394" s="53">
        <f t="shared" si="66"/>
        <v>0.03</v>
      </c>
      <c r="H394" s="963"/>
      <c r="I394" s="53">
        <f t="shared" si="67"/>
        <v>0.03</v>
      </c>
      <c r="J394" s="963"/>
      <c r="K394" s="53">
        <f t="shared" si="68"/>
        <v>0.03</v>
      </c>
      <c r="L394" s="963"/>
      <c r="M394" s="53">
        <f t="shared" si="69"/>
        <v>0.02</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0.1</v>
      </c>
      <c r="F395" s="963"/>
      <c r="G395" s="53">
        <f t="shared" si="66"/>
        <v>0.03</v>
      </c>
      <c r="H395" s="963"/>
      <c r="I395" s="53">
        <f t="shared" si="67"/>
        <v>0.03</v>
      </c>
      <c r="J395" s="963"/>
      <c r="K395" s="53">
        <f t="shared" si="68"/>
        <v>0.03</v>
      </c>
      <c r="L395" s="963"/>
      <c r="M395" s="53">
        <f t="shared" si="69"/>
        <v>0.02</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0.1</v>
      </c>
      <c r="F396" s="963"/>
      <c r="G396" s="53">
        <f t="shared" si="66"/>
        <v>0.03</v>
      </c>
      <c r="H396" s="963"/>
      <c r="I396" s="53">
        <f t="shared" si="67"/>
        <v>0.03</v>
      </c>
      <c r="J396" s="963"/>
      <c r="K396" s="53">
        <f t="shared" si="68"/>
        <v>0.03</v>
      </c>
      <c r="L396" s="963"/>
      <c r="M396" s="53">
        <f t="shared" si="69"/>
        <v>0.02</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0.1</v>
      </c>
      <c r="F397" s="963"/>
      <c r="G397" s="53">
        <f t="shared" si="66"/>
        <v>0.03</v>
      </c>
      <c r="H397" s="963"/>
      <c r="I397" s="53">
        <f t="shared" si="67"/>
        <v>0.03</v>
      </c>
      <c r="J397" s="963"/>
      <c r="K397" s="53">
        <f t="shared" si="68"/>
        <v>0.03</v>
      </c>
      <c r="L397" s="963"/>
      <c r="M397" s="53">
        <f t="shared" si="69"/>
        <v>0.02</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0.1</v>
      </c>
      <c r="F398" s="963"/>
      <c r="G398" s="53">
        <f t="shared" si="66"/>
        <v>0.03</v>
      </c>
      <c r="H398" s="963"/>
      <c r="I398" s="53">
        <f t="shared" si="67"/>
        <v>0.03</v>
      </c>
      <c r="J398" s="963"/>
      <c r="K398" s="53">
        <f t="shared" si="68"/>
        <v>0.03</v>
      </c>
      <c r="L398" s="963"/>
      <c r="M398" s="53">
        <f t="shared" si="69"/>
        <v>0.02</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0.1</v>
      </c>
      <c r="F399" s="963"/>
      <c r="G399" s="53">
        <f t="shared" si="66"/>
        <v>0.03</v>
      </c>
      <c r="H399" s="963"/>
      <c r="I399" s="53">
        <f t="shared" si="67"/>
        <v>0.03</v>
      </c>
      <c r="J399" s="963"/>
      <c r="K399" s="53">
        <f t="shared" si="68"/>
        <v>0.03</v>
      </c>
      <c r="L399" s="963"/>
      <c r="M399" s="53">
        <f t="shared" si="69"/>
        <v>0.02</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0.1</v>
      </c>
      <c r="F400" s="963"/>
      <c r="G400" s="53">
        <f t="shared" si="66"/>
        <v>0.03</v>
      </c>
      <c r="H400" s="963"/>
      <c r="I400" s="53">
        <f t="shared" si="67"/>
        <v>0.03</v>
      </c>
      <c r="J400" s="963"/>
      <c r="K400" s="53">
        <f t="shared" si="68"/>
        <v>0.03</v>
      </c>
      <c r="L400" s="963"/>
      <c r="M400" s="53">
        <f t="shared" si="69"/>
        <v>0.02</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0.1</v>
      </c>
      <c r="F401" s="963"/>
      <c r="G401" s="53">
        <f t="shared" si="66"/>
        <v>0.03</v>
      </c>
      <c r="H401" s="963"/>
      <c r="I401" s="53">
        <f t="shared" si="67"/>
        <v>0.03</v>
      </c>
      <c r="J401" s="963"/>
      <c r="K401" s="53">
        <f t="shared" si="68"/>
        <v>0.03</v>
      </c>
      <c r="L401" s="963"/>
      <c r="M401" s="53">
        <f t="shared" si="69"/>
        <v>0.02</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0.1</v>
      </c>
      <c r="F402" s="963"/>
      <c r="G402" s="53">
        <f t="shared" si="66"/>
        <v>0.03</v>
      </c>
      <c r="H402" s="963"/>
      <c r="I402" s="53">
        <f t="shared" si="67"/>
        <v>0.03</v>
      </c>
      <c r="J402" s="963"/>
      <c r="K402" s="53">
        <f t="shared" si="68"/>
        <v>0.03</v>
      </c>
      <c r="L402" s="963"/>
      <c r="M402" s="53">
        <f t="shared" si="69"/>
        <v>0.02</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0.1</v>
      </c>
      <c r="F403" s="963"/>
      <c r="G403" s="53">
        <f t="shared" si="66"/>
        <v>0.03</v>
      </c>
      <c r="H403" s="963"/>
      <c r="I403" s="53">
        <f t="shared" si="67"/>
        <v>0.03</v>
      </c>
      <c r="J403" s="963"/>
      <c r="K403" s="53">
        <f t="shared" si="68"/>
        <v>0.03</v>
      </c>
      <c r="L403" s="963"/>
      <c r="M403" s="53">
        <f t="shared" si="69"/>
        <v>0.02</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0.1</v>
      </c>
      <c r="F404" s="963"/>
      <c r="G404" s="53">
        <f t="shared" si="66"/>
        <v>0.03</v>
      </c>
      <c r="H404" s="963"/>
      <c r="I404" s="53">
        <f t="shared" si="67"/>
        <v>0.03</v>
      </c>
      <c r="J404" s="963"/>
      <c r="K404" s="53">
        <f t="shared" si="68"/>
        <v>0.03</v>
      </c>
      <c r="L404" s="963"/>
      <c r="M404" s="53">
        <f t="shared" si="69"/>
        <v>0.02</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0.1</v>
      </c>
      <c r="F405" s="963"/>
      <c r="G405" s="53">
        <f t="shared" si="66"/>
        <v>0.03</v>
      </c>
      <c r="H405" s="963"/>
      <c r="I405" s="53">
        <f t="shared" si="67"/>
        <v>0.03</v>
      </c>
      <c r="J405" s="963"/>
      <c r="K405" s="53">
        <f t="shared" si="68"/>
        <v>0.03</v>
      </c>
      <c r="L405" s="963"/>
      <c r="M405" s="53">
        <f t="shared" si="69"/>
        <v>0.02</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0.1</v>
      </c>
      <c r="F406" s="963"/>
      <c r="G406" s="53">
        <f t="shared" si="66"/>
        <v>0.03</v>
      </c>
      <c r="H406" s="963"/>
      <c r="I406" s="53">
        <f t="shared" si="67"/>
        <v>0.03</v>
      </c>
      <c r="J406" s="963"/>
      <c r="K406" s="53">
        <f t="shared" si="68"/>
        <v>0.03</v>
      </c>
      <c r="L406" s="963"/>
      <c r="M406" s="53">
        <f t="shared" si="69"/>
        <v>0.02</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0.1</v>
      </c>
      <c r="F407" s="963"/>
      <c r="G407" s="53">
        <f t="shared" si="66"/>
        <v>0.03</v>
      </c>
      <c r="H407" s="963"/>
      <c r="I407" s="53">
        <f t="shared" si="67"/>
        <v>0.03</v>
      </c>
      <c r="J407" s="963"/>
      <c r="K407" s="53">
        <f t="shared" si="68"/>
        <v>0.03</v>
      </c>
      <c r="L407" s="963"/>
      <c r="M407" s="53">
        <f t="shared" si="69"/>
        <v>0.02</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0.1</v>
      </c>
      <c r="F408" s="963"/>
      <c r="G408" s="53">
        <f t="shared" si="66"/>
        <v>0.03</v>
      </c>
      <c r="H408" s="963"/>
      <c r="I408" s="53">
        <f t="shared" si="67"/>
        <v>0.03</v>
      </c>
      <c r="J408" s="963"/>
      <c r="K408" s="53">
        <f t="shared" si="68"/>
        <v>0.03</v>
      </c>
      <c r="L408" s="963"/>
      <c r="M408" s="53">
        <f t="shared" si="69"/>
        <v>0.02</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0.1</v>
      </c>
      <c r="F409" s="963"/>
      <c r="G409" s="53">
        <f t="shared" si="66"/>
        <v>0.03</v>
      </c>
      <c r="H409" s="963"/>
      <c r="I409" s="53">
        <f t="shared" si="67"/>
        <v>0.03</v>
      </c>
      <c r="J409" s="963"/>
      <c r="K409" s="53">
        <f t="shared" si="68"/>
        <v>0.03</v>
      </c>
      <c r="L409" s="963"/>
      <c r="M409" s="53">
        <f t="shared" si="69"/>
        <v>0.02</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0.1</v>
      </c>
      <c r="F410" s="963"/>
      <c r="G410" s="53">
        <f t="shared" ref="G410:G473" si="76">(SUMIF($7:$7,F410,$8:$8)-SUMIF($7:$7,$F$24,$8:$8)+100)/100</f>
        <v>0.03</v>
      </c>
      <c r="H410" s="963"/>
      <c r="I410" s="53">
        <f t="shared" ref="I410:I473" si="77">(SUMIF($9:$9,H410,$10:$10)-SUMIF($9:$9,$H$24,$10:$10)+100)/100</f>
        <v>0.03</v>
      </c>
      <c r="J410" s="963"/>
      <c r="K410" s="53">
        <f t="shared" ref="K410:K473" si="78">(SUMIF($11:$11,J410,$12:$12)-SUMIF($11:$11,$J$24,$12:$12)+100)/100</f>
        <v>0.03</v>
      </c>
      <c r="L410" s="963"/>
      <c r="M410" s="53">
        <f t="shared" ref="M410:M473" si="79">(SUMIF($13:$13,L410,$14:$14)-SUMIF($13:$13,$L$24,$14:$14)+100)/100</f>
        <v>0.02</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0.1</v>
      </c>
      <c r="F411" s="963"/>
      <c r="G411" s="53">
        <f t="shared" si="76"/>
        <v>0.03</v>
      </c>
      <c r="H411" s="963"/>
      <c r="I411" s="53">
        <f t="shared" si="77"/>
        <v>0.03</v>
      </c>
      <c r="J411" s="963"/>
      <c r="K411" s="53">
        <f t="shared" si="78"/>
        <v>0.03</v>
      </c>
      <c r="L411" s="963"/>
      <c r="M411" s="53">
        <f t="shared" si="79"/>
        <v>0.02</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0.1</v>
      </c>
      <c r="F412" s="963"/>
      <c r="G412" s="53">
        <f t="shared" si="76"/>
        <v>0.03</v>
      </c>
      <c r="H412" s="963"/>
      <c r="I412" s="53">
        <f t="shared" si="77"/>
        <v>0.03</v>
      </c>
      <c r="J412" s="963"/>
      <c r="K412" s="53">
        <f t="shared" si="78"/>
        <v>0.03</v>
      </c>
      <c r="L412" s="963"/>
      <c r="M412" s="53">
        <f t="shared" si="79"/>
        <v>0.02</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0.1</v>
      </c>
      <c r="F413" s="963"/>
      <c r="G413" s="53">
        <f t="shared" si="76"/>
        <v>0.03</v>
      </c>
      <c r="H413" s="963"/>
      <c r="I413" s="53">
        <f t="shared" si="77"/>
        <v>0.03</v>
      </c>
      <c r="J413" s="963"/>
      <c r="K413" s="53">
        <f t="shared" si="78"/>
        <v>0.03</v>
      </c>
      <c r="L413" s="963"/>
      <c r="M413" s="53">
        <f t="shared" si="79"/>
        <v>0.02</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0.1</v>
      </c>
      <c r="F414" s="963"/>
      <c r="G414" s="53">
        <f t="shared" si="76"/>
        <v>0.03</v>
      </c>
      <c r="H414" s="963"/>
      <c r="I414" s="53">
        <f t="shared" si="77"/>
        <v>0.03</v>
      </c>
      <c r="J414" s="963"/>
      <c r="K414" s="53">
        <f t="shared" si="78"/>
        <v>0.03</v>
      </c>
      <c r="L414" s="963"/>
      <c r="M414" s="53">
        <f t="shared" si="79"/>
        <v>0.02</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0.1</v>
      </c>
      <c r="F415" s="963"/>
      <c r="G415" s="53">
        <f t="shared" si="76"/>
        <v>0.03</v>
      </c>
      <c r="H415" s="963"/>
      <c r="I415" s="53">
        <f t="shared" si="77"/>
        <v>0.03</v>
      </c>
      <c r="J415" s="963"/>
      <c r="K415" s="53">
        <f t="shared" si="78"/>
        <v>0.03</v>
      </c>
      <c r="L415" s="963"/>
      <c r="M415" s="53">
        <f t="shared" si="79"/>
        <v>0.02</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0.1</v>
      </c>
      <c r="F416" s="963"/>
      <c r="G416" s="53">
        <f t="shared" si="76"/>
        <v>0.03</v>
      </c>
      <c r="H416" s="963"/>
      <c r="I416" s="53">
        <f t="shared" si="77"/>
        <v>0.03</v>
      </c>
      <c r="J416" s="963"/>
      <c r="K416" s="53">
        <f t="shared" si="78"/>
        <v>0.03</v>
      </c>
      <c r="L416" s="963"/>
      <c r="M416" s="53">
        <f t="shared" si="79"/>
        <v>0.02</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0.1</v>
      </c>
      <c r="F417" s="963"/>
      <c r="G417" s="53">
        <f t="shared" si="76"/>
        <v>0.03</v>
      </c>
      <c r="H417" s="963"/>
      <c r="I417" s="53">
        <f t="shared" si="77"/>
        <v>0.03</v>
      </c>
      <c r="J417" s="963"/>
      <c r="K417" s="53">
        <f t="shared" si="78"/>
        <v>0.03</v>
      </c>
      <c r="L417" s="963"/>
      <c r="M417" s="53">
        <f t="shared" si="79"/>
        <v>0.02</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0.1</v>
      </c>
      <c r="F418" s="963"/>
      <c r="G418" s="53">
        <f t="shared" si="76"/>
        <v>0.03</v>
      </c>
      <c r="H418" s="963"/>
      <c r="I418" s="53">
        <f t="shared" si="77"/>
        <v>0.03</v>
      </c>
      <c r="J418" s="963"/>
      <c r="K418" s="53">
        <f t="shared" si="78"/>
        <v>0.03</v>
      </c>
      <c r="L418" s="963"/>
      <c r="M418" s="53">
        <f t="shared" si="79"/>
        <v>0.02</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0.1</v>
      </c>
      <c r="F419" s="963"/>
      <c r="G419" s="53">
        <f t="shared" si="76"/>
        <v>0.03</v>
      </c>
      <c r="H419" s="963"/>
      <c r="I419" s="53">
        <f t="shared" si="77"/>
        <v>0.03</v>
      </c>
      <c r="J419" s="963"/>
      <c r="K419" s="53">
        <f t="shared" si="78"/>
        <v>0.03</v>
      </c>
      <c r="L419" s="963"/>
      <c r="M419" s="53">
        <f t="shared" si="79"/>
        <v>0.02</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0.1</v>
      </c>
      <c r="F420" s="963"/>
      <c r="G420" s="53">
        <f t="shared" si="76"/>
        <v>0.03</v>
      </c>
      <c r="H420" s="963"/>
      <c r="I420" s="53">
        <f t="shared" si="77"/>
        <v>0.03</v>
      </c>
      <c r="J420" s="963"/>
      <c r="K420" s="53">
        <f t="shared" si="78"/>
        <v>0.03</v>
      </c>
      <c r="L420" s="963"/>
      <c r="M420" s="53">
        <f t="shared" si="79"/>
        <v>0.02</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0.1</v>
      </c>
      <c r="F421" s="963"/>
      <c r="G421" s="53">
        <f t="shared" si="76"/>
        <v>0.03</v>
      </c>
      <c r="H421" s="963"/>
      <c r="I421" s="53">
        <f t="shared" si="77"/>
        <v>0.03</v>
      </c>
      <c r="J421" s="963"/>
      <c r="K421" s="53">
        <f t="shared" si="78"/>
        <v>0.03</v>
      </c>
      <c r="L421" s="963"/>
      <c r="M421" s="53">
        <f t="shared" si="79"/>
        <v>0.02</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0.1</v>
      </c>
      <c r="F422" s="963"/>
      <c r="G422" s="53">
        <f t="shared" si="76"/>
        <v>0.03</v>
      </c>
      <c r="H422" s="963"/>
      <c r="I422" s="53">
        <f t="shared" si="77"/>
        <v>0.03</v>
      </c>
      <c r="J422" s="963"/>
      <c r="K422" s="53">
        <f t="shared" si="78"/>
        <v>0.03</v>
      </c>
      <c r="L422" s="963"/>
      <c r="M422" s="53">
        <f t="shared" si="79"/>
        <v>0.02</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0.1</v>
      </c>
      <c r="F423" s="963"/>
      <c r="G423" s="53">
        <f t="shared" si="76"/>
        <v>0.03</v>
      </c>
      <c r="H423" s="963"/>
      <c r="I423" s="53">
        <f t="shared" si="77"/>
        <v>0.03</v>
      </c>
      <c r="J423" s="963"/>
      <c r="K423" s="53">
        <f t="shared" si="78"/>
        <v>0.03</v>
      </c>
      <c r="L423" s="963"/>
      <c r="M423" s="53">
        <f t="shared" si="79"/>
        <v>0.02</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0.1</v>
      </c>
      <c r="F424" s="963"/>
      <c r="G424" s="53">
        <f t="shared" si="76"/>
        <v>0.03</v>
      </c>
      <c r="H424" s="963"/>
      <c r="I424" s="53">
        <f t="shared" si="77"/>
        <v>0.03</v>
      </c>
      <c r="J424" s="963"/>
      <c r="K424" s="53">
        <f t="shared" si="78"/>
        <v>0.03</v>
      </c>
      <c r="L424" s="963"/>
      <c r="M424" s="53">
        <f t="shared" si="79"/>
        <v>0.02</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0.1</v>
      </c>
      <c r="F425" s="963"/>
      <c r="G425" s="53">
        <f t="shared" si="76"/>
        <v>0.03</v>
      </c>
      <c r="H425" s="963"/>
      <c r="I425" s="53">
        <f t="shared" si="77"/>
        <v>0.03</v>
      </c>
      <c r="J425" s="963"/>
      <c r="K425" s="53">
        <f t="shared" si="78"/>
        <v>0.03</v>
      </c>
      <c r="L425" s="963"/>
      <c r="M425" s="53">
        <f t="shared" si="79"/>
        <v>0.02</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0.1</v>
      </c>
      <c r="F426" s="963"/>
      <c r="G426" s="53">
        <f t="shared" si="76"/>
        <v>0.03</v>
      </c>
      <c r="H426" s="963"/>
      <c r="I426" s="53">
        <f t="shared" si="77"/>
        <v>0.03</v>
      </c>
      <c r="J426" s="963"/>
      <c r="K426" s="53">
        <f t="shared" si="78"/>
        <v>0.03</v>
      </c>
      <c r="L426" s="963"/>
      <c r="M426" s="53">
        <f t="shared" si="79"/>
        <v>0.02</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0.1</v>
      </c>
      <c r="F427" s="963"/>
      <c r="G427" s="53">
        <f t="shared" si="76"/>
        <v>0.03</v>
      </c>
      <c r="H427" s="963"/>
      <c r="I427" s="53">
        <f t="shared" si="77"/>
        <v>0.03</v>
      </c>
      <c r="J427" s="963"/>
      <c r="K427" s="53">
        <f t="shared" si="78"/>
        <v>0.03</v>
      </c>
      <c r="L427" s="963"/>
      <c r="M427" s="53">
        <f t="shared" si="79"/>
        <v>0.02</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0.1</v>
      </c>
      <c r="F428" s="963"/>
      <c r="G428" s="53">
        <f t="shared" si="76"/>
        <v>0.03</v>
      </c>
      <c r="H428" s="963"/>
      <c r="I428" s="53">
        <f t="shared" si="77"/>
        <v>0.03</v>
      </c>
      <c r="J428" s="963"/>
      <c r="K428" s="53">
        <f t="shared" si="78"/>
        <v>0.03</v>
      </c>
      <c r="L428" s="963"/>
      <c r="M428" s="53">
        <f t="shared" si="79"/>
        <v>0.02</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0.1</v>
      </c>
      <c r="F429" s="963"/>
      <c r="G429" s="53">
        <f t="shared" si="76"/>
        <v>0.03</v>
      </c>
      <c r="H429" s="963"/>
      <c r="I429" s="53">
        <f t="shared" si="77"/>
        <v>0.03</v>
      </c>
      <c r="J429" s="963"/>
      <c r="K429" s="53">
        <f t="shared" si="78"/>
        <v>0.03</v>
      </c>
      <c r="L429" s="963"/>
      <c r="M429" s="53">
        <f t="shared" si="79"/>
        <v>0.02</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0.1</v>
      </c>
      <c r="F430" s="963"/>
      <c r="G430" s="53">
        <f t="shared" si="76"/>
        <v>0.03</v>
      </c>
      <c r="H430" s="963"/>
      <c r="I430" s="53">
        <f t="shared" si="77"/>
        <v>0.03</v>
      </c>
      <c r="J430" s="963"/>
      <c r="K430" s="53">
        <f t="shared" si="78"/>
        <v>0.03</v>
      </c>
      <c r="L430" s="963"/>
      <c r="M430" s="53">
        <f t="shared" si="79"/>
        <v>0.02</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0.1</v>
      </c>
      <c r="F431" s="963"/>
      <c r="G431" s="53">
        <f t="shared" si="76"/>
        <v>0.03</v>
      </c>
      <c r="H431" s="963"/>
      <c r="I431" s="53">
        <f t="shared" si="77"/>
        <v>0.03</v>
      </c>
      <c r="J431" s="963"/>
      <c r="K431" s="53">
        <f t="shared" si="78"/>
        <v>0.03</v>
      </c>
      <c r="L431" s="963"/>
      <c r="M431" s="53">
        <f t="shared" si="79"/>
        <v>0.02</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0.1</v>
      </c>
      <c r="F432" s="963"/>
      <c r="G432" s="53">
        <f t="shared" si="76"/>
        <v>0.03</v>
      </c>
      <c r="H432" s="963"/>
      <c r="I432" s="53">
        <f t="shared" si="77"/>
        <v>0.03</v>
      </c>
      <c r="J432" s="963"/>
      <c r="K432" s="53">
        <f t="shared" si="78"/>
        <v>0.03</v>
      </c>
      <c r="L432" s="963"/>
      <c r="M432" s="53">
        <f t="shared" si="79"/>
        <v>0.02</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0.1</v>
      </c>
      <c r="F433" s="963"/>
      <c r="G433" s="53">
        <f t="shared" si="76"/>
        <v>0.03</v>
      </c>
      <c r="H433" s="963"/>
      <c r="I433" s="53">
        <f t="shared" si="77"/>
        <v>0.03</v>
      </c>
      <c r="J433" s="963"/>
      <c r="K433" s="53">
        <f t="shared" si="78"/>
        <v>0.03</v>
      </c>
      <c r="L433" s="963"/>
      <c r="M433" s="53">
        <f t="shared" si="79"/>
        <v>0.02</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0.1</v>
      </c>
      <c r="F434" s="963"/>
      <c r="G434" s="53">
        <f t="shared" si="76"/>
        <v>0.03</v>
      </c>
      <c r="H434" s="963"/>
      <c r="I434" s="53">
        <f t="shared" si="77"/>
        <v>0.03</v>
      </c>
      <c r="J434" s="963"/>
      <c r="K434" s="53">
        <f t="shared" si="78"/>
        <v>0.03</v>
      </c>
      <c r="L434" s="963"/>
      <c r="M434" s="53">
        <f t="shared" si="79"/>
        <v>0.02</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0.1</v>
      </c>
      <c r="F435" s="963"/>
      <c r="G435" s="53">
        <f t="shared" si="76"/>
        <v>0.03</v>
      </c>
      <c r="H435" s="963"/>
      <c r="I435" s="53">
        <f t="shared" si="77"/>
        <v>0.03</v>
      </c>
      <c r="J435" s="963"/>
      <c r="K435" s="53">
        <f t="shared" si="78"/>
        <v>0.03</v>
      </c>
      <c r="L435" s="963"/>
      <c r="M435" s="53">
        <f t="shared" si="79"/>
        <v>0.02</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0.1</v>
      </c>
      <c r="F436" s="963"/>
      <c r="G436" s="53">
        <f t="shared" si="76"/>
        <v>0.03</v>
      </c>
      <c r="H436" s="963"/>
      <c r="I436" s="53">
        <f t="shared" si="77"/>
        <v>0.03</v>
      </c>
      <c r="J436" s="963"/>
      <c r="K436" s="53">
        <f t="shared" si="78"/>
        <v>0.03</v>
      </c>
      <c r="L436" s="963"/>
      <c r="M436" s="53">
        <f t="shared" si="79"/>
        <v>0.02</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0.1</v>
      </c>
      <c r="F437" s="963"/>
      <c r="G437" s="53">
        <f t="shared" si="76"/>
        <v>0.03</v>
      </c>
      <c r="H437" s="963"/>
      <c r="I437" s="53">
        <f t="shared" si="77"/>
        <v>0.03</v>
      </c>
      <c r="J437" s="963"/>
      <c r="K437" s="53">
        <f t="shared" si="78"/>
        <v>0.03</v>
      </c>
      <c r="L437" s="963"/>
      <c r="M437" s="53">
        <f t="shared" si="79"/>
        <v>0.02</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0.1</v>
      </c>
      <c r="F438" s="963"/>
      <c r="G438" s="53">
        <f t="shared" si="76"/>
        <v>0.03</v>
      </c>
      <c r="H438" s="963"/>
      <c r="I438" s="53">
        <f t="shared" si="77"/>
        <v>0.03</v>
      </c>
      <c r="J438" s="963"/>
      <c r="K438" s="53">
        <f t="shared" si="78"/>
        <v>0.03</v>
      </c>
      <c r="L438" s="963"/>
      <c r="M438" s="53">
        <f t="shared" si="79"/>
        <v>0.02</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0.1</v>
      </c>
      <c r="F439" s="963"/>
      <c r="G439" s="53">
        <f t="shared" si="76"/>
        <v>0.03</v>
      </c>
      <c r="H439" s="963"/>
      <c r="I439" s="53">
        <f t="shared" si="77"/>
        <v>0.03</v>
      </c>
      <c r="J439" s="963"/>
      <c r="K439" s="53">
        <f t="shared" si="78"/>
        <v>0.03</v>
      </c>
      <c r="L439" s="963"/>
      <c r="M439" s="53">
        <f t="shared" si="79"/>
        <v>0.02</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0.1</v>
      </c>
      <c r="F440" s="963"/>
      <c r="G440" s="53">
        <f t="shared" si="76"/>
        <v>0.03</v>
      </c>
      <c r="H440" s="963"/>
      <c r="I440" s="53">
        <f t="shared" si="77"/>
        <v>0.03</v>
      </c>
      <c r="J440" s="963"/>
      <c r="K440" s="53">
        <f t="shared" si="78"/>
        <v>0.03</v>
      </c>
      <c r="L440" s="963"/>
      <c r="M440" s="53">
        <f t="shared" si="79"/>
        <v>0.02</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0.1</v>
      </c>
      <c r="F441" s="963"/>
      <c r="G441" s="53">
        <f t="shared" si="76"/>
        <v>0.03</v>
      </c>
      <c r="H441" s="963"/>
      <c r="I441" s="53">
        <f t="shared" si="77"/>
        <v>0.03</v>
      </c>
      <c r="J441" s="963"/>
      <c r="K441" s="53">
        <f t="shared" si="78"/>
        <v>0.03</v>
      </c>
      <c r="L441" s="963"/>
      <c r="M441" s="53">
        <f t="shared" si="79"/>
        <v>0.02</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0.1</v>
      </c>
      <c r="F442" s="963"/>
      <c r="G442" s="53">
        <f t="shared" si="76"/>
        <v>0.03</v>
      </c>
      <c r="H442" s="963"/>
      <c r="I442" s="53">
        <f t="shared" si="77"/>
        <v>0.03</v>
      </c>
      <c r="J442" s="963"/>
      <c r="K442" s="53">
        <f t="shared" si="78"/>
        <v>0.03</v>
      </c>
      <c r="L442" s="963"/>
      <c r="M442" s="53">
        <f t="shared" si="79"/>
        <v>0.02</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0.1</v>
      </c>
      <c r="F443" s="963"/>
      <c r="G443" s="53">
        <f t="shared" si="76"/>
        <v>0.03</v>
      </c>
      <c r="H443" s="963"/>
      <c r="I443" s="53">
        <f t="shared" si="77"/>
        <v>0.03</v>
      </c>
      <c r="J443" s="963"/>
      <c r="K443" s="53">
        <f t="shared" si="78"/>
        <v>0.03</v>
      </c>
      <c r="L443" s="963"/>
      <c r="M443" s="53">
        <f t="shared" si="79"/>
        <v>0.02</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0.1</v>
      </c>
      <c r="F444" s="963"/>
      <c r="G444" s="53">
        <f t="shared" si="76"/>
        <v>0.03</v>
      </c>
      <c r="H444" s="963"/>
      <c r="I444" s="53">
        <f t="shared" si="77"/>
        <v>0.03</v>
      </c>
      <c r="J444" s="963"/>
      <c r="K444" s="53">
        <f t="shared" si="78"/>
        <v>0.03</v>
      </c>
      <c r="L444" s="963"/>
      <c r="M444" s="53">
        <f t="shared" si="79"/>
        <v>0.02</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0.1</v>
      </c>
      <c r="F445" s="963"/>
      <c r="G445" s="53">
        <f t="shared" si="76"/>
        <v>0.03</v>
      </c>
      <c r="H445" s="963"/>
      <c r="I445" s="53">
        <f t="shared" si="77"/>
        <v>0.03</v>
      </c>
      <c r="J445" s="963"/>
      <c r="K445" s="53">
        <f t="shared" si="78"/>
        <v>0.03</v>
      </c>
      <c r="L445" s="963"/>
      <c r="M445" s="53">
        <f t="shared" si="79"/>
        <v>0.02</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0.1</v>
      </c>
      <c r="F446" s="963"/>
      <c r="G446" s="53">
        <f t="shared" si="76"/>
        <v>0.03</v>
      </c>
      <c r="H446" s="963"/>
      <c r="I446" s="53">
        <f t="shared" si="77"/>
        <v>0.03</v>
      </c>
      <c r="J446" s="963"/>
      <c r="K446" s="53">
        <f t="shared" si="78"/>
        <v>0.03</v>
      </c>
      <c r="L446" s="963"/>
      <c r="M446" s="53">
        <f t="shared" si="79"/>
        <v>0.02</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0.1</v>
      </c>
      <c r="F447" s="963"/>
      <c r="G447" s="53">
        <f t="shared" si="76"/>
        <v>0.03</v>
      </c>
      <c r="H447" s="963"/>
      <c r="I447" s="53">
        <f t="shared" si="77"/>
        <v>0.03</v>
      </c>
      <c r="J447" s="963"/>
      <c r="K447" s="53">
        <f t="shared" si="78"/>
        <v>0.03</v>
      </c>
      <c r="L447" s="963"/>
      <c r="M447" s="53">
        <f t="shared" si="79"/>
        <v>0.02</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0.1</v>
      </c>
      <c r="F448" s="963"/>
      <c r="G448" s="53">
        <f t="shared" si="76"/>
        <v>0.03</v>
      </c>
      <c r="H448" s="963"/>
      <c r="I448" s="53">
        <f t="shared" si="77"/>
        <v>0.03</v>
      </c>
      <c r="J448" s="963"/>
      <c r="K448" s="53">
        <f t="shared" si="78"/>
        <v>0.03</v>
      </c>
      <c r="L448" s="963"/>
      <c r="M448" s="53">
        <f t="shared" si="79"/>
        <v>0.02</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0.1</v>
      </c>
      <c r="F449" s="963"/>
      <c r="G449" s="53">
        <f t="shared" si="76"/>
        <v>0.03</v>
      </c>
      <c r="H449" s="963"/>
      <c r="I449" s="53">
        <f t="shared" si="77"/>
        <v>0.03</v>
      </c>
      <c r="J449" s="963"/>
      <c r="K449" s="53">
        <f t="shared" si="78"/>
        <v>0.03</v>
      </c>
      <c r="L449" s="963"/>
      <c r="M449" s="53">
        <f t="shared" si="79"/>
        <v>0.02</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0.1</v>
      </c>
      <c r="F450" s="963"/>
      <c r="G450" s="53">
        <f t="shared" si="76"/>
        <v>0.03</v>
      </c>
      <c r="H450" s="963"/>
      <c r="I450" s="53">
        <f t="shared" si="77"/>
        <v>0.03</v>
      </c>
      <c r="J450" s="963"/>
      <c r="K450" s="53">
        <f t="shared" si="78"/>
        <v>0.03</v>
      </c>
      <c r="L450" s="963"/>
      <c r="M450" s="53">
        <f t="shared" si="79"/>
        <v>0.02</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0.1</v>
      </c>
      <c r="F451" s="963"/>
      <c r="G451" s="53">
        <f t="shared" si="76"/>
        <v>0.03</v>
      </c>
      <c r="H451" s="963"/>
      <c r="I451" s="53">
        <f t="shared" si="77"/>
        <v>0.03</v>
      </c>
      <c r="J451" s="963"/>
      <c r="K451" s="53">
        <f t="shared" si="78"/>
        <v>0.03</v>
      </c>
      <c r="L451" s="963"/>
      <c r="M451" s="53">
        <f t="shared" si="79"/>
        <v>0.02</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0.1</v>
      </c>
      <c r="F452" s="963"/>
      <c r="G452" s="53">
        <f t="shared" si="76"/>
        <v>0.03</v>
      </c>
      <c r="H452" s="963"/>
      <c r="I452" s="53">
        <f t="shared" si="77"/>
        <v>0.03</v>
      </c>
      <c r="J452" s="963"/>
      <c r="K452" s="53">
        <f t="shared" si="78"/>
        <v>0.03</v>
      </c>
      <c r="L452" s="963"/>
      <c r="M452" s="53">
        <f t="shared" si="79"/>
        <v>0.02</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0.1</v>
      </c>
      <c r="F453" s="963"/>
      <c r="G453" s="53">
        <f t="shared" si="76"/>
        <v>0.03</v>
      </c>
      <c r="H453" s="963"/>
      <c r="I453" s="53">
        <f t="shared" si="77"/>
        <v>0.03</v>
      </c>
      <c r="J453" s="963"/>
      <c r="K453" s="53">
        <f t="shared" si="78"/>
        <v>0.03</v>
      </c>
      <c r="L453" s="963"/>
      <c r="M453" s="53">
        <f t="shared" si="79"/>
        <v>0.02</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0.1</v>
      </c>
      <c r="F454" s="963"/>
      <c r="G454" s="53">
        <f t="shared" si="76"/>
        <v>0.03</v>
      </c>
      <c r="H454" s="963"/>
      <c r="I454" s="53">
        <f t="shared" si="77"/>
        <v>0.03</v>
      </c>
      <c r="J454" s="963"/>
      <c r="K454" s="53">
        <f t="shared" si="78"/>
        <v>0.03</v>
      </c>
      <c r="L454" s="963"/>
      <c r="M454" s="53">
        <f t="shared" si="79"/>
        <v>0.02</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0.1</v>
      </c>
      <c r="F455" s="963"/>
      <c r="G455" s="53">
        <f t="shared" si="76"/>
        <v>0.03</v>
      </c>
      <c r="H455" s="963"/>
      <c r="I455" s="53">
        <f t="shared" si="77"/>
        <v>0.03</v>
      </c>
      <c r="J455" s="963"/>
      <c r="K455" s="53">
        <f t="shared" si="78"/>
        <v>0.03</v>
      </c>
      <c r="L455" s="963"/>
      <c r="M455" s="53">
        <f t="shared" si="79"/>
        <v>0.02</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0.1</v>
      </c>
      <c r="F456" s="963"/>
      <c r="G456" s="53">
        <f t="shared" si="76"/>
        <v>0.03</v>
      </c>
      <c r="H456" s="963"/>
      <c r="I456" s="53">
        <f t="shared" si="77"/>
        <v>0.03</v>
      </c>
      <c r="J456" s="963"/>
      <c r="K456" s="53">
        <f t="shared" si="78"/>
        <v>0.03</v>
      </c>
      <c r="L456" s="963"/>
      <c r="M456" s="53">
        <f t="shared" si="79"/>
        <v>0.02</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0.1</v>
      </c>
      <c r="F457" s="963"/>
      <c r="G457" s="53">
        <f t="shared" si="76"/>
        <v>0.03</v>
      </c>
      <c r="H457" s="963"/>
      <c r="I457" s="53">
        <f t="shared" si="77"/>
        <v>0.03</v>
      </c>
      <c r="J457" s="963"/>
      <c r="K457" s="53">
        <f t="shared" si="78"/>
        <v>0.03</v>
      </c>
      <c r="L457" s="963"/>
      <c r="M457" s="53">
        <f t="shared" si="79"/>
        <v>0.02</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0.1</v>
      </c>
      <c r="F458" s="963"/>
      <c r="G458" s="53">
        <f t="shared" si="76"/>
        <v>0.03</v>
      </c>
      <c r="H458" s="963"/>
      <c r="I458" s="53">
        <f t="shared" si="77"/>
        <v>0.03</v>
      </c>
      <c r="J458" s="963"/>
      <c r="K458" s="53">
        <f t="shared" si="78"/>
        <v>0.03</v>
      </c>
      <c r="L458" s="963"/>
      <c r="M458" s="53">
        <f t="shared" si="79"/>
        <v>0.02</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0.1</v>
      </c>
      <c r="F459" s="963"/>
      <c r="G459" s="53">
        <f t="shared" si="76"/>
        <v>0.03</v>
      </c>
      <c r="H459" s="963"/>
      <c r="I459" s="53">
        <f t="shared" si="77"/>
        <v>0.03</v>
      </c>
      <c r="J459" s="963"/>
      <c r="K459" s="53">
        <f t="shared" si="78"/>
        <v>0.03</v>
      </c>
      <c r="L459" s="963"/>
      <c r="M459" s="53">
        <f t="shared" si="79"/>
        <v>0.02</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0.1</v>
      </c>
      <c r="F460" s="963"/>
      <c r="G460" s="53">
        <f t="shared" si="76"/>
        <v>0.03</v>
      </c>
      <c r="H460" s="963"/>
      <c r="I460" s="53">
        <f t="shared" si="77"/>
        <v>0.03</v>
      </c>
      <c r="J460" s="963"/>
      <c r="K460" s="53">
        <f t="shared" si="78"/>
        <v>0.03</v>
      </c>
      <c r="L460" s="963"/>
      <c r="M460" s="53">
        <f t="shared" si="79"/>
        <v>0.02</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0.1</v>
      </c>
      <c r="F461" s="963"/>
      <c r="G461" s="53">
        <f t="shared" si="76"/>
        <v>0.03</v>
      </c>
      <c r="H461" s="963"/>
      <c r="I461" s="53">
        <f t="shared" si="77"/>
        <v>0.03</v>
      </c>
      <c r="J461" s="963"/>
      <c r="K461" s="53">
        <f t="shared" si="78"/>
        <v>0.03</v>
      </c>
      <c r="L461" s="963"/>
      <c r="M461" s="53">
        <f t="shared" si="79"/>
        <v>0.02</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0.1</v>
      </c>
      <c r="F462" s="963"/>
      <c r="G462" s="53">
        <f t="shared" si="76"/>
        <v>0.03</v>
      </c>
      <c r="H462" s="963"/>
      <c r="I462" s="53">
        <f t="shared" si="77"/>
        <v>0.03</v>
      </c>
      <c r="J462" s="963"/>
      <c r="K462" s="53">
        <f t="shared" si="78"/>
        <v>0.03</v>
      </c>
      <c r="L462" s="963"/>
      <c r="M462" s="53">
        <f t="shared" si="79"/>
        <v>0.02</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0.1</v>
      </c>
      <c r="F463" s="963"/>
      <c r="G463" s="53">
        <f t="shared" si="76"/>
        <v>0.03</v>
      </c>
      <c r="H463" s="963"/>
      <c r="I463" s="53">
        <f t="shared" si="77"/>
        <v>0.03</v>
      </c>
      <c r="J463" s="963"/>
      <c r="K463" s="53">
        <f t="shared" si="78"/>
        <v>0.03</v>
      </c>
      <c r="L463" s="963"/>
      <c r="M463" s="53">
        <f t="shared" si="79"/>
        <v>0.02</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0.1</v>
      </c>
      <c r="F464" s="963"/>
      <c r="G464" s="53">
        <f t="shared" si="76"/>
        <v>0.03</v>
      </c>
      <c r="H464" s="963"/>
      <c r="I464" s="53">
        <f t="shared" si="77"/>
        <v>0.03</v>
      </c>
      <c r="J464" s="963"/>
      <c r="K464" s="53">
        <f t="shared" si="78"/>
        <v>0.03</v>
      </c>
      <c r="L464" s="963"/>
      <c r="M464" s="53">
        <f t="shared" si="79"/>
        <v>0.02</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0.1</v>
      </c>
      <c r="F465" s="963"/>
      <c r="G465" s="53">
        <f t="shared" si="76"/>
        <v>0.03</v>
      </c>
      <c r="H465" s="963"/>
      <c r="I465" s="53">
        <f t="shared" si="77"/>
        <v>0.03</v>
      </c>
      <c r="J465" s="963"/>
      <c r="K465" s="53">
        <f t="shared" si="78"/>
        <v>0.03</v>
      </c>
      <c r="L465" s="963"/>
      <c r="M465" s="53">
        <f t="shared" si="79"/>
        <v>0.02</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0.1</v>
      </c>
      <c r="F466" s="963"/>
      <c r="G466" s="53">
        <f t="shared" si="76"/>
        <v>0.03</v>
      </c>
      <c r="H466" s="963"/>
      <c r="I466" s="53">
        <f t="shared" si="77"/>
        <v>0.03</v>
      </c>
      <c r="J466" s="963"/>
      <c r="K466" s="53">
        <f t="shared" si="78"/>
        <v>0.03</v>
      </c>
      <c r="L466" s="963"/>
      <c r="M466" s="53">
        <f t="shared" si="79"/>
        <v>0.02</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0.1</v>
      </c>
      <c r="F467" s="963"/>
      <c r="G467" s="53">
        <f t="shared" si="76"/>
        <v>0.03</v>
      </c>
      <c r="H467" s="963"/>
      <c r="I467" s="53">
        <f t="shared" si="77"/>
        <v>0.03</v>
      </c>
      <c r="J467" s="963"/>
      <c r="K467" s="53">
        <f t="shared" si="78"/>
        <v>0.03</v>
      </c>
      <c r="L467" s="963"/>
      <c r="M467" s="53">
        <f t="shared" si="79"/>
        <v>0.02</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0.1</v>
      </c>
      <c r="F468" s="963"/>
      <c r="G468" s="53">
        <f t="shared" si="76"/>
        <v>0.03</v>
      </c>
      <c r="H468" s="963"/>
      <c r="I468" s="53">
        <f t="shared" si="77"/>
        <v>0.03</v>
      </c>
      <c r="J468" s="963"/>
      <c r="K468" s="53">
        <f t="shared" si="78"/>
        <v>0.03</v>
      </c>
      <c r="L468" s="963"/>
      <c r="M468" s="53">
        <f t="shared" si="79"/>
        <v>0.02</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0.1</v>
      </c>
      <c r="F469" s="963"/>
      <c r="G469" s="53">
        <f t="shared" si="76"/>
        <v>0.03</v>
      </c>
      <c r="H469" s="963"/>
      <c r="I469" s="53">
        <f t="shared" si="77"/>
        <v>0.03</v>
      </c>
      <c r="J469" s="963"/>
      <c r="K469" s="53">
        <f t="shared" si="78"/>
        <v>0.03</v>
      </c>
      <c r="L469" s="963"/>
      <c r="M469" s="53">
        <f t="shared" si="79"/>
        <v>0.02</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0.1</v>
      </c>
      <c r="F470" s="963"/>
      <c r="G470" s="53">
        <f t="shared" si="76"/>
        <v>0.03</v>
      </c>
      <c r="H470" s="963"/>
      <c r="I470" s="53">
        <f t="shared" si="77"/>
        <v>0.03</v>
      </c>
      <c r="J470" s="963"/>
      <c r="K470" s="53">
        <f t="shared" si="78"/>
        <v>0.03</v>
      </c>
      <c r="L470" s="963"/>
      <c r="M470" s="53">
        <f t="shared" si="79"/>
        <v>0.02</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0.1</v>
      </c>
      <c r="F471" s="963"/>
      <c r="G471" s="53">
        <f t="shared" si="76"/>
        <v>0.03</v>
      </c>
      <c r="H471" s="963"/>
      <c r="I471" s="53">
        <f t="shared" si="77"/>
        <v>0.03</v>
      </c>
      <c r="J471" s="963"/>
      <c r="K471" s="53">
        <f t="shared" si="78"/>
        <v>0.03</v>
      </c>
      <c r="L471" s="963"/>
      <c r="M471" s="53">
        <f t="shared" si="79"/>
        <v>0.02</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0.1</v>
      </c>
      <c r="F472" s="963"/>
      <c r="G472" s="53">
        <f t="shared" si="76"/>
        <v>0.03</v>
      </c>
      <c r="H472" s="963"/>
      <c r="I472" s="53">
        <f t="shared" si="77"/>
        <v>0.03</v>
      </c>
      <c r="J472" s="963"/>
      <c r="K472" s="53">
        <f t="shared" si="78"/>
        <v>0.03</v>
      </c>
      <c r="L472" s="963"/>
      <c r="M472" s="53">
        <f t="shared" si="79"/>
        <v>0.02</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0.1</v>
      </c>
      <c r="F473" s="963"/>
      <c r="G473" s="53">
        <f t="shared" si="76"/>
        <v>0.03</v>
      </c>
      <c r="H473" s="963"/>
      <c r="I473" s="53">
        <f t="shared" si="77"/>
        <v>0.03</v>
      </c>
      <c r="J473" s="963"/>
      <c r="K473" s="53">
        <f t="shared" si="78"/>
        <v>0.03</v>
      </c>
      <c r="L473" s="963"/>
      <c r="M473" s="53">
        <f t="shared" si="79"/>
        <v>0.02</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0.1</v>
      </c>
      <c r="F474" s="963"/>
      <c r="G474" s="53">
        <f t="shared" ref="G474:G524" si="87">(SUMIF($7:$7,F474,$8:$8)-SUMIF($7:$7,$F$24,$8:$8)+100)/100</f>
        <v>0.03</v>
      </c>
      <c r="H474" s="963"/>
      <c r="I474" s="53">
        <f t="shared" ref="I474:I524" si="88">(SUMIF($9:$9,H474,$10:$10)-SUMIF($9:$9,$H$24,$10:$10)+100)/100</f>
        <v>0.03</v>
      </c>
      <c r="J474" s="963"/>
      <c r="K474" s="53">
        <f t="shared" ref="K474:K524" si="89">(SUMIF($11:$11,J474,$12:$12)-SUMIF($11:$11,$J$24,$12:$12)+100)/100</f>
        <v>0.03</v>
      </c>
      <c r="L474" s="963"/>
      <c r="M474" s="53">
        <f t="shared" ref="M474:M524" si="90">(SUMIF($13:$13,L474,$14:$14)-SUMIF($13:$13,$L$24,$14:$14)+100)/100</f>
        <v>0.02</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0.1</v>
      </c>
      <c r="F475" s="963"/>
      <c r="G475" s="53">
        <f t="shared" si="87"/>
        <v>0.03</v>
      </c>
      <c r="H475" s="963"/>
      <c r="I475" s="53">
        <f t="shared" si="88"/>
        <v>0.03</v>
      </c>
      <c r="J475" s="963"/>
      <c r="K475" s="53">
        <f t="shared" si="89"/>
        <v>0.03</v>
      </c>
      <c r="L475" s="963"/>
      <c r="M475" s="53">
        <f t="shared" si="90"/>
        <v>0.02</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0.1</v>
      </c>
      <c r="F476" s="963"/>
      <c r="G476" s="53">
        <f t="shared" si="87"/>
        <v>0.03</v>
      </c>
      <c r="H476" s="963"/>
      <c r="I476" s="53">
        <f t="shared" si="88"/>
        <v>0.03</v>
      </c>
      <c r="J476" s="963"/>
      <c r="K476" s="53">
        <f t="shared" si="89"/>
        <v>0.03</v>
      </c>
      <c r="L476" s="963"/>
      <c r="M476" s="53">
        <f t="shared" si="90"/>
        <v>0.02</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0.1</v>
      </c>
      <c r="F477" s="963"/>
      <c r="G477" s="53">
        <f t="shared" si="87"/>
        <v>0.03</v>
      </c>
      <c r="H477" s="963"/>
      <c r="I477" s="53">
        <f t="shared" si="88"/>
        <v>0.03</v>
      </c>
      <c r="J477" s="963"/>
      <c r="K477" s="53">
        <f t="shared" si="89"/>
        <v>0.03</v>
      </c>
      <c r="L477" s="963"/>
      <c r="M477" s="53">
        <f t="shared" si="90"/>
        <v>0.02</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0.1</v>
      </c>
      <c r="F478" s="963"/>
      <c r="G478" s="53">
        <f t="shared" si="87"/>
        <v>0.03</v>
      </c>
      <c r="H478" s="963"/>
      <c r="I478" s="53">
        <f t="shared" si="88"/>
        <v>0.03</v>
      </c>
      <c r="J478" s="963"/>
      <c r="K478" s="53">
        <f t="shared" si="89"/>
        <v>0.03</v>
      </c>
      <c r="L478" s="963"/>
      <c r="M478" s="53">
        <f t="shared" si="90"/>
        <v>0.02</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0.1</v>
      </c>
      <c r="F479" s="963"/>
      <c r="G479" s="53">
        <f t="shared" si="87"/>
        <v>0.03</v>
      </c>
      <c r="H479" s="963"/>
      <c r="I479" s="53">
        <f t="shared" si="88"/>
        <v>0.03</v>
      </c>
      <c r="J479" s="963"/>
      <c r="K479" s="53">
        <f t="shared" si="89"/>
        <v>0.03</v>
      </c>
      <c r="L479" s="963"/>
      <c r="M479" s="53">
        <f t="shared" si="90"/>
        <v>0.02</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0.1</v>
      </c>
      <c r="F480" s="963"/>
      <c r="G480" s="53">
        <f t="shared" si="87"/>
        <v>0.03</v>
      </c>
      <c r="H480" s="963"/>
      <c r="I480" s="53">
        <f t="shared" si="88"/>
        <v>0.03</v>
      </c>
      <c r="J480" s="963"/>
      <c r="K480" s="53">
        <f t="shared" si="89"/>
        <v>0.03</v>
      </c>
      <c r="L480" s="963"/>
      <c r="M480" s="53">
        <f t="shared" si="90"/>
        <v>0.02</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0.1</v>
      </c>
      <c r="F481" s="963"/>
      <c r="G481" s="53">
        <f t="shared" si="87"/>
        <v>0.03</v>
      </c>
      <c r="H481" s="963"/>
      <c r="I481" s="53">
        <f t="shared" si="88"/>
        <v>0.03</v>
      </c>
      <c r="J481" s="963"/>
      <c r="K481" s="53">
        <f t="shared" si="89"/>
        <v>0.03</v>
      </c>
      <c r="L481" s="963"/>
      <c r="M481" s="53">
        <f t="shared" si="90"/>
        <v>0.02</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0.1</v>
      </c>
      <c r="F482" s="963"/>
      <c r="G482" s="53">
        <f t="shared" si="87"/>
        <v>0.03</v>
      </c>
      <c r="H482" s="963"/>
      <c r="I482" s="53">
        <f t="shared" si="88"/>
        <v>0.03</v>
      </c>
      <c r="J482" s="963"/>
      <c r="K482" s="53">
        <f t="shared" si="89"/>
        <v>0.03</v>
      </c>
      <c r="L482" s="963"/>
      <c r="M482" s="53">
        <f t="shared" si="90"/>
        <v>0.02</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0.1</v>
      </c>
      <c r="F483" s="963"/>
      <c r="G483" s="53">
        <f t="shared" si="87"/>
        <v>0.03</v>
      </c>
      <c r="H483" s="963"/>
      <c r="I483" s="53">
        <f t="shared" si="88"/>
        <v>0.03</v>
      </c>
      <c r="J483" s="963"/>
      <c r="K483" s="53">
        <f t="shared" si="89"/>
        <v>0.03</v>
      </c>
      <c r="L483" s="963"/>
      <c r="M483" s="53">
        <f t="shared" si="90"/>
        <v>0.02</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0.1</v>
      </c>
      <c r="F484" s="963"/>
      <c r="G484" s="53">
        <f t="shared" si="87"/>
        <v>0.03</v>
      </c>
      <c r="H484" s="963"/>
      <c r="I484" s="53">
        <f t="shared" si="88"/>
        <v>0.03</v>
      </c>
      <c r="J484" s="963"/>
      <c r="K484" s="53">
        <f t="shared" si="89"/>
        <v>0.03</v>
      </c>
      <c r="L484" s="963"/>
      <c r="M484" s="53">
        <f t="shared" si="90"/>
        <v>0.02</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0.1</v>
      </c>
      <c r="F485" s="963"/>
      <c r="G485" s="53">
        <f t="shared" si="87"/>
        <v>0.03</v>
      </c>
      <c r="H485" s="963"/>
      <c r="I485" s="53">
        <f t="shared" si="88"/>
        <v>0.03</v>
      </c>
      <c r="J485" s="963"/>
      <c r="K485" s="53">
        <f t="shared" si="89"/>
        <v>0.03</v>
      </c>
      <c r="L485" s="963"/>
      <c r="M485" s="53">
        <f t="shared" si="90"/>
        <v>0.02</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0.1</v>
      </c>
      <c r="F486" s="963"/>
      <c r="G486" s="53">
        <f t="shared" si="87"/>
        <v>0.03</v>
      </c>
      <c r="H486" s="963"/>
      <c r="I486" s="53">
        <f t="shared" si="88"/>
        <v>0.03</v>
      </c>
      <c r="J486" s="963"/>
      <c r="K486" s="53">
        <f t="shared" si="89"/>
        <v>0.03</v>
      </c>
      <c r="L486" s="963"/>
      <c r="M486" s="53">
        <f t="shared" si="90"/>
        <v>0.02</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0.1</v>
      </c>
      <c r="F487" s="963"/>
      <c r="G487" s="53">
        <f t="shared" si="87"/>
        <v>0.03</v>
      </c>
      <c r="H487" s="963"/>
      <c r="I487" s="53">
        <f t="shared" si="88"/>
        <v>0.03</v>
      </c>
      <c r="J487" s="963"/>
      <c r="K487" s="53">
        <f t="shared" si="89"/>
        <v>0.03</v>
      </c>
      <c r="L487" s="963"/>
      <c r="M487" s="53">
        <f t="shared" si="90"/>
        <v>0.02</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0.1</v>
      </c>
      <c r="F488" s="963"/>
      <c r="G488" s="53">
        <f t="shared" si="87"/>
        <v>0.03</v>
      </c>
      <c r="H488" s="963"/>
      <c r="I488" s="53">
        <f t="shared" si="88"/>
        <v>0.03</v>
      </c>
      <c r="J488" s="963"/>
      <c r="K488" s="53">
        <f t="shared" si="89"/>
        <v>0.03</v>
      </c>
      <c r="L488" s="963"/>
      <c r="M488" s="53">
        <f t="shared" si="90"/>
        <v>0.02</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0.1</v>
      </c>
      <c r="F489" s="963"/>
      <c r="G489" s="53">
        <f t="shared" si="87"/>
        <v>0.03</v>
      </c>
      <c r="H489" s="963"/>
      <c r="I489" s="53">
        <f t="shared" si="88"/>
        <v>0.03</v>
      </c>
      <c r="J489" s="963"/>
      <c r="K489" s="53">
        <f t="shared" si="89"/>
        <v>0.03</v>
      </c>
      <c r="L489" s="963"/>
      <c r="M489" s="53">
        <f t="shared" si="90"/>
        <v>0.02</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0.1</v>
      </c>
      <c r="F490" s="963"/>
      <c r="G490" s="53">
        <f t="shared" si="87"/>
        <v>0.03</v>
      </c>
      <c r="H490" s="963"/>
      <c r="I490" s="53">
        <f t="shared" si="88"/>
        <v>0.03</v>
      </c>
      <c r="J490" s="963"/>
      <c r="K490" s="53">
        <f t="shared" si="89"/>
        <v>0.03</v>
      </c>
      <c r="L490" s="963"/>
      <c r="M490" s="53">
        <f t="shared" si="90"/>
        <v>0.02</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0.1</v>
      </c>
      <c r="F491" s="963"/>
      <c r="G491" s="53">
        <f t="shared" si="87"/>
        <v>0.03</v>
      </c>
      <c r="H491" s="963"/>
      <c r="I491" s="53">
        <f t="shared" si="88"/>
        <v>0.03</v>
      </c>
      <c r="J491" s="963"/>
      <c r="K491" s="53">
        <f t="shared" si="89"/>
        <v>0.03</v>
      </c>
      <c r="L491" s="963"/>
      <c r="M491" s="53">
        <f t="shared" si="90"/>
        <v>0.02</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0.1</v>
      </c>
      <c r="F492" s="963"/>
      <c r="G492" s="53">
        <f t="shared" si="87"/>
        <v>0.03</v>
      </c>
      <c r="H492" s="963"/>
      <c r="I492" s="53">
        <f t="shared" si="88"/>
        <v>0.03</v>
      </c>
      <c r="J492" s="963"/>
      <c r="K492" s="53">
        <f t="shared" si="89"/>
        <v>0.03</v>
      </c>
      <c r="L492" s="963"/>
      <c r="M492" s="53">
        <f t="shared" si="90"/>
        <v>0.02</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0.1</v>
      </c>
      <c r="F493" s="963"/>
      <c r="G493" s="53">
        <f t="shared" si="87"/>
        <v>0.03</v>
      </c>
      <c r="H493" s="963"/>
      <c r="I493" s="53">
        <f t="shared" si="88"/>
        <v>0.03</v>
      </c>
      <c r="J493" s="963"/>
      <c r="K493" s="53">
        <f t="shared" si="89"/>
        <v>0.03</v>
      </c>
      <c r="L493" s="963"/>
      <c r="M493" s="53">
        <f t="shared" si="90"/>
        <v>0.02</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0.1</v>
      </c>
      <c r="F494" s="963"/>
      <c r="G494" s="53">
        <f t="shared" si="87"/>
        <v>0.03</v>
      </c>
      <c r="H494" s="963"/>
      <c r="I494" s="53">
        <f t="shared" si="88"/>
        <v>0.03</v>
      </c>
      <c r="J494" s="963"/>
      <c r="K494" s="53">
        <f t="shared" si="89"/>
        <v>0.03</v>
      </c>
      <c r="L494" s="963"/>
      <c r="M494" s="53">
        <f t="shared" si="90"/>
        <v>0.02</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0.1</v>
      </c>
      <c r="F495" s="963"/>
      <c r="G495" s="53">
        <f t="shared" si="87"/>
        <v>0.03</v>
      </c>
      <c r="H495" s="963"/>
      <c r="I495" s="53">
        <f t="shared" si="88"/>
        <v>0.03</v>
      </c>
      <c r="J495" s="963"/>
      <c r="K495" s="53">
        <f t="shared" si="89"/>
        <v>0.03</v>
      </c>
      <c r="L495" s="963"/>
      <c r="M495" s="53">
        <f t="shared" si="90"/>
        <v>0.02</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0.1</v>
      </c>
      <c r="F496" s="963"/>
      <c r="G496" s="53">
        <f t="shared" si="87"/>
        <v>0.03</v>
      </c>
      <c r="H496" s="963"/>
      <c r="I496" s="53">
        <f t="shared" si="88"/>
        <v>0.03</v>
      </c>
      <c r="J496" s="963"/>
      <c r="K496" s="53">
        <f t="shared" si="89"/>
        <v>0.03</v>
      </c>
      <c r="L496" s="963"/>
      <c r="M496" s="53">
        <f t="shared" si="90"/>
        <v>0.02</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0.1</v>
      </c>
      <c r="F497" s="963"/>
      <c r="G497" s="53">
        <f t="shared" si="87"/>
        <v>0.03</v>
      </c>
      <c r="H497" s="963"/>
      <c r="I497" s="53">
        <f t="shared" si="88"/>
        <v>0.03</v>
      </c>
      <c r="J497" s="963"/>
      <c r="K497" s="53">
        <f t="shared" si="89"/>
        <v>0.03</v>
      </c>
      <c r="L497" s="963"/>
      <c r="M497" s="53">
        <f t="shared" si="90"/>
        <v>0.02</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0.1</v>
      </c>
      <c r="F498" s="963"/>
      <c r="G498" s="53">
        <f t="shared" si="87"/>
        <v>0.03</v>
      </c>
      <c r="H498" s="963"/>
      <c r="I498" s="53">
        <f t="shared" si="88"/>
        <v>0.03</v>
      </c>
      <c r="J498" s="963"/>
      <c r="K498" s="53">
        <f t="shared" si="89"/>
        <v>0.03</v>
      </c>
      <c r="L498" s="963"/>
      <c r="M498" s="53">
        <f t="shared" si="90"/>
        <v>0.02</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0.1</v>
      </c>
      <c r="F499" s="963"/>
      <c r="G499" s="53">
        <f t="shared" si="87"/>
        <v>0.03</v>
      </c>
      <c r="H499" s="963"/>
      <c r="I499" s="53">
        <f t="shared" si="88"/>
        <v>0.03</v>
      </c>
      <c r="J499" s="963"/>
      <c r="K499" s="53">
        <f t="shared" si="89"/>
        <v>0.03</v>
      </c>
      <c r="L499" s="963"/>
      <c r="M499" s="53">
        <f t="shared" si="90"/>
        <v>0.02</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0.1</v>
      </c>
      <c r="F500" s="963"/>
      <c r="G500" s="53">
        <f t="shared" si="87"/>
        <v>0.03</v>
      </c>
      <c r="H500" s="963"/>
      <c r="I500" s="53">
        <f t="shared" si="88"/>
        <v>0.03</v>
      </c>
      <c r="J500" s="963"/>
      <c r="K500" s="53">
        <f t="shared" si="89"/>
        <v>0.03</v>
      </c>
      <c r="L500" s="963"/>
      <c r="M500" s="53">
        <f t="shared" si="90"/>
        <v>0.02</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0.1</v>
      </c>
      <c r="F501" s="963"/>
      <c r="G501" s="53">
        <f t="shared" si="87"/>
        <v>0.03</v>
      </c>
      <c r="H501" s="963"/>
      <c r="I501" s="53">
        <f t="shared" si="88"/>
        <v>0.03</v>
      </c>
      <c r="J501" s="963"/>
      <c r="K501" s="53">
        <f t="shared" si="89"/>
        <v>0.03</v>
      </c>
      <c r="L501" s="963"/>
      <c r="M501" s="53">
        <f t="shared" si="90"/>
        <v>0.02</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0.1</v>
      </c>
      <c r="F502" s="963"/>
      <c r="G502" s="53">
        <f t="shared" si="87"/>
        <v>0.03</v>
      </c>
      <c r="H502" s="963"/>
      <c r="I502" s="53">
        <f t="shared" si="88"/>
        <v>0.03</v>
      </c>
      <c r="J502" s="963"/>
      <c r="K502" s="53">
        <f t="shared" si="89"/>
        <v>0.03</v>
      </c>
      <c r="L502" s="963"/>
      <c r="M502" s="53">
        <f t="shared" si="90"/>
        <v>0.02</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0.1</v>
      </c>
      <c r="F503" s="963"/>
      <c r="G503" s="53">
        <f t="shared" si="87"/>
        <v>0.03</v>
      </c>
      <c r="H503" s="963"/>
      <c r="I503" s="53">
        <f t="shared" si="88"/>
        <v>0.03</v>
      </c>
      <c r="J503" s="963"/>
      <c r="K503" s="53">
        <f t="shared" si="89"/>
        <v>0.03</v>
      </c>
      <c r="L503" s="963"/>
      <c r="M503" s="53">
        <f t="shared" si="90"/>
        <v>0.02</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0.1</v>
      </c>
      <c r="F504" s="963"/>
      <c r="G504" s="53">
        <f t="shared" si="87"/>
        <v>0.03</v>
      </c>
      <c r="H504" s="963"/>
      <c r="I504" s="53">
        <f t="shared" si="88"/>
        <v>0.03</v>
      </c>
      <c r="J504" s="963"/>
      <c r="K504" s="53">
        <f t="shared" si="89"/>
        <v>0.03</v>
      </c>
      <c r="L504" s="963"/>
      <c r="M504" s="53">
        <f t="shared" si="90"/>
        <v>0.02</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0.1</v>
      </c>
      <c r="F505" s="963"/>
      <c r="G505" s="53">
        <f t="shared" si="87"/>
        <v>0.03</v>
      </c>
      <c r="H505" s="963"/>
      <c r="I505" s="53">
        <f t="shared" si="88"/>
        <v>0.03</v>
      </c>
      <c r="J505" s="963"/>
      <c r="K505" s="53">
        <f t="shared" si="89"/>
        <v>0.03</v>
      </c>
      <c r="L505" s="963"/>
      <c r="M505" s="53">
        <f t="shared" si="90"/>
        <v>0.02</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0.1</v>
      </c>
      <c r="F506" s="963"/>
      <c r="G506" s="53">
        <f t="shared" si="87"/>
        <v>0.03</v>
      </c>
      <c r="H506" s="963"/>
      <c r="I506" s="53">
        <f t="shared" si="88"/>
        <v>0.03</v>
      </c>
      <c r="J506" s="963"/>
      <c r="K506" s="53">
        <f t="shared" si="89"/>
        <v>0.03</v>
      </c>
      <c r="L506" s="963"/>
      <c r="M506" s="53">
        <f t="shared" si="90"/>
        <v>0.02</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0.1</v>
      </c>
      <c r="F507" s="963"/>
      <c r="G507" s="53">
        <f t="shared" si="87"/>
        <v>0.03</v>
      </c>
      <c r="H507" s="963"/>
      <c r="I507" s="53">
        <f t="shared" si="88"/>
        <v>0.03</v>
      </c>
      <c r="J507" s="963"/>
      <c r="K507" s="53">
        <f t="shared" si="89"/>
        <v>0.03</v>
      </c>
      <c r="L507" s="963"/>
      <c r="M507" s="53">
        <f t="shared" si="90"/>
        <v>0.02</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0.1</v>
      </c>
      <c r="F508" s="963"/>
      <c r="G508" s="53">
        <f t="shared" si="87"/>
        <v>0.03</v>
      </c>
      <c r="H508" s="963"/>
      <c r="I508" s="53">
        <f t="shared" si="88"/>
        <v>0.03</v>
      </c>
      <c r="J508" s="963"/>
      <c r="K508" s="53">
        <f t="shared" si="89"/>
        <v>0.03</v>
      </c>
      <c r="L508" s="963"/>
      <c r="M508" s="53">
        <f t="shared" si="90"/>
        <v>0.02</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0.1</v>
      </c>
      <c r="F509" s="963"/>
      <c r="G509" s="53">
        <f t="shared" si="87"/>
        <v>0.03</v>
      </c>
      <c r="H509" s="963"/>
      <c r="I509" s="53">
        <f t="shared" si="88"/>
        <v>0.03</v>
      </c>
      <c r="J509" s="963"/>
      <c r="K509" s="53">
        <f t="shared" si="89"/>
        <v>0.03</v>
      </c>
      <c r="L509" s="963"/>
      <c r="M509" s="53">
        <f t="shared" si="90"/>
        <v>0.02</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0.1</v>
      </c>
      <c r="F510" s="963"/>
      <c r="G510" s="53">
        <f t="shared" si="87"/>
        <v>0.03</v>
      </c>
      <c r="H510" s="963"/>
      <c r="I510" s="53">
        <f t="shared" si="88"/>
        <v>0.03</v>
      </c>
      <c r="J510" s="963"/>
      <c r="K510" s="53">
        <f t="shared" si="89"/>
        <v>0.03</v>
      </c>
      <c r="L510" s="963"/>
      <c r="M510" s="53">
        <f t="shared" si="90"/>
        <v>0.02</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0.1</v>
      </c>
      <c r="F511" s="963"/>
      <c r="G511" s="53">
        <f t="shared" si="87"/>
        <v>0.03</v>
      </c>
      <c r="H511" s="963"/>
      <c r="I511" s="53">
        <f t="shared" si="88"/>
        <v>0.03</v>
      </c>
      <c r="J511" s="963"/>
      <c r="K511" s="53">
        <f t="shared" si="89"/>
        <v>0.03</v>
      </c>
      <c r="L511" s="963"/>
      <c r="M511" s="53">
        <f t="shared" si="90"/>
        <v>0.02</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0.1</v>
      </c>
      <c r="F512" s="963"/>
      <c r="G512" s="53">
        <f t="shared" si="87"/>
        <v>0.03</v>
      </c>
      <c r="H512" s="963"/>
      <c r="I512" s="53">
        <f t="shared" si="88"/>
        <v>0.03</v>
      </c>
      <c r="J512" s="963"/>
      <c r="K512" s="53">
        <f t="shared" si="89"/>
        <v>0.03</v>
      </c>
      <c r="L512" s="963"/>
      <c r="M512" s="53">
        <f t="shared" si="90"/>
        <v>0.02</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0.1</v>
      </c>
      <c r="F513" s="963"/>
      <c r="G513" s="53">
        <f t="shared" si="87"/>
        <v>0.03</v>
      </c>
      <c r="H513" s="963"/>
      <c r="I513" s="53">
        <f t="shared" si="88"/>
        <v>0.03</v>
      </c>
      <c r="J513" s="963"/>
      <c r="K513" s="53">
        <f t="shared" si="89"/>
        <v>0.03</v>
      </c>
      <c r="L513" s="963"/>
      <c r="M513" s="53">
        <f t="shared" si="90"/>
        <v>0.02</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0.1</v>
      </c>
      <c r="F514" s="963"/>
      <c r="G514" s="53">
        <f t="shared" si="87"/>
        <v>0.03</v>
      </c>
      <c r="H514" s="963"/>
      <c r="I514" s="53">
        <f t="shared" si="88"/>
        <v>0.03</v>
      </c>
      <c r="J514" s="963"/>
      <c r="K514" s="53">
        <f t="shared" si="89"/>
        <v>0.03</v>
      </c>
      <c r="L514" s="963"/>
      <c r="M514" s="53">
        <f t="shared" si="90"/>
        <v>0.02</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0.1</v>
      </c>
      <c r="F515" s="963"/>
      <c r="G515" s="53">
        <f t="shared" si="87"/>
        <v>0.03</v>
      </c>
      <c r="H515" s="963"/>
      <c r="I515" s="53">
        <f t="shared" si="88"/>
        <v>0.03</v>
      </c>
      <c r="J515" s="963"/>
      <c r="K515" s="53">
        <f t="shared" si="89"/>
        <v>0.03</v>
      </c>
      <c r="L515" s="963"/>
      <c r="M515" s="53">
        <f t="shared" si="90"/>
        <v>0.02</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0.1</v>
      </c>
      <c r="F516" s="963"/>
      <c r="G516" s="53">
        <f t="shared" si="87"/>
        <v>0.03</v>
      </c>
      <c r="H516" s="963"/>
      <c r="I516" s="53">
        <f t="shared" si="88"/>
        <v>0.03</v>
      </c>
      <c r="J516" s="963"/>
      <c r="K516" s="53">
        <f t="shared" si="89"/>
        <v>0.03</v>
      </c>
      <c r="L516" s="963"/>
      <c r="M516" s="53">
        <f t="shared" si="90"/>
        <v>0.02</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0.1</v>
      </c>
      <c r="F517" s="963"/>
      <c r="G517" s="53">
        <f t="shared" si="87"/>
        <v>0.03</v>
      </c>
      <c r="H517" s="963"/>
      <c r="I517" s="53">
        <f t="shared" si="88"/>
        <v>0.03</v>
      </c>
      <c r="J517" s="963"/>
      <c r="K517" s="53">
        <f t="shared" si="89"/>
        <v>0.03</v>
      </c>
      <c r="L517" s="963"/>
      <c r="M517" s="53">
        <f t="shared" si="90"/>
        <v>0.02</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0.1</v>
      </c>
      <c r="F518" s="963"/>
      <c r="G518" s="53">
        <f t="shared" si="87"/>
        <v>0.03</v>
      </c>
      <c r="H518" s="963"/>
      <c r="I518" s="53">
        <f t="shared" si="88"/>
        <v>0.03</v>
      </c>
      <c r="J518" s="963"/>
      <c r="K518" s="53">
        <f t="shared" si="89"/>
        <v>0.03</v>
      </c>
      <c r="L518" s="963"/>
      <c r="M518" s="53">
        <f t="shared" si="90"/>
        <v>0.02</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0.1</v>
      </c>
      <c r="F519" s="963"/>
      <c r="G519" s="53">
        <f t="shared" si="87"/>
        <v>0.03</v>
      </c>
      <c r="H519" s="963"/>
      <c r="I519" s="53">
        <f t="shared" si="88"/>
        <v>0.03</v>
      </c>
      <c r="J519" s="963"/>
      <c r="K519" s="53">
        <f t="shared" si="89"/>
        <v>0.03</v>
      </c>
      <c r="L519" s="963"/>
      <c r="M519" s="53">
        <f t="shared" si="90"/>
        <v>0.02</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0.1</v>
      </c>
      <c r="F520" s="963"/>
      <c r="G520" s="53">
        <f t="shared" si="87"/>
        <v>0.03</v>
      </c>
      <c r="H520" s="963"/>
      <c r="I520" s="53">
        <f t="shared" si="88"/>
        <v>0.03</v>
      </c>
      <c r="J520" s="963"/>
      <c r="K520" s="53">
        <f t="shared" si="89"/>
        <v>0.03</v>
      </c>
      <c r="L520" s="963"/>
      <c r="M520" s="53">
        <f t="shared" si="90"/>
        <v>0.02</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0.1</v>
      </c>
      <c r="F521" s="963"/>
      <c r="G521" s="53">
        <f t="shared" si="87"/>
        <v>0.03</v>
      </c>
      <c r="H521" s="963"/>
      <c r="I521" s="53">
        <f t="shared" si="88"/>
        <v>0.03</v>
      </c>
      <c r="J521" s="963"/>
      <c r="K521" s="53">
        <f t="shared" si="89"/>
        <v>0.03</v>
      </c>
      <c r="L521" s="963"/>
      <c r="M521" s="53">
        <f t="shared" si="90"/>
        <v>0.02</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0.1</v>
      </c>
      <c r="F522" s="963"/>
      <c r="G522" s="53">
        <f t="shared" si="87"/>
        <v>0.03</v>
      </c>
      <c r="H522" s="963"/>
      <c r="I522" s="53">
        <f t="shared" si="88"/>
        <v>0.03</v>
      </c>
      <c r="J522" s="963"/>
      <c r="K522" s="53">
        <f t="shared" si="89"/>
        <v>0.03</v>
      </c>
      <c r="L522" s="963"/>
      <c r="M522" s="53">
        <f t="shared" si="90"/>
        <v>0.02</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0.1</v>
      </c>
      <c r="F523" s="963"/>
      <c r="G523" s="53">
        <f t="shared" si="87"/>
        <v>0.03</v>
      </c>
      <c r="H523" s="963"/>
      <c r="I523" s="53">
        <f t="shared" si="88"/>
        <v>0.03</v>
      </c>
      <c r="J523" s="963"/>
      <c r="K523" s="53">
        <f t="shared" si="89"/>
        <v>0.03</v>
      </c>
      <c r="L523" s="963"/>
      <c r="M523" s="53">
        <f t="shared" si="90"/>
        <v>0.02</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0.1</v>
      </c>
      <c r="F524" s="963"/>
      <c r="G524" s="53">
        <f t="shared" si="87"/>
        <v>0.03</v>
      </c>
      <c r="H524" s="963"/>
      <c r="I524" s="53">
        <f t="shared" si="88"/>
        <v>0.03</v>
      </c>
      <c r="J524" s="963"/>
      <c r="K524" s="53">
        <f t="shared" si="89"/>
        <v>0.03</v>
      </c>
      <c r="L524" s="963"/>
      <c r="M524" s="53">
        <f t="shared" si="90"/>
        <v>0.02</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2791</v>
      </c>
      <c r="C1" s="3004">
        <f>项目基本情况!D3</f>
        <v>43361</v>
      </c>
      <c r="H1" s="2938">
        <f>IF(C1&gt;C13,0,MATCH(C1,C$13:C$100,-1))+IF(SUMIF(C13:C100,C1,D13:D100)=0,13,12)</f>
        <v>13</v>
      </c>
      <c r="I1" s="2938">
        <f ca="1">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2822</v>
      </c>
      <c r="C2" s="3005">
        <f>'数据-取费表'!B22</f>
        <v>3</v>
      </c>
      <c r="D2" s="3000" t="s">
        <v>2792</v>
      </c>
      <c r="E2" s="3003">
        <f ca="1">INDIRECT("I"&amp;$I$1)/100</f>
        <v>4.7500000000000001E-2</v>
      </c>
      <c r="G2" s="2940"/>
      <c r="H2" s="2940"/>
      <c r="I2" s="2940" t="s">
        <v>2793</v>
      </c>
      <c r="K2" s="2940"/>
      <c r="L2" s="2940"/>
      <c r="M2" s="2940"/>
      <c r="N2" s="2940" t="s">
        <v>2794</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2824</v>
      </c>
      <c r="C3" s="3002">
        <f>'数据-取费表'!B19</f>
        <v>0</v>
      </c>
      <c r="D3" s="3000" t="s">
        <v>2792</v>
      </c>
      <c r="E3" s="3003">
        <f ca="1">INDIRECT("J"&amp;$J$1)/100</f>
        <v>0</v>
      </c>
      <c r="G3" s="2942" t="s">
        <v>2795</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2823</v>
      </c>
      <c r="C4" s="3003">
        <f ca="1">N4/100</f>
        <v>1.4999999999999999E-2</v>
      </c>
      <c r="G4" s="2948" t="s">
        <v>2796</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2797</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2798</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2799</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2800</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2801</v>
      </c>
      <c r="C10" s="2967"/>
      <c r="D10" s="2967"/>
      <c r="E10" s="2967"/>
      <c r="F10" s="2967"/>
      <c r="G10" s="2967"/>
      <c r="H10" s="2967"/>
      <c r="I10" s="2941"/>
      <c r="J10" s="2941"/>
      <c r="K10" s="2967"/>
      <c r="L10" s="2968" t="s">
        <v>2802</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2803</v>
      </c>
      <c r="C11" s="2972" t="s">
        <v>2804</v>
      </c>
      <c r="D11" s="2973" t="s">
        <v>2805</v>
      </c>
      <c r="E11" s="2974"/>
      <c r="F11" s="2973" t="s">
        <v>2806</v>
      </c>
      <c r="G11" s="2975"/>
      <c r="H11" s="2974"/>
      <c r="I11" s="2973" t="s">
        <v>2807</v>
      </c>
      <c r="J11" s="2974"/>
      <c r="K11" s="2970"/>
      <c r="L11" s="2971" t="s">
        <v>2803</v>
      </c>
      <c r="M11" s="2972" t="s">
        <v>2804</v>
      </c>
      <c r="N11" s="2971" t="s">
        <v>2808</v>
      </c>
      <c r="O11" s="2973" t="s">
        <v>2809</v>
      </c>
      <c r="P11" s="2975"/>
      <c r="Q11" s="2975"/>
      <c r="R11" s="2975"/>
      <c r="S11" s="2975"/>
      <c r="T11" s="2974"/>
      <c r="U11" s="2973" t="s">
        <v>2810</v>
      </c>
      <c r="V11" s="2975"/>
      <c r="W11" s="2974"/>
      <c r="X11" s="2971" t="s">
        <v>2811</v>
      </c>
      <c r="Y11" s="2971" t="s">
        <v>2812</v>
      </c>
      <c r="Z11" s="2971" t="s">
        <v>2813</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2814</v>
      </c>
      <c r="E12" s="2980" t="s">
        <v>2815</v>
      </c>
      <c r="F12" s="2980" t="s">
        <v>2816</v>
      </c>
      <c r="G12" s="2980" t="s">
        <v>2817</v>
      </c>
      <c r="H12" s="2980" t="s">
        <v>2799</v>
      </c>
      <c r="I12" s="2981" t="s">
        <v>2818</v>
      </c>
      <c r="J12" s="2981" t="s">
        <v>2818</v>
      </c>
      <c r="K12" s="2977"/>
      <c r="L12" s="2978"/>
      <c r="M12" s="2979"/>
      <c r="N12" s="2978"/>
      <c r="O12" s="2981" t="s">
        <v>2819</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2820</v>
      </c>
      <c r="C13" s="2985">
        <v>42301</v>
      </c>
      <c r="D13" s="2986">
        <v>4.3499999999999996</v>
      </c>
      <c r="E13" s="2986">
        <v>4.3499999999999996</v>
      </c>
      <c r="F13" s="2986">
        <v>4.75</v>
      </c>
      <c r="G13" s="2986">
        <v>4.75</v>
      </c>
      <c r="H13" s="2986">
        <v>4.9000000000000004</v>
      </c>
      <c r="I13" s="2986">
        <v>2.75</v>
      </c>
      <c r="J13" s="2986">
        <v>3.25</v>
      </c>
      <c r="K13" s="2983"/>
      <c r="L13" s="2984" t="s">
        <v>2820</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2821</v>
      </c>
      <c r="Y42" s="2990" t="s">
        <v>2821</v>
      </c>
      <c r="Z42" s="2990" t="s">
        <v>2821</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2821</v>
      </c>
      <c r="Y43" s="2990" t="s">
        <v>2821</v>
      </c>
      <c r="Z43" s="2990" t="s">
        <v>2821</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2821</v>
      </c>
      <c r="Y44" s="2990" t="s">
        <v>2821</v>
      </c>
      <c r="Z44" s="2990" t="s">
        <v>2821</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2821</v>
      </c>
      <c r="Y45" s="2990" t="s">
        <v>2821</v>
      </c>
      <c r="Z45" s="2990" t="s">
        <v>2821</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2821</v>
      </c>
      <c r="Y46" s="2990" t="s">
        <v>2821</v>
      </c>
      <c r="Z46" s="2990" t="s">
        <v>2821</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2821</v>
      </c>
      <c r="Y47" s="2990" t="s">
        <v>2821</v>
      </c>
      <c r="Z47" s="2990" t="s">
        <v>2821</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2821</v>
      </c>
      <c r="Y48" s="2990" t="s">
        <v>2821</v>
      </c>
      <c r="Z48" s="2990" t="s">
        <v>2821</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2821</v>
      </c>
      <c r="Y49" s="2990" t="s">
        <v>2821</v>
      </c>
      <c r="Z49" s="2990" t="s">
        <v>2821</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2821</v>
      </c>
      <c r="Y50" s="2990" t="s">
        <v>2821</v>
      </c>
      <c r="Z50" s="2990" t="s">
        <v>2821</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2821</v>
      </c>
      <c r="V51" s="2990" t="s">
        <v>2821</v>
      </c>
      <c r="W51" s="2990" t="s">
        <v>2821</v>
      </c>
      <c r="X51" s="2990" t="s">
        <v>2821</v>
      </c>
      <c r="Y51" s="2990" t="s">
        <v>2821</v>
      </c>
      <c r="Z51" s="2990" t="s">
        <v>2821</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2821</v>
      </c>
      <c r="J55" s="2990" t="s">
        <v>2821</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5" sqref="A5"/>
    </sheetView>
  </sheetViews>
  <sheetFormatPr defaultRowHeight="13.5"/>
  <cols>
    <col min="1" max="1" width="29.125" customWidth="1"/>
    <col min="2" max="2" width="21.125" customWidth="1"/>
  </cols>
  <sheetData>
    <row r="1" spans="1:13">
      <c r="A1" t="s">
        <v>3034</v>
      </c>
      <c r="B1" t="s">
        <v>3035</v>
      </c>
      <c r="C1" t="s">
        <v>3036</v>
      </c>
      <c r="D1" t="s">
        <v>3037</v>
      </c>
      <c r="E1" t="s">
        <v>3038</v>
      </c>
      <c r="F1" t="s">
        <v>2035</v>
      </c>
      <c r="G1" t="s">
        <v>3039</v>
      </c>
      <c r="H1" t="s">
        <v>3040</v>
      </c>
      <c r="I1" t="s">
        <v>3041</v>
      </c>
      <c r="J1" t="s">
        <v>3042</v>
      </c>
      <c r="K1" t="s">
        <v>3043</v>
      </c>
      <c r="L1" t="s">
        <v>3044</v>
      </c>
      <c r="M1" t="s">
        <v>3045</v>
      </c>
    </row>
    <row r="2" spans="1:13">
      <c r="A2" t="s">
        <v>3046</v>
      </c>
      <c r="B2" t="s">
        <v>3047</v>
      </c>
      <c r="C2" t="s">
        <v>3048</v>
      </c>
      <c r="D2">
        <v>36572.57</v>
      </c>
      <c r="E2">
        <v>109717.71</v>
      </c>
      <c r="F2" t="s">
        <v>3049</v>
      </c>
      <c r="G2" t="s">
        <v>3050</v>
      </c>
      <c r="H2" t="s">
        <v>3051</v>
      </c>
      <c r="I2">
        <v>5761</v>
      </c>
      <c r="J2">
        <v>5761</v>
      </c>
      <c r="K2">
        <v>525.07000000000005</v>
      </c>
      <c r="L2">
        <v>0</v>
      </c>
      <c r="M2" t="s">
        <v>3052</v>
      </c>
    </row>
    <row r="3" spans="1:13">
      <c r="A3" t="s">
        <v>3046</v>
      </c>
      <c r="B3" t="s">
        <v>3047</v>
      </c>
      <c r="C3" t="s">
        <v>3048</v>
      </c>
      <c r="D3">
        <v>46559.15</v>
      </c>
      <c r="E3">
        <v>139677.45000000001</v>
      </c>
      <c r="F3" t="s">
        <v>3049</v>
      </c>
      <c r="G3" t="s">
        <v>3050</v>
      </c>
      <c r="H3" t="s">
        <v>3051</v>
      </c>
      <c r="I3">
        <v>7465</v>
      </c>
      <c r="J3">
        <v>7465</v>
      </c>
      <c r="K3">
        <v>534.45000000000005</v>
      </c>
      <c r="L3">
        <v>0</v>
      </c>
      <c r="M3" t="s">
        <v>3052</v>
      </c>
    </row>
    <row r="4" spans="1:13">
      <c r="A4" t="s">
        <v>3046</v>
      </c>
      <c r="B4" t="s">
        <v>3047</v>
      </c>
      <c r="C4" t="s">
        <v>3048</v>
      </c>
      <c r="D4">
        <v>39778.03</v>
      </c>
      <c r="E4">
        <v>119334.09</v>
      </c>
      <c r="F4" t="s">
        <v>3049</v>
      </c>
      <c r="G4" t="s">
        <v>3050</v>
      </c>
      <c r="H4" t="s">
        <v>3051</v>
      </c>
      <c r="I4">
        <v>6087</v>
      </c>
      <c r="J4">
        <v>6087</v>
      </c>
      <c r="K4">
        <v>510.07</v>
      </c>
      <c r="L4">
        <v>0</v>
      </c>
      <c r="M4" t="s">
        <v>3052</v>
      </c>
    </row>
    <row r="5" spans="1:13" s="3182" customFormat="1">
      <c r="A5" s="3184" t="s">
        <v>3138</v>
      </c>
      <c r="B5" s="3182" t="s">
        <v>3047</v>
      </c>
      <c r="C5" s="3182" t="s">
        <v>3048</v>
      </c>
      <c r="D5" s="3182">
        <v>16421</v>
      </c>
      <c r="E5" s="3182">
        <v>47620.9</v>
      </c>
      <c r="F5" s="3182" t="s">
        <v>3053</v>
      </c>
      <c r="G5" s="3182" t="s">
        <v>3050</v>
      </c>
      <c r="H5" s="3182" t="s">
        <v>3051</v>
      </c>
      <c r="I5" s="3182">
        <v>2531</v>
      </c>
      <c r="J5" s="3182">
        <v>2531</v>
      </c>
      <c r="K5" s="3182">
        <v>531.49</v>
      </c>
      <c r="L5" s="3182">
        <v>0</v>
      </c>
      <c r="M5" s="3182" t="s">
        <v>3054</v>
      </c>
    </row>
    <row r="6" spans="1:13">
      <c r="A6" t="s">
        <v>3055</v>
      </c>
      <c r="B6" t="s">
        <v>3047</v>
      </c>
      <c r="C6" t="s">
        <v>3048</v>
      </c>
      <c r="D6">
        <v>13065.92</v>
      </c>
      <c r="E6">
        <v>39197.760000000002</v>
      </c>
      <c r="F6" t="s">
        <v>3049</v>
      </c>
      <c r="G6" t="s">
        <v>3050</v>
      </c>
      <c r="H6" t="s">
        <v>3056</v>
      </c>
      <c r="I6">
        <v>2215</v>
      </c>
      <c r="J6">
        <v>2215</v>
      </c>
      <c r="K6">
        <v>565.08000000000004</v>
      </c>
      <c r="L6">
        <v>0</v>
      </c>
      <c r="M6" t="s">
        <v>3057</v>
      </c>
    </row>
    <row r="7" spans="1:13" s="3182" customFormat="1">
      <c r="A7" s="3184" t="s">
        <v>3139</v>
      </c>
      <c r="B7" s="3182" t="s">
        <v>3047</v>
      </c>
      <c r="C7" s="3182" t="s">
        <v>3048</v>
      </c>
      <c r="D7" s="3182">
        <v>29756.7</v>
      </c>
      <c r="E7" s="3182">
        <v>71416.08</v>
      </c>
      <c r="F7" s="3182" t="s">
        <v>3059</v>
      </c>
      <c r="G7" s="3182" t="s">
        <v>3050</v>
      </c>
      <c r="H7" s="3182" t="s">
        <v>3056</v>
      </c>
      <c r="I7" s="3182">
        <v>3937</v>
      </c>
      <c r="J7" s="3182">
        <v>3937</v>
      </c>
      <c r="K7" s="3182">
        <v>551.27</v>
      </c>
      <c r="L7" s="3182">
        <v>0</v>
      </c>
      <c r="M7" s="3182" t="s">
        <v>3060</v>
      </c>
    </row>
    <row r="8" spans="1:13">
      <c r="A8" t="s">
        <v>3061</v>
      </c>
      <c r="B8" t="s">
        <v>3047</v>
      </c>
      <c r="C8" t="s">
        <v>3048</v>
      </c>
      <c r="D8">
        <v>24841.1</v>
      </c>
      <c r="E8">
        <v>74523.3</v>
      </c>
      <c r="F8" t="s">
        <v>3049</v>
      </c>
      <c r="G8" t="s">
        <v>3050</v>
      </c>
      <c r="H8" t="s">
        <v>3056</v>
      </c>
      <c r="I8">
        <v>3910</v>
      </c>
      <c r="J8">
        <v>3910</v>
      </c>
      <c r="K8">
        <v>524.66</v>
      </c>
      <c r="L8">
        <v>0</v>
      </c>
      <c r="M8" t="s">
        <v>3057</v>
      </c>
    </row>
    <row r="9" spans="1:13">
      <c r="A9" t="s">
        <v>3055</v>
      </c>
      <c r="B9" t="s">
        <v>3047</v>
      </c>
      <c r="C9" t="s">
        <v>3048</v>
      </c>
      <c r="D9">
        <v>35363.74</v>
      </c>
      <c r="E9">
        <v>106091.22</v>
      </c>
      <c r="F9" t="s">
        <v>3049</v>
      </c>
      <c r="G9" t="s">
        <v>3050</v>
      </c>
      <c r="H9" t="s">
        <v>3056</v>
      </c>
      <c r="I9">
        <v>6000</v>
      </c>
      <c r="J9">
        <v>6000</v>
      </c>
      <c r="K9">
        <v>565.54</v>
      </c>
      <c r="L9">
        <v>0</v>
      </c>
      <c r="M9" t="s">
        <v>3057</v>
      </c>
    </row>
    <row r="10" spans="1:13">
      <c r="A10" t="s">
        <v>3061</v>
      </c>
      <c r="B10" t="s">
        <v>3047</v>
      </c>
      <c r="C10" t="s">
        <v>3048</v>
      </c>
      <c r="D10">
        <v>34510.1</v>
      </c>
      <c r="E10">
        <v>103530.3</v>
      </c>
      <c r="F10" t="s">
        <v>3049</v>
      </c>
      <c r="G10" t="s">
        <v>3050</v>
      </c>
      <c r="H10" t="s">
        <v>3056</v>
      </c>
      <c r="I10">
        <v>5880</v>
      </c>
      <c r="J10">
        <v>5880</v>
      </c>
      <c r="K10">
        <v>567.95000000000005</v>
      </c>
      <c r="L10">
        <v>0</v>
      </c>
      <c r="M10" t="s">
        <v>3057</v>
      </c>
    </row>
    <row r="11" spans="1:13">
      <c r="A11" t="s">
        <v>3058</v>
      </c>
      <c r="B11" t="s">
        <v>3047</v>
      </c>
      <c r="C11" t="s">
        <v>3048</v>
      </c>
      <c r="D11">
        <v>30243.3</v>
      </c>
      <c r="E11">
        <v>84681.24</v>
      </c>
      <c r="F11" t="s">
        <v>3062</v>
      </c>
      <c r="G11" t="s">
        <v>3050</v>
      </c>
      <c r="H11" t="s">
        <v>3056</v>
      </c>
      <c r="I11">
        <v>4265</v>
      </c>
      <c r="J11">
        <v>4265</v>
      </c>
      <c r="K11">
        <v>503.64</v>
      </c>
      <c r="L11">
        <v>0</v>
      </c>
      <c r="M11" t="s">
        <v>3060</v>
      </c>
    </row>
    <row r="12" spans="1:13">
      <c r="A12" t="s">
        <v>3055</v>
      </c>
      <c r="B12" t="s">
        <v>3047</v>
      </c>
      <c r="C12" t="s">
        <v>3048</v>
      </c>
      <c r="D12">
        <v>38289.85</v>
      </c>
      <c r="E12">
        <v>114869.55</v>
      </c>
      <c r="F12" t="s">
        <v>3049</v>
      </c>
      <c r="G12" t="s">
        <v>3050</v>
      </c>
      <c r="H12" t="s">
        <v>3056</v>
      </c>
      <c r="I12">
        <v>6405</v>
      </c>
      <c r="J12">
        <v>6405</v>
      </c>
      <c r="K12">
        <v>557.59</v>
      </c>
      <c r="L12">
        <v>0</v>
      </c>
      <c r="M12" t="s">
        <v>3057</v>
      </c>
    </row>
    <row r="13" spans="1:13">
      <c r="A13" t="s">
        <v>3063</v>
      </c>
      <c r="B13" t="s">
        <v>3047</v>
      </c>
      <c r="C13" t="s">
        <v>3048</v>
      </c>
      <c r="D13">
        <v>26309.58</v>
      </c>
      <c r="E13">
        <v>51040.59</v>
      </c>
      <c r="F13" t="s">
        <v>3064</v>
      </c>
      <c r="G13" t="s">
        <v>3050</v>
      </c>
      <c r="H13" t="s">
        <v>3065</v>
      </c>
      <c r="I13">
        <v>10014</v>
      </c>
      <c r="J13">
        <v>10014</v>
      </c>
      <c r="K13">
        <v>1961.97</v>
      </c>
      <c r="L13">
        <v>0</v>
      </c>
      <c r="M13" t="s">
        <v>3066</v>
      </c>
    </row>
    <row r="14" spans="1:13">
      <c r="A14" t="s">
        <v>3067</v>
      </c>
      <c r="B14" t="s">
        <v>3047</v>
      </c>
      <c r="C14" t="s">
        <v>3048</v>
      </c>
      <c r="D14">
        <v>18867.5</v>
      </c>
      <c r="E14">
        <v>33961.5</v>
      </c>
      <c r="F14" t="s">
        <v>3068</v>
      </c>
      <c r="G14" t="s">
        <v>3050</v>
      </c>
      <c r="H14" t="s">
        <v>3065</v>
      </c>
      <c r="I14">
        <v>1031</v>
      </c>
      <c r="J14">
        <v>1031</v>
      </c>
      <c r="K14">
        <v>303.57</v>
      </c>
      <c r="L14">
        <v>0</v>
      </c>
      <c r="M14" t="s">
        <v>3069</v>
      </c>
    </row>
    <row r="15" spans="1:13">
      <c r="A15" t="s">
        <v>3070</v>
      </c>
      <c r="B15" t="s">
        <v>3047</v>
      </c>
      <c r="C15" t="s">
        <v>3048</v>
      </c>
      <c r="D15">
        <v>31347.74</v>
      </c>
      <c r="E15">
        <v>34482.51</v>
      </c>
      <c r="F15" t="s">
        <v>3071</v>
      </c>
      <c r="G15" t="s">
        <v>3050</v>
      </c>
      <c r="H15" t="s">
        <v>3065</v>
      </c>
      <c r="I15">
        <v>9966</v>
      </c>
      <c r="J15">
        <v>9966</v>
      </c>
      <c r="K15">
        <v>2890.15</v>
      </c>
      <c r="L15">
        <v>0</v>
      </c>
      <c r="M15" t="s">
        <v>3066</v>
      </c>
    </row>
    <row r="16" spans="1:13">
      <c r="A16" t="s">
        <v>3072</v>
      </c>
      <c r="B16" t="s">
        <v>3047</v>
      </c>
      <c r="C16" t="s">
        <v>3048</v>
      </c>
      <c r="D16">
        <v>130.47</v>
      </c>
      <c r="E16">
        <v>2609.4</v>
      </c>
      <c r="F16" t="s">
        <v>3073</v>
      </c>
      <c r="G16" t="s">
        <v>3050</v>
      </c>
      <c r="H16" t="s">
        <v>3065</v>
      </c>
      <c r="I16">
        <v>25</v>
      </c>
      <c r="J16">
        <v>25</v>
      </c>
      <c r="K16">
        <v>95.81</v>
      </c>
      <c r="L16">
        <v>0</v>
      </c>
      <c r="M16" t="s">
        <v>3074</v>
      </c>
    </row>
    <row r="17" spans="1:13">
      <c r="A17" t="s">
        <v>3075</v>
      </c>
      <c r="B17" t="s">
        <v>3047</v>
      </c>
      <c r="C17" t="s">
        <v>3048</v>
      </c>
      <c r="D17">
        <v>45650.96</v>
      </c>
      <c r="E17">
        <v>136952.88</v>
      </c>
      <c r="F17" t="s">
        <v>3049</v>
      </c>
      <c r="G17" t="s">
        <v>3050</v>
      </c>
      <c r="H17" t="s">
        <v>3076</v>
      </c>
      <c r="I17">
        <v>6585</v>
      </c>
      <c r="J17">
        <v>6585</v>
      </c>
      <c r="K17">
        <v>480.81</v>
      </c>
      <c r="L17">
        <v>0</v>
      </c>
      <c r="M17" t="s">
        <v>3057</v>
      </c>
    </row>
    <row r="18" spans="1:13">
      <c r="A18" t="s">
        <v>3077</v>
      </c>
      <c r="B18" t="s">
        <v>3047</v>
      </c>
      <c r="C18" t="s">
        <v>3048</v>
      </c>
      <c r="D18">
        <v>41048.1</v>
      </c>
      <c r="E18">
        <v>123144.3</v>
      </c>
      <c r="F18" t="s">
        <v>3049</v>
      </c>
      <c r="G18" t="s">
        <v>3050</v>
      </c>
      <c r="H18" t="s">
        <v>3076</v>
      </c>
      <c r="I18">
        <v>3700</v>
      </c>
      <c r="J18">
        <v>3700</v>
      </c>
      <c r="K18">
        <v>300.45</v>
      </c>
      <c r="L18">
        <v>0</v>
      </c>
      <c r="M18" t="s">
        <v>3057</v>
      </c>
    </row>
    <row r="19" spans="1:13">
      <c r="A19" t="s">
        <v>3077</v>
      </c>
      <c r="B19" t="s">
        <v>3047</v>
      </c>
      <c r="C19" t="s">
        <v>3048</v>
      </c>
      <c r="D19">
        <v>45399.63</v>
      </c>
      <c r="E19">
        <v>136198.89000000001</v>
      </c>
      <c r="F19" t="s">
        <v>3049</v>
      </c>
      <c r="G19" t="s">
        <v>3050</v>
      </c>
      <c r="H19" t="s">
        <v>3076</v>
      </c>
      <c r="I19">
        <v>4065</v>
      </c>
      <c r="J19">
        <v>4065</v>
      </c>
      <c r="K19">
        <v>298.45</v>
      </c>
      <c r="L19">
        <v>0</v>
      </c>
      <c r="M19" t="s">
        <v>3057</v>
      </c>
    </row>
    <row r="20" spans="1:13">
      <c r="A20" t="s">
        <v>3075</v>
      </c>
      <c r="B20" t="s">
        <v>3047</v>
      </c>
      <c r="C20" t="s">
        <v>3048</v>
      </c>
      <c r="D20">
        <v>54398.6</v>
      </c>
      <c r="E20">
        <v>163195.79999999999</v>
      </c>
      <c r="F20" t="s">
        <v>3049</v>
      </c>
      <c r="G20" t="s">
        <v>3050</v>
      </c>
      <c r="H20" t="s">
        <v>3076</v>
      </c>
      <c r="I20">
        <v>7255</v>
      </c>
      <c r="J20">
        <v>7255</v>
      </c>
      <c r="K20">
        <v>444.56</v>
      </c>
      <c r="L20">
        <v>0</v>
      </c>
      <c r="M20" t="s">
        <v>3057</v>
      </c>
    </row>
    <row r="21" spans="1:13">
      <c r="A21" t="s">
        <v>3075</v>
      </c>
      <c r="B21" t="s">
        <v>3047</v>
      </c>
      <c r="C21" t="s">
        <v>3048</v>
      </c>
      <c r="D21">
        <v>79600.3</v>
      </c>
      <c r="E21">
        <v>238800.9</v>
      </c>
      <c r="F21" t="s">
        <v>3049</v>
      </c>
      <c r="G21" t="s">
        <v>3050</v>
      </c>
      <c r="H21" t="s">
        <v>3076</v>
      </c>
      <c r="I21">
        <v>9700</v>
      </c>
      <c r="J21">
        <v>9700</v>
      </c>
      <c r="K21">
        <v>406.19</v>
      </c>
      <c r="L21">
        <v>0</v>
      </c>
      <c r="M21" t="s">
        <v>3057</v>
      </c>
    </row>
    <row r="22" spans="1:13" s="3182" customFormat="1">
      <c r="A22" s="3182" t="s">
        <v>3078</v>
      </c>
      <c r="B22" s="3182" t="s">
        <v>3047</v>
      </c>
      <c r="C22" s="3182" t="s">
        <v>3048</v>
      </c>
      <c r="D22" s="3182">
        <v>8131.78</v>
      </c>
      <c r="E22" s="3182">
        <v>15450.38</v>
      </c>
      <c r="F22" s="3182" t="s">
        <v>3079</v>
      </c>
      <c r="G22" s="3182" t="s">
        <v>3050</v>
      </c>
      <c r="H22" s="3182" t="s">
        <v>3080</v>
      </c>
      <c r="I22" s="3182">
        <v>835</v>
      </c>
      <c r="J22" s="3182">
        <v>835</v>
      </c>
      <c r="K22" s="3182">
        <v>540.44000000000005</v>
      </c>
      <c r="L22" s="3182">
        <v>0</v>
      </c>
      <c r="M22" s="3182" t="s">
        <v>3081</v>
      </c>
    </row>
    <row r="23" spans="1:13">
      <c r="A23" t="s">
        <v>3078</v>
      </c>
      <c r="B23" t="s">
        <v>3047</v>
      </c>
      <c r="C23" t="s">
        <v>3048</v>
      </c>
      <c r="D23">
        <v>12959.99</v>
      </c>
      <c r="E23">
        <v>25919.98</v>
      </c>
      <c r="F23" t="s">
        <v>3082</v>
      </c>
      <c r="G23" t="s">
        <v>3050</v>
      </c>
      <c r="H23" t="s">
        <v>3080</v>
      </c>
      <c r="I23">
        <v>1276</v>
      </c>
      <c r="J23">
        <v>1276</v>
      </c>
      <c r="K23">
        <v>492.27</v>
      </c>
      <c r="L23">
        <v>0</v>
      </c>
      <c r="M23" t="s">
        <v>3081</v>
      </c>
    </row>
    <row r="24" spans="1:13">
      <c r="A24" t="s">
        <v>3083</v>
      </c>
      <c r="B24" t="s">
        <v>3047</v>
      </c>
      <c r="C24" t="s">
        <v>3048</v>
      </c>
      <c r="D24">
        <v>27697.9</v>
      </c>
      <c r="E24">
        <v>60935.38</v>
      </c>
      <c r="F24" t="s">
        <v>3084</v>
      </c>
      <c r="G24" t="s">
        <v>3050</v>
      </c>
      <c r="H24" t="s">
        <v>3080</v>
      </c>
      <c r="I24">
        <v>2970</v>
      </c>
      <c r="J24">
        <v>2970</v>
      </c>
      <c r="K24">
        <v>487.39</v>
      </c>
      <c r="L24">
        <v>0</v>
      </c>
      <c r="M24" t="s">
        <v>3085</v>
      </c>
    </row>
    <row r="25" spans="1:13">
      <c r="A25" t="s">
        <v>3086</v>
      </c>
      <c r="B25" t="s">
        <v>3047</v>
      </c>
      <c r="C25" t="s">
        <v>3048</v>
      </c>
      <c r="D25">
        <v>983.03</v>
      </c>
      <c r="E25">
        <v>2949.09</v>
      </c>
      <c r="F25" t="s">
        <v>3087</v>
      </c>
      <c r="G25" t="s">
        <v>3050</v>
      </c>
      <c r="H25" t="s">
        <v>3088</v>
      </c>
      <c r="I25">
        <v>60</v>
      </c>
      <c r="J25">
        <v>60</v>
      </c>
      <c r="K25">
        <v>203.44</v>
      </c>
      <c r="L25">
        <v>0</v>
      </c>
      <c r="M25" t="s">
        <v>3089</v>
      </c>
    </row>
    <row r="26" spans="1:13">
      <c r="A26" t="s">
        <v>3086</v>
      </c>
      <c r="B26" t="s">
        <v>3047</v>
      </c>
      <c r="C26" t="s">
        <v>3048</v>
      </c>
      <c r="D26">
        <v>4894.7</v>
      </c>
      <c r="E26">
        <v>14684.1</v>
      </c>
      <c r="F26" t="s">
        <v>3087</v>
      </c>
      <c r="G26" t="s">
        <v>3050</v>
      </c>
      <c r="H26" t="s">
        <v>3088</v>
      </c>
      <c r="I26">
        <v>255</v>
      </c>
      <c r="J26">
        <v>255</v>
      </c>
      <c r="K26">
        <v>173.65</v>
      </c>
      <c r="L26">
        <v>0</v>
      </c>
      <c r="M26" t="s">
        <v>3089</v>
      </c>
    </row>
    <row r="27" spans="1:13" s="3183" customFormat="1">
      <c r="A27" s="3183" t="s">
        <v>3058</v>
      </c>
      <c r="B27" s="3183" t="s">
        <v>3047</v>
      </c>
      <c r="C27" s="3183" t="s">
        <v>3048</v>
      </c>
      <c r="D27" s="3183">
        <v>5207.22</v>
      </c>
      <c r="E27" s="3183">
        <v>10778.95</v>
      </c>
      <c r="F27" s="3183" t="s">
        <v>3090</v>
      </c>
      <c r="G27" s="3183" t="s">
        <v>3050</v>
      </c>
      <c r="H27" s="3183" t="s">
        <v>3091</v>
      </c>
      <c r="I27" s="3183">
        <v>560</v>
      </c>
      <c r="J27" s="3183">
        <v>560</v>
      </c>
      <c r="K27" s="3183">
        <v>519.52</v>
      </c>
      <c r="L27" s="3183">
        <v>0</v>
      </c>
      <c r="M27" s="3183" t="s">
        <v>3081</v>
      </c>
    </row>
    <row r="28" spans="1:13">
      <c r="A28" t="s">
        <v>3058</v>
      </c>
      <c r="B28" t="s">
        <v>3047</v>
      </c>
      <c r="C28" t="s">
        <v>3048</v>
      </c>
      <c r="D28">
        <v>6326.8</v>
      </c>
      <c r="E28">
        <v>11957.65</v>
      </c>
      <c r="F28" t="s">
        <v>3092</v>
      </c>
      <c r="G28" t="s">
        <v>3050</v>
      </c>
      <c r="H28" t="s">
        <v>3091</v>
      </c>
      <c r="I28">
        <v>710</v>
      </c>
      <c r="J28">
        <v>710</v>
      </c>
      <c r="K28">
        <v>593.75</v>
      </c>
      <c r="L28">
        <v>0</v>
      </c>
      <c r="M28" t="s">
        <v>3081</v>
      </c>
    </row>
    <row r="29" spans="1:13">
      <c r="A29" t="s">
        <v>3093</v>
      </c>
      <c r="B29" t="s">
        <v>3047</v>
      </c>
      <c r="C29" t="s">
        <v>3048</v>
      </c>
      <c r="D29">
        <v>14745</v>
      </c>
      <c r="E29">
        <v>44235</v>
      </c>
      <c r="F29" t="s">
        <v>3049</v>
      </c>
      <c r="G29" t="s">
        <v>3050</v>
      </c>
      <c r="H29" t="s">
        <v>3094</v>
      </c>
      <c r="I29">
        <v>2238</v>
      </c>
      <c r="J29">
        <v>2238</v>
      </c>
      <c r="K29">
        <v>505.93</v>
      </c>
      <c r="L29">
        <v>0</v>
      </c>
      <c r="M29" t="s">
        <v>3057</v>
      </c>
    </row>
    <row r="30" spans="1:13">
      <c r="A30" t="s">
        <v>3095</v>
      </c>
      <c r="B30" t="s">
        <v>3047</v>
      </c>
      <c r="C30" t="s">
        <v>3048</v>
      </c>
      <c r="D30">
        <v>34824.1</v>
      </c>
      <c r="E30">
        <v>104472.3</v>
      </c>
      <c r="F30" t="s">
        <v>3049</v>
      </c>
      <c r="G30" t="s">
        <v>3050</v>
      </c>
      <c r="H30" t="s">
        <v>3094</v>
      </c>
      <c r="I30">
        <v>4827</v>
      </c>
      <c r="J30">
        <v>4827</v>
      </c>
      <c r="K30">
        <v>462.04</v>
      </c>
      <c r="L30">
        <v>0</v>
      </c>
      <c r="M30" t="s">
        <v>3096</v>
      </c>
    </row>
    <row r="31" spans="1:13">
      <c r="A31" t="s">
        <v>3097</v>
      </c>
      <c r="B31" t="s">
        <v>3047</v>
      </c>
      <c r="C31" t="s">
        <v>3048</v>
      </c>
      <c r="D31">
        <v>7505.2</v>
      </c>
      <c r="E31">
        <v>22515.599999999999</v>
      </c>
      <c r="F31" t="s">
        <v>3049</v>
      </c>
      <c r="G31" t="s">
        <v>3050</v>
      </c>
      <c r="H31" t="s">
        <v>3094</v>
      </c>
      <c r="I31">
        <v>1222</v>
      </c>
      <c r="J31">
        <v>1222</v>
      </c>
      <c r="K31">
        <v>542.73</v>
      </c>
      <c r="L31">
        <v>0</v>
      </c>
      <c r="M31" t="s">
        <v>3057</v>
      </c>
    </row>
    <row r="32" spans="1:13">
      <c r="A32" t="s">
        <v>3098</v>
      </c>
      <c r="B32" t="s">
        <v>3047</v>
      </c>
      <c r="C32" t="s">
        <v>3048</v>
      </c>
      <c r="D32">
        <v>52007</v>
      </c>
      <c r="E32">
        <v>156021</v>
      </c>
      <c r="F32" t="s">
        <v>3049</v>
      </c>
      <c r="G32" t="s">
        <v>3050</v>
      </c>
      <c r="H32" t="s">
        <v>3094</v>
      </c>
      <c r="I32">
        <v>8696</v>
      </c>
      <c r="J32">
        <v>8696</v>
      </c>
      <c r="K32">
        <v>557.36</v>
      </c>
      <c r="L32">
        <v>0</v>
      </c>
      <c r="M32" t="s">
        <v>3057</v>
      </c>
    </row>
    <row r="33" spans="1:13">
      <c r="A33" t="s">
        <v>3099</v>
      </c>
      <c r="B33" t="s">
        <v>3047</v>
      </c>
      <c r="C33" t="s">
        <v>3048</v>
      </c>
      <c r="D33">
        <v>58544.7</v>
      </c>
      <c r="E33">
        <v>175634.1</v>
      </c>
      <c r="F33" t="s">
        <v>3049</v>
      </c>
      <c r="G33" t="s">
        <v>3050</v>
      </c>
      <c r="H33" t="s">
        <v>3094</v>
      </c>
      <c r="I33">
        <v>9906</v>
      </c>
      <c r="J33">
        <v>9906</v>
      </c>
      <c r="K33">
        <v>564</v>
      </c>
      <c r="L33">
        <v>0</v>
      </c>
      <c r="M33" t="s">
        <v>3057</v>
      </c>
    </row>
    <row r="34" spans="1:13">
      <c r="A34" t="s">
        <v>3100</v>
      </c>
      <c r="B34" t="s">
        <v>3047</v>
      </c>
      <c r="C34" t="s">
        <v>3048</v>
      </c>
      <c r="D34">
        <v>31096.5</v>
      </c>
      <c r="E34">
        <v>93289.5</v>
      </c>
      <c r="F34" t="s">
        <v>3049</v>
      </c>
      <c r="G34" t="s">
        <v>3050</v>
      </c>
      <c r="H34" t="s">
        <v>3094</v>
      </c>
      <c r="I34">
        <v>4736</v>
      </c>
      <c r="J34">
        <v>4736</v>
      </c>
      <c r="K34">
        <v>507.67</v>
      </c>
      <c r="L34">
        <v>0</v>
      </c>
      <c r="M34" t="s">
        <v>3057</v>
      </c>
    </row>
    <row r="35" spans="1:13">
      <c r="A35" t="s">
        <v>3097</v>
      </c>
      <c r="B35" t="s">
        <v>3047</v>
      </c>
      <c r="C35" t="s">
        <v>3048</v>
      </c>
      <c r="D35">
        <v>55315.199999999997</v>
      </c>
      <c r="E35">
        <v>165945.60000000001</v>
      </c>
      <c r="F35" t="s">
        <v>3049</v>
      </c>
      <c r="G35" t="s">
        <v>3050</v>
      </c>
      <c r="H35" t="s">
        <v>3094</v>
      </c>
      <c r="I35">
        <v>9066</v>
      </c>
      <c r="J35">
        <v>9066</v>
      </c>
      <c r="K35">
        <v>546.32000000000005</v>
      </c>
      <c r="L35">
        <v>0</v>
      </c>
      <c r="M35" t="s">
        <v>3057</v>
      </c>
    </row>
    <row r="36" spans="1:13">
      <c r="A36" t="s">
        <v>3101</v>
      </c>
      <c r="B36" t="s">
        <v>3047</v>
      </c>
      <c r="C36" t="s">
        <v>3048</v>
      </c>
      <c r="D36">
        <v>41314.5</v>
      </c>
      <c r="E36">
        <v>123943.5</v>
      </c>
      <c r="F36" t="s">
        <v>3049</v>
      </c>
      <c r="G36" t="s">
        <v>3050</v>
      </c>
      <c r="H36" t="s">
        <v>3102</v>
      </c>
      <c r="I36">
        <v>7185</v>
      </c>
      <c r="J36">
        <v>7185</v>
      </c>
      <c r="K36">
        <v>579.70000000000005</v>
      </c>
      <c r="L36">
        <v>0</v>
      </c>
      <c r="M36" t="s">
        <v>3057</v>
      </c>
    </row>
    <row r="37" spans="1:13">
      <c r="A37" t="s">
        <v>3093</v>
      </c>
      <c r="B37" t="s">
        <v>3047</v>
      </c>
      <c r="C37" t="s">
        <v>3048</v>
      </c>
      <c r="D37">
        <v>38573.300000000003</v>
      </c>
      <c r="E37">
        <v>115719.9</v>
      </c>
      <c r="F37" t="s">
        <v>3049</v>
      </c>
      <c r="G37" t="s">
        <v>3050</v>
      </c>
      <c r="H37" t="s">
        <v>3102</v>
      </c>
      <c r="I37">
        <v>4080</v>
      </c>
      <c r="J37">
        <v>4080</v>
      </c>
      <c r="K37">
        <v>352.57</v>
      </c>
      <c r="L37">
        <v>0</v>
      </c>
      <c r="M37" t="s">
        <v>3057</v>
      </c>
    </row>
    <row r="38" spans="1:13">
      <c r="A38" t="s">
        <v>3103</v>
      </c>
      <c r="B38" t="s">
        <v>3047</v>
      </c>
      <c r="C38" t="s">
        <v>3048</v>
      </c>
      <c r="D38">
        <v>3517.6</v>
      </c>
      <c r="E38">
        <v>10552.8</v>
      </c>
      <c r="F38" t="s">
        <v>3049</v>
      </c>
      <c r="G38" t="s">
        <v>3050</v>
      </c>
      <c r="H38" t="s">
        <v>3102</v>
      </c>
      <c r="I38">
        <v>582</v>
      </c>
      <c r="J38">
        <v>582</v>
      </c>
      <c r="K38">
        <v>551.5</v>
      </c>
      <c r="L38">
        <v>0</v>
      </c>
      <c r="M38" t="s">
        <v>3057</v>
      </c>
    </row>
    <row r="39" spans="1:13">
      <c r="A39" t="s">
        <v>3104</v>
      </c>
      <c r="B39" t="s">
        <v>3047</v>
      </c>
      <c r="C39" t="s">
        <v>3048</v>
      </c>
      <c r="D39">
        <v>27403.9</v>
      </c>
      <c r="E39">
        <v>82211.7</v>
      </c>
      <c r="F39" t="s">
        <v>3049</v>
      </c>
      <c r="G39" t="s">
        <v>3050</v>
      </c>
      <c r="H39" t="s">
        <v>3102</v>
      </c>
      <c r="I39">
        <v>5615</v>
      </c>
      <c r="J39">
        <v>5615</v>
      </c>
      <c r="K39">
        <v>682.99</v>
      </c>
      <c r="L39">
        <v>0</v>
      </c>
      <c r="M39" t="s">
        <v>3057</v>
      </c>
    </row>
    <row r="40" spans="1:13">
      <c r="A40" t="s">
        <v>3101</v>
      </c>
      <c r="B40" t="s">
        <v>3047</v>
      </c>
      <c r="C40" t="s">
        <v>3048</v>
      </c>
      <c r="D40">
        <v>19609.099999999999</v>
      </c>
      <c r="E40">
        <v>58827.3</v>
      </c>
      <c r="F40" t="s">
        <v>3049</v>
      </c>
      <c r="G40" t="s">
        <v>3050</v>
      </c>
      <c r="H40" t="s">
        <v>3102</v>
      </c>
      <c r="I40">
        <v>3748</v>
      </c>
      <c r="J40">
        <v>3748</v>
      </c>
      <c r="K40">
        <v>637.12</v>
      </c>
      <c r="L40">
        <v>0</v>
      </c>
      <c r="M40" t="s">
        <v>3057</v>
      </c>
    </row>
    <row r="41" spans="1:13">
      <c r="A41" t="s">
        <v>3101</v>
      </c>
      <c r="B41" t="s">
        <v>3047</v>
      </c>
      <c r="C41" t="s">
        <v>3048</v>
      </c>
      <c r="D41">
        <v>51683.3</v>
      </c>
      <c r="E41">
        <v>155049.9</v>
      </c>
      <c r="F41" t="s">
        <v>3049</v>
      </c>
      <c r="G41" t="s">
        <v>3050</v>
      </c>
      <c r="H41" t="s">
        <v>3102</v>
      </c>
      <c r="I41">
        <v>10310</v>
      </c>
      <c r="J41">
        <v>10310</v>
      </c>
      <c r="K41">
        <v>664.95</v>
      </c>
      <c r="L41">
        <v>0</v>
      </c>
      <c r="M41" t="s">
        <v>3057</v>
      </c>
    </row>
    <row r="42" spans="1:13">
      <c r="A42" t="s">
        <v>3105</v>
      </c>
      <c r="B42" t="s">
        <v>3047</v>
      </c>
      <c r="C42" t="s">
        <v>3048</v>
      </c>
      <c r="D42">
        <v>56452.3</v>
      </c>
      <c r="E42">
        <v>169356.9</v>
      </c>
      <c r="F42" t="s">
        <v>3049</v>
      </c>
      <c r="G42" t="s">
        <v>3050</v>
      </c>
      <c r="H42" t="s">
        <v>3102</v>
      </c>
      <c r="I42">
        <v>8190</v>
      </c>
      <c r="J42">
        <v>8190</v>
      </c>
      <c r="K42">
        <v>483.58</v>
      </c>
      <c r="L42">
        <v>0</v>
      </c>
      <c r="M42" t="s">
        <v>3106</v>
      </c>
    </row>
    <row r="43" spans="1:13">
      <c r="A43" t="s">
        <v>3107</v>
      </c>
      <c r="B43" t="s">
        <v>3047</v>
      </c>
      <c r="C43" t="s">
        <v>3048</v>
      </c>
      <c r="D43">
        <v>2938.7</v>
      </c>
      <c r="E43">
        <v>4995.79</v>
      </c>
      <c r="F43" t="s">
        <v>3108</v>
      </c>
      <c r="G43" t="s">
        <v>3050</v>
      </c>
      <c r="H43" t="s">
        <v>3109</v>
      </c>
      <c r="I43">
        <v>282</v>
      </c>
      <c r="J43">
        <v>282</v>
      </c>
      <c r="K43">
        <v>564.48</v>
      </c>
      <c r="L43">
        <v>0</v>
      </c>
      <c r="M43" t="s">
        <v>3110</v>
      </c>
    </row>
    <row r="44" spans="1:13">
      <c r="A44" t="s">
        <v>3101</v>
      </c>
      <c r="B44" t="s">
        <v>3047</v>
      </c>
      <c r="C44" t="s">
        <v>3048</v>
      </c>
      <c r="D44">
        <v>58850.1</v>
      </c>
      <c r="E44">
        <v>176550.3</v>
      </c>
      <c r="F44" t="s">
        <v>3049</v>
      </c>
      <c r="G44" t="s">
        <v>3050</v>
      </c>
      <c r="H44" t="s">
        <v>3109</v>
      </c>
      <c r="I44">
        <v>11840</v>
      </c>
      <c r="J44">
        <v>11840</v>
      </c>
      <c r="K44">
        <v>670.62</v>
      </c>
      <c r="L44">
        <v>0</v>
      </c>
      <c r="M44" t="s">
        <v>3057</v>
      </c>
    </row>
    <row r="45" spans="1:13">
      <c r="A45" t="s">
        <v>3111</v>
      </c>
      <c r="B45" t="s">
        <v>3047</v>
      </c>
      <c r="C45" t="s">
        <v>3048</v>
      </c>
      <c r="D45">
        <v>24509.9</v>
      </c>
      <c r="E45">
        <v>73529.7</v>
      </c>
      <c r="F45" t="s">
        <v>3049</v>
      </c>
      <c r="G45" t="s">
        <v>3050</v>
      </c>
      <c r="H45" t="s">
        <v>3109</v>
      </c>
      <c r="I45">
        <v>4860</v>
      </c>
      <c r="J45">
        <v>4860</v>
      </c>
      <c r="K45">
        <v>660.96</v>
      </c>
      <c r="L45">
        <v>0</v>
      </c>
      <c r="M45" t="s">
        <v>3057</v>
      </c>
    </row>
    <row r="46" spans="1:13">
      <c r="A46" t="s">
        <v>3101</v>
      </c>
      <c r="B46" t="s">
        <v>3047</v>
      </c>
      <c r="C46" t="s">
        <v>3048</v>
      </c>
      <c r="D46">
        <v>21969.599999999999</v>
      </c>
      <c r="E46">
        <v>65908.800000000003</v>
      </c>
      <c r="F46" t="s">
        <v>3049</v>
      </c>
      <c r="G46" t="s">
        <v>3050</v>
      </c>
      <c r="H46" t="s">
        <v>3109</v>
      </c>
      <c r="I46">
        <v>4528</v>
      </c>
      <c r="J46">
        <v>4528</v>
      </c>
      <c r="K46">
        <v>687</v>
      </c>
      <c r="L46">
        <v>0</v>
      </c>
      <c r="M46" t="s">
        <v>3057</v>
      </c>
    </row>
    <row r="47" spans="1:13">
      <c r="A47" t="s">
        <v>3112</v>
      </c>
      <c r="B47" t="s">
        <v>3047</v>
      </c>
      <c r="C47" t="s">
        <v>3048</v>
      </c>
      <c r="D47">
        <v>15455.4</v>
      </c>
      <c r="E47">
        <v>46366.2</v>
      </c>
      <c r="F47" t="s">
        <v>3049</v>
      </c>
      <c r="G47" t="s">
        <v>3050</v>
      </c>
      <c r="H47" t="s">
        <v>3109</v>
      </c>
      <c r="I47">
        <v>3277</v>
      </c>
      <c r="J47">
        <v>3277</v>
      </c>
      <c r="K47">
        <v>706.75</v>
      </c>
      <c r="L47">
        <v>0</v>
      </c>
      <c r="M47" t="s">
        <v>3057</v>
      </c>
    </row>
    <row r="48" spans="1:13">
      <c r="A48" t="s">
        <v>3113</v>
      </c>
      <c r="B48" t="s">
        <v>3047</v>
      </c>
      <c r="C48" t="s">
        <v>3048</v>
      </c>
      <c r="D48">
        <v>21090.799999999999</v>
      </c>
      <c r="E48">
        <v>63272.4</v>
      </c>
      <c r="F48" t="s">
        <v>3049</v>
      </c>
      <c r="G48" t="s">
        <v>3050</v>
      </c>
      <c r="H48" t="s">
        <v>3109</v>
      </c>
      <c r="I48">
        <v>4284</v>
      </c>
      <c r="J48">
        <v>4284</v>
      </c>
      <c r="K48">
        <v>677.07</v>
      </c>
      <c r="L48">
        <v>0</v>
      </c>
      <c r="M48" t="s">
        <v>3057</v>
      </c>
    </row>
    <row r="49" spans="1:13">
      <c r="A49" t="s">
        <v>3099</v>
      </c>
      <c r="B49" t="s">
        <v>3047</v>
      </c>
      <c r="C49" t="s">
        <v>3048</v>
      </c>
      <c r="D49">
        <v>64523.6</v>
      </c>
      <c r="E49">
        <v>193570.8</v>
      </c>
      <c r="F49" t="s">
        <v>3049</v>
      </c>
      <c r="G49" t="s">
        <v>3050</v>
      </c>
      <c r="H49" t="s">
        <v>3109</v>
      </c>
      <c r="I49">
        <v>10860</v>
      </c>
      <c r="J49">
        <v>10860</v>
      </c>
      <c r="K49">
        <v>561.03</v>
      </c>
      <c r="L49">
        <v>0</v>
      </c>
      <c r="M49" t="s">
        <v>3057</v>
      </c>
    </row>
    <row r="50" spans="1:13">
      <c r="A50" t="s">
        <v>3114</v>
      </c>
      <c r="B50" t="s">
        <v>3047</v>
      </c>
      <c r="C50" t="s">
        <v>3048</v>
      </c>
      <c r="D50">
        <v>21086.9</v>
      </c>
      <c r="E50">
        <v>63260.7</v>
      </c>
      <c r="F50" t="s">
        <v>3049</v>
      </c>
      <c r="G50" t="s">
        <v>3050</v>
      </c>
      <c r="H50" t="s">
        <v>3115</v>
      </c>
      <c r="I50">
        <v>1347</v>
      </c>
      <c r="J50">
        <v>1347</v>
      </c>
      <c r="K50">
        <v>212.93</v>
      </c>
      <c r="L50">
        <v>0</v>
      </c>
      <c r="M50" t="s">
        <v>3116</v>
      </c>
    </row>
    <row r="51" spans="1:13">
      <c r="A51" t="s">
        <v>3117</v>
      </c>
      <c r="B51" t="s">
        <v>3047</v>
      </c>
      <c r="C51" t="s">
        <v>3048</v>
      </c>
      <c r="D51">
        <v>5413.6</v>
      </c>
      <c r="E51">
        <v>16240.8</v>
      </c>
      <c r="F51" t="s">
        <v>3049</v>
      </c>
      <c r="G51" t="s">
        <v>3050</v>
      </c>
      <c r="H51" t="s">
        <v>3118</v>
      </c>
      <c r="I51">
        <v>435</v>
      </c>
      <c r="J51">
        <v>435</v>
      </c>
      <c r="K51">
        <v>267.83</v>
      </c>
      <c r="L51">
        <v>0</v>
      </c>
      <c r="M51" t="s">
        <v>3119</v>
      </c>
    </row>
  </sheetData>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29"/>
  <sheetViews>
    <sheetView workbookViewId="0">
      <selection activeCell="B28" sqref="B28"/>
    </sheetView>
  </sheetViews>
  <sheetFormatPr defaultRowHeight="13.5"/>
  <sheetData>
    <row r="8" spans="5:7">
      <c r="G8" t="s">
        <v>3171</v>
      </c>
    </row>
    <row r="12" spans="5:7">
      <c r="E12">
        <v>0</v>
      </c>
    </row>
    <row r="18" spans="1:9">
      <c r="I18" s="3192"/>
    </row>
    <row r="21" spans="1:9">
      <c r="B21" t="s">
        <v>3172</v>
      </c>
      <c r="C21" t="s">
        <v>3173</v>
      </c>
      <c r="E21" s="3193" t="s">
        <v>3174</v>
      </c>
      <c r="F21" t="s">
        <v>3175</v>
      </c>
      <c r="G21" t="s">
        <v>3176</v>
      </c>
      <c r="H21" t="s">
        <v>3177</v>
      </c>
      <c r="I21" t="s">
        <v>3178</v>
      </c>
    </row>
    <row r="22" spans="1:9">
      <c r="A22">
        <v>1</v>
      </c>
      <c r="B22">
        <v>55315.199999999997</v>
      </c>
      <c r="C22" s="3194">
        <v>49638.62</v>
      </c>
      <c r="D22">
        <f>C22*3.5</f>
        <v>173735.17</v>
      </c>
      <c r="E22" s="3195">
        <f>C22*I22</f>
        <v>148915.86000000002</v>
      </c>
      <c r="F22">
        <f>ROUND(E22*30000/156000,2)</f>
        <v>28637.67</v>
      </c>
      <c r="G22">
        <f>E22*125590/156000</f>
        <v>119886.81318846154</v>
      </c>
      <c r="H22">
        <f>ROUND(E22*410/156000,2)</f>
        <v>391.38</v>
      </c>
      <c r="I22">
        <v>3</v>
      </c>
    </row>
    <row r="23" spans="1:9">
      <c r="A23">
        <v>2</v>
      </c>
      <c r="B23" s="3194">
        <v>7505.2</v>
      </c>
      <c r="C23" s="3194">
        <f>B23</f>
        <v>7505.2</v>
      </c>
      <c r="D23" s="3194">
        <f>B23*3.5</f>
        <v>26268.2</v>
      </c>
      <c r="E23" s="3193">
        <v>22500</v>
      </c>
      <c r="F23">
        <v>4000</v>
      </c>
      <c r="G23">
        <f>E23-F23-H23</f>
        <v>18410</v>
      </c>
      <c r="H23">
        <v>90</v>
      </c>
      <c r="I23">
        <v>3</v>
      </c>
    </row>
    <row r="24" spans="1:9">
      <c r="A24">
        <v>3</v>
      </c>
      <c r="B24">
        <v>0</v>
      </c>
      <c r="C24" s="3194">
        <v>55188.61</v>
      </c>
      <c r="D24">
        <f>C24*3.5</f>
        <v>193160.13500000001</v>
      </c>
      <c r="E24" s="3195">
        <f>C24*I24</f>
        <v>165565.83000000002</v>
      </c>
      <c r="F24">
        <f>ROUND(E24*30000/166000,2)</f>
        <v>29921.54</v>
      </c>
      <c r="G24">
        <f>E24*135550/166000</f>
        <v>135195.47142469883</v>
      </c>
      <c r="H24">
        <f>ROUND(E24*450/166000,2)</f>
        <v>448.82</v>
      </c>
      <c r="I24">
        <v>3</v>
      </c>
    </row>
    <row r="25" spans="1:9">
      <c r="A25">
        <v>4</v>
      </c>
      <c r="B25" s="3194">
        <v>3517.6</v>
      </c>
      <c r="C25" s="3194">
        <f>B25</f>
        <v>3517.6</v>
      </c>
      <c r="D25" s="3194">
        <f t="shared" ref="D25:D28" si="0">B25*3.5</f>
        <v>12311.6</v>
      </c>
      <c r="E25" s="3193">
        <v>10550</v>
      </c>
      <c r="F25">
        <v>2000</v>
      </c>
      <c r="G25">
        <v>8460</v>
      </c>
      <c r="H25">
        <v>90</v>
      </c>
      <c r="I25">
        <v>3</v>
      </c>
    </row>
    <row r="26" spans="1:9">
      <c r="A26">
        <v>5</v>
      </c>
      <c r="B26" s="3194">
        <v>58544.7</v>
      </c>
      <c r="C26" s="3194">
        <f>B26</f>
        <v>58544.7</v>
      </c>
      <c r="D26" s="3194">
        <f t="shared" si="0"/>
        <v>204906.44999999998</v>
      </c>
      <c r="E26" s="3193">
        <v>175600</v>
      </c>
      <c r="F26">
        <v>35000</v>
      </c>
      <c r="G26">
        <v>140150</v>
      </c>
      <c r="H26">
        <v>450</v>
      </c>
      <c r="I26">
        <v>3</v>
      </c>
    </row>
    <row r="27" spans="1:9">
      <c r="A27">
        <v>6</v>
      </c>
      <c r="B27" s="3194">
        <v>56452.3</v>
      </c>
      <c r="C27" s="3194">
        <f>B27</f>
        <v>56452.3</v>
      </c>
      <c r="D27" s="3194">
        <f t="shared" si="0"/>
        <v>197583.05000000002</v>
      </c>
      <c r="E27" s="3193">
        <v>169000</v>
      </c>
      <c r="F27">
        <v>32000</v>
      </c>
      <c r="G27">
        <v>136550</v>
      </c>
      <c r="H27">
        <v>450</v>
      </c>
      <c r="I27">
        <v>3</v>
      </c>
    </row>
    <row r="28" spans="1:9">
      <c r="A28">
        <v>7</v>
      </c>
      <c r="B28" s="3194">
        <v>31096.5</v>
      </c>
      <c r="C28" s="3194">
        <f>B28</f>
        <v>31096.5</v>
      </c>
      <c r="D28" s="3194">
        <f t="shared" si="0"/>
        <v>108837.75</v>
      </c>
      <c r="E28" s="3193">
        <v>93200</v>
      </c>
      <c r="F28">
        <v>20000</v>
      </c>
      <c r="G28">
        <f>E28-F28-H28</f>
        <v>72920</v>
      </c>
      <c r="H28">
        <v>280</v>
      </c>
      <c r="I28">
        <v>3</v>
      </c>
    </row>
    <row r="29" spans="1:9">
      <c r="A29" s="3192" t="s">
        <v>3179</v>
      </c>
      <c r="B29" s="3192">
        <f t="shared" ref="B29:H29" si="1">SUM(B22:B28)</f>
        <v>212431.5</v>
      </c>
      <c r="C29" s="3192">
        <f t="shared" si="1"/>
        <v>261943.52999999997</v>
      </c>
      <c r="D29" s="3192">
        <f t="shared" si="1"/>
        <v>916802.35499999998</v>
      </c>
      <c r="E29" s="3192">
        <f t="shared" si="1"/>
        <v>785331.69000000006</v>
      </c>
      <c r="F29" s="3192">
        <f t="shared" si="1"/>
        <v>151559.21</v>
      </c>
      <c r="G29" s="3192">
        <f t="shared" si="1"/>
        <v>631572.28461316042</v>
      </c>
      <c r="H29" s="3192">
        <f t="shared" si="1"/>
        <v>2200.1999999999998</v>
      </c>
      <c r="I29" s="3192"/>
    </row>
  </sheetData>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0"/>
  <sheetViews>
    <sheetView tabSelected="1" topLeftCell="A4" workbookViewId="0">
      <selection activeCell="I8" sqref="I8"/>
    </sheetView>
  </sheetViews>
  <sheetFormatPr defaultRowHeight="13.5"/>
  <cols>
    <col min="2" max="6" width="11.625" bestFit="1" customWidth="1"/>
    <col min="7" max="7" width="9.5" bestFit="1" customWidth="1"/>
  </cols>
  <sheetData>
    <row r="2" spans="1:29">
      <c r="B2" s="3493" t="s">
        <v>2954</v>
      </c>
      <c r="C2" s="3493" t="s">
        <v>3187</v>
      </c>
      <c r="D2" s="3493" t="s">
        <v>3188</v>
      </c>
      <c r="E2" s="3493" t="s">
        <v>3189</v>
      </c>
      <c r="F2" s="3493" t="s">
        <v>3190</v>
      </c>
      <c r="G2" s="3493" t="s">
        <v>3191</v>
      </c>
      <c r="H2" s="3493" t="s">
        <v>3192</v>
      </c>
      <c r="I2" s="3496" t="s">
        <v>3194</v>
      </c>
      <c r="J2" s="3496" t="s">
        <v>3195</v>
      </c>
      <c r="K2" s="3496" t="s">
        <v>3196</v>
      </c>
    </row>
    <row r="3" spans="1:29">
      <c r="B3" s="3494">
        <v>49638.62</v>
      </c>
      <c r="C3" s="3495">
        <v>148915.86318846155</v>
      </c>
      <c r="D3" s="3495">
        <v>148524.48318846154</v>
      </c>
      <c r="E3" s="3495">
        <v>119886.81318846154</v>
      </c>
      <c r="F3" s="3495">
        <v>28637.67</v>
      </c>
      <c r="G3" s="3495">
        <v>391.38</v>
      </c>
      <c r="H3" s="3495">
        <v>391.38</v>
      </c>
      <c r="I3" s="3494">
        <v>14087</v>
      </c>
      <c r="J3" s="3494">
        <f>ROUND(I3*10000/C3,0)</f>
        <v>946</v>
      </c>
      <c r="K3" s="3494">
        <f>ROUND(I3*10000/B3,0)</f>
        <v>2838</v>
      </c>
      <c r="AC3">
        <v>391.38</v>
      </c>
    </row>
    <row r="4" spans="1:29">
      <c r="B4" s="3494">
        <v>7505.2</v>
      </c>
      <c r="C4" s="3495">
        <v>22500</v>
      </c>
      <c r="D4" s="3495">
        <v>22410</v>
      </c>
      <c r="E4" s="3495">
        <v>18410</v>
      </c>
      <c r="F4" s="3495">
        <v>4000</v>
      </c>
      <c r="G4" s="3495">
        <v>90</v>
      </c>
      <c r="H4" s="3495">
        <v>90</v>
      </c>
      <c r="I4" s="3494">
        <v>1958</v>
      </c>
      <c r="J4" s="3494">
        <f t="shared" ref="J4:J10" si="0">ROUND(I4*10000/C4,0)</f>
        <v>870</v>
      </c>
      <c r="K4" s="3494">
        <f t="shared" ref="K4:K10" si="1">ROUND(I4*10000/B4,0)</f>
        <v>2609</v>
      </c>
    </row>
    <row r="5" spans="1:29">
      <c r="B5" s="3494">
        <v>55188.61</v>
      </c>
      <c r="C5" s="3495">
        <v>165565.83142469884</v>
      </c>
      <c r="D5" s="3495">
        <v>165117.01142469884</v>
      </c>
      <c r="E5" s="3495">
        <v>135195.47142469883</v>
      </c>
      <c r="F5" s="3495">
        <v>29921.54</v>
      </c>
      <c r="G5" s="3495">
        <v>448.82</v>
      </c>
      <c r="H5" s="3495">
        <v>448.82</v>
      </c>
      <c r="I5" s="3494">
        <v>15977</v>
      </c>
      <c r="J5" s="3494">
        <f t="shared" si="0"/>
        <v>965</v>
      </c>
      <c r="K5" s="3494">
        <f t="shared" si="1"/>
        <v>2895</v>
      </c>
    </row>
    <row r="6" spans="1:29">
      <c r="B6" s="3494">
        <v>3517.6</v>
      </c>
      <c r="C6" s="3495">
        <v>10550</v>
      </c>
      <c r="D6" s="3495">
        <v>10460</v>
      </c>
      <c r="E6" s="3495">
        <v>8460</v>
      </c>
      <c r="F6" s="3495">
        <v>2000</v>
      </c>
      <c r="G6" s="3495">
        <v>90</v>
      </c>
      <c r="H6" s="3495">
        <v>90</v>
      </c>
      <c r="I6" s="3494">
        <v>734</v>
      </c>
      <c r="J6" s="3494">
        <f t="shared" si="0"/>
        <v>696</v>
      </c>
      <c r="K6" s="3494">
        <f t="shared" si="1"/>
        <v>2087</v>
      </c>
    </row>
    <row r="7" spans="1:29">
      <c r="B7" s="3494">
        <v>58544.7</v>
      </c>
      <c r="C7" s="3495">
        <v>175600</v>
      </c>
      <c r="D7" s="3495">
        <v>175150</v>
      </c>
      <c r="E7" s="3495">
        <v>140150</v>
      </c>
      <c r="F7" s="3495">
        <v>35000</v>
      </c>
      <c r="G7" s="3495">
        <v>450</v>
      </c>
      <c r="H7" s="3495">
        <v>450</v>
      </c>
      <c r="I7" s="3494">
        <v>16945</v>
      </c>
      <c r="J7" s="3494">
        <f t="shared" si="0"/>
        <v>965</v>
      </c>
      <c r="K7" s="3494">
        <f t="shared" si="1"/>
        <v>2894</v>
      </c>
    </row>
    <row r="8" spans="1:29">
      <c r="B8" s="3494">
        <v>56452.3</v>
      </c>
      <c r="C8" s="3495">
        <v>169000</v>
      </c>
      <c r="D8" s="3495">
        <v>168550</v>
      </c>
      <c r="E8" s="3495">
        <v>136550</v>
      </c>
      <c r="F8" s="3495">
        <v>32000</v>
      </c>
      <c r="G8" s="3495">
        <v>450</v>
      </c>
      <c r="H8" s="3495">
        <v>450</v>
      </c>
      <c r="I8" s="3494">
        <v>14889</v>
      </c>
      <c r="J8" s="3494">
        <f t="shared" si="0"/>
        <v>881</v>
      </c>
      <c r="K8" s="3494">
        <f t="shared" si="1"/>
        <v>2637</v>
      </c>
    </row>
    <row r="9" spans="1:29">
      <c r="B9" s="3494">
        <v>31096.5</v>
      </c>
      <c r="C9" s="3495">
        <v>93200</v>
      </c>
      <c r="D9" s="3495">
        <v>92920</v>
      </c>
      <c r="E9" s="3495">
        <v>72920</v>
      </c>
      <c r="F9" s="3495">
        <v>20000</v>
      </c>
      <c r="G9" s="3495">
        <v>280</v>
      </c>
      <c r="H9" s="3495">
        <v>280</v>
      </c>
      <c r="I9" s="3494">
        <v>7885</v>
      </c>
      <c r="J9" s="3494">
        <f t="shared" si="0"/>
        <v>846</v>
      </c>
      <c r="K9" s="3494">
        <f t="shared" si="1"/>
        <v>2536</v>
      </c>
    </row>
    <row r="10" spans="1:29">
      <c r="A10" s="3492" t="s">
        <v>3193</v>
      </c>
      <c r="B10" s="3494">
        <f>SUM(B3:B9)</f>
        <v>261943.52999999997</v>
      </c>
      <c r="C10" s="3495">
        <f>SUM(C3:C9)</f>
        <v>785331.69461316033</v>
      </c>
      <c r="D10" s="3494"/>
      <c r="E10" s="3495">
        <f>SUM(E3:E9)</f>
        <v>631572.28461316042</v>
      </c>
      <c r="F10" s="3495">
        <f>SUM(F3:F9)</f>
        <v>151559.21</v>
      </c>
      <c r="G10" s="3494"/>
      <c r="H10" s="3495">
        <f>SUM(H3:H9)</f>
        <v>2200.1999999999998</v>
      </c>
      <c r="I10" s="3494">
        <f>SUM(I3:I9)</f>
        <v>72475</v>
      </c>
      <c r="J10" s="3494">
        <f t="shared" si="0"/>
        <v>923</v>
      </c>
      <c r="K10" s="3494">
        <f t="shared" si="1"/>
        <v>2767</v>
      </c>
    </row>
  </sheetData>
  <phoneticPr fontId="23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面积表</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Lenovo</cp:lastModifiedBy>
  <cp:lastPrinted>2017-03-09T08:11:21Z</cp:lastPrinted>
  <dcterms:created xsi:type="dcterms:W3CDTF">2015-07-13T07:17:23Z</dcterms:created>
  <dcterms:modified xsi:type="dcterms:W3CDTF">2018-10-11T01:44:53Z</dcterms:modified>
</cp:coreProperties>
</file>