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defaultThemeVersion="124226"/>
  <mc:AlternateContent xmlns:mc="http://schemas.openxmlformats.org/markup-compatibility/2006">
    <mc:Choice Requires="x15">
      <x15ac:absPath xmlns:x15ac="http://schemas.microsoft.com/office/spreadsheetml/2010/11/ac" url="F:\2023-1-0846首城国际租金\"/>
    </mc:Choice>
  </mc:AlternateContent>
  <xr:revisionPtr revIDLastSave="0" documentId="13_ncr:1_{18C73390-49DC-4E6A-97D0-6A81DD32BF62}" xr6:coauthVersionLast="47" xr6:coauthVersionMax="47" xr10:uidLastSave="{00000000-0000-0000-0000-000000000000}"/>
  <bookViews>
    <workbookView xWindow="0" yWindow="0" windowWidth="10800" windowHeight="12900" tabRatio="899" firstSheet="18"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首城国际结果表" sheetId="80" r:id="rId19"/>
    <sheet name="结果一览表-商业" sheetId="81" r:id="rId20"/>
    <sheet name="成本法" sheetId="68" state="hidden" r:id="rId21"/>
    <sheet name="比较法-商业-租金" sheetId="33" r:id="rId22"/>
    <sheet name="成本法 (元)" sheetId="69"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基准地价修正-商业" sheetId="43" r:id="rId33"/>
    <sheet name="商业案例" sheetId="83" r:id="rId34"/>
    <sheet name="结果一览表-库房" sheetId="82" r:id="rId35"/>
    <sheet name="成本法 (元) -库房" sheetId="84" r:id="rId36"/>
    <sheet name="基准地价修正-库房" sheetId="85" r:id="rId37"/>
    <sheet name="比较法-仓储" sheetId="36" r:id="rId38"/>
    <sheet name="库房案例" sheetId="86"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r:id="rId50"/>
    <sheet name="地价" sheetId="71" state="hidden" r:id="rId51"/>
    <sheet name="存贷款利率" sheetId="73" state="hidden" r:id="rId52"/>
  </sheets>
  <externalReferences>
    <externalReference r:id="rId53"/>
    <externalReference r:id="rId54"/>
  </externalReferences>
  <definedNames>
    <definedName name="_xlnm._FilterDatabase" localSheetId="29" hidden="1">'比较法-办公'!$A$1:$L$50</definedName>
    <definedName name="_xlnm._FilterDatabase" localSheetId="37"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'比较法-商业-租金'!$A$1:$L$49</definedName>
    <definedName name="_xlnm._FilterDatabase" localSheetId="28" hidden="1">'比较法-住宅'!$A$1:$L$49</definedName>
    <definedName name="_xlnm._FilterDatabase" localSheetId="18" hidden="1">首城国际结果表!$A$1:$V$54</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7">'比较法-仓储'!$A$1:$K$42,'比较法-仓储'!$A$45:$M$96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'比较法-商业-租金'!$A$1:$K$54,'比较法-商业-租金'!$A$57:$M$131</definedName>
    <definedName name="_xlnm.Print_Area" localSheetId="28">'比较法-住宅'!$A$1:$K$54,'比较法-住宅'!$A$57:$M$131</definedName>
    <definedName name="_xlnm.Print_Area" localSheetId="20">成本法!$A$1:$G$57</definedName>
    <definedName name="_xlnm.Print_Area" localSheetId="22">'成本法 (元)'!$A$1:$G$57</definedName>
    <definedName name="_xlnm.Print_Area" localSheetId="35">'成本法 (元) -库房'!$A$1:$G$57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6">'基准地价修正-库房'!$A$1:$J$44,'基准地价修正-库房'!$A$47:$H$101,'基准地价修正-库房'!$R$1:$V$16</definedName>
    <definedName name="_xlnm.Print_Area" localSheetId="32">'基准地价修正-商业'!$A$1:$J$44,'基准地价修正-商业'!$A$47:$H$101,'基准地价修正-商业'!$R$1:$V$16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4">'[1]比较法-办公'!$B$119:$M$119</definedName>
    <definedName name="办公层高" localSheetId="19">'[1]比较法-办公'!$B$119:$M$119</definedName>
    <definedName name="办公层高" localSheetId="18">'[1]比较法-办公'!$B$119:$M$119</definedName>
    <definedName name="办公层高">'比较法-办公'!$B$119:$M$119</definedName>
    <definedName name="办公朝向" localSheetId="34">'[1]比较法-办公'!$B$91:$M$91</definedName>
    <definedName name="办公朝向" localSheetId="19">'[1]比较法-办公'!$B$91:$M$91</definedName>
    <definedName name="办公朝向" localSheetId="18">'[1]比较法-办公'!$B$91:$M$91</definedName>
    <definedName name="办公朝向">'比较法-办公'!$B$91:$M$91</definedName>
    <definedName name="办公道路级别" localSheetId="34">'[1]比较法-办公'!$B$87:$M$87</definedName>
    <definedName name="办公道路级别" localSheetId="19">'[1]比较法-办公'!$B$87:$M$87</definedName>
    <definedName name="办公道路级别" localSheetId="18">'[1]比较法-办公'!$B$87:$M$87</definedName>
    <definedName name="办公道路级别">'比较法-办公'!$B$87:$M$87</definedName>
    <definedName name="办公公共部分装修" localSheetId="34">'[1]比较法-办公'!$B$108:$M$108</definedName>
    <definedName name="办公公共部分装修" localSheetId="19">'[1]比较法-办公'!$B$108:$M$108</definedName>
    <definedName name="办公公共部分装修" localSheetId="18">'[1]比较法-办公'!$B$108:$M$108</definedName>
    <definedName name="办公公共部分装修">'比较法-办公'!$B$108:$M$108</definedName>
    <definedName name="办公基础设施水平" localSheetId="34">'[1]比较法-办公'!$B$117:$M$117</definedName>
    <definedName name="办公基础设施水平" localSheetId="19">'[1]比较法-办公'!$B$117:$M$117</definedName>
    <definedName name="办公基础设施水平" localSheetId="18">'[1]比较法-办公'!$B$117:$M$117</definedName>
    <definedName name="办公基础设施水平">'比较法-办公'!$B$117:$M$117</definedName>
    <definedName name="办公集聚程度" localSheetId="34">[1]定义!$M$1:$M$6</definedName>
    <definedName name="办公集聚程度" localSheetId="19">[1]定义!$M$1:$M$6</definedName>
    <definedName name="办公集聚程度" localSheetId="18">[1]定义!$M$1:$M$6</definedName>
    <definedName name="办公集聚程度">定义!$M$1:$M$6</definedName>
    <definedName name="办公建筑结构" localSheetId="34">'[1]比较法-办公'!$B$106:$M$106</definedName>
    <definedName name="办公建筑结构" localSheetId="19">'[1]比较法-办公'!$B$106:$M$106</definedName>
    <definedName name="办公建筑结构" localSheetId="18">'[1]比较法-办公'!$B$106:$M$106</definedName>
    <definedName name="办公建筑结构">'比较法-办公'!$B$106:$M$106</definedName>
    <definedName name="办公建筑类型" localSheetId="34">'[1]比较法-办公'!$B$101:$M$101</definedName>
    <definedName name="办公建筑类型" localSheetId="19">'[1]比较法-办公'!$B$101:$M$101</definedName>
    <definedName name="办公建筑类型" localSheetId="18">'[1]比较法-办公'!$B$101:$M$101</definedName>
    <definedName name="办公建筑类型">'比较法-办公'!$B$101:$M$101</definedName>
    <definedName name="办公交易情况" localSheetId="34">'[1]比较法-办公'!$A$62:$M$62</definedName>
    <definedName name="办公交易情况" localSheetId="19">'[1]比较法-办公'!$A$62:$M$62</definedName>
    <definedName name="办公交易情况" localSheetId="18">'[1]比较法-办公'!$A$62:$M$62</definedName>
    <definedName name="办公交易情况">'比较法-办公'!$A$62:$M$62</definedName>
    <definedName name="办公楼层" localSheetId="34">'[1]比较法-办公'!$B$89:$M$89</definedName>
    <definedName name="办公楼层" localSheetId="19">'[1]比较法-办公'!$B$89:$M$89</definedName>
    <definedName name="办公楼层" localSheetId="18">'[1]比较法-办公'!$B$89:$M$89</definedName>
    <definedName name="办公楼层">'比较法-办公'!$B$89:$M$89</definedName>
    <definedName name="办公内部装修" localSheetId="34">'[1]比较法-办公'!$B$123:$M$123</definedName>
    <definedName name="办公内部装修" localSheetId="19">'[1]比较法-办公'!$B$123:$M$123</definedName>
    <definedName name="办公内部装修" localSheetId="18">'[1]比较法-办公'!$B$123:$M$123</definedName>
    <definedName name="办公内部装修">'比较法-办公'!$B$123:$M$123</definedName>
    <definedName name="办公物业管理" localSheetId="34">'[1]比较法-办公'!$B$115:$M$115</definedName>
    <definedName name="办公物业管理" localSheetId="19">'[1]比较法-办公'!$B$115:$M$115</definedName>
    <definedName name="办公物业管理" localSheetId="18">'[1]比较法-办公'!$B$115:$M$115</definedName>
    <definedName name="办公物业管理">'比较法-办公'!$B$115:$M$115</definedName>
    <definedName name="办公用途" localSheetId="34">'[1]比较法-办公'!$B$64:$M$64</definedName>
    <definedName name="办公用途" localSheetId="19">'[1]比较法-办公'!$B$64:$M$64</definedName>
    <definedName name="办公用途" localSheetId="18">'[1]比较法-办公'!$B$64:$M$64</definedName>
    <definedName name="办公用途">'比较法-办公'!$B$64:$M$64</definedName>
    <definedName name="仓储公共部分装修" localSheetId="34">'[1]比较法-仓储'!$B$77:$M$77</definedName>
    <definedName name="仓储公共部分装修" localSheetId="19">'[1]比较法-仓储'!$B$77:$M$77</definedName>
    <definedName name="仓储公共部分装修" localSheetId="18">'[1]比较法-仓储'!$B$77:$M$77</definedName>
    <definedName name="仓储公共部分装修">'比较法-仓储'!$B$77:$M$77</definedName>
    <definedName name="仓储交易情况" localSheetId="34">'[1]比较法-仓储'!$A$49:$M$49</definedName>
    <definedName name="仓储交易情况" localSheetId="19">'[1]比较法-仓储'!$A$49:$M$49</definedName>
    <definedName name="仓储交易情况" localSheetId="18">'[1]比较法-仓储'!$A$49:$M$49</definedName>
    <definedName name="仓储交易情况">'比较法-仓储'!$A$49:$M$49</definedName>
    <definedName name="仓储楼层" localSheetId="34">'[1]比较法-仓储'!$B$69:$M$69</definedName>
    <definedName name="仓储楼层" localSheetId="19">'[1]比较法-仓储'!$B$69:$M$69</definedName>
    <definedName name="仓储楼层" localSheetId="18">'[1]比较法-仓储'!$B$69:$M$69</definedName>
    <definedName name="仓储楼层">'比较法-仓储'!$B$69:$M$69</definedName>
    <definedName name="仓储物业等级" localSheetId="34">'[1]比较法-仓储'!$B$82:$M$82</definedName>
    <definedName name="仓储物业等级" localSheetId="19">'[1]比较法-仓储'!$B$82:$M$82</definedName>
    <definedName name="仓储物业等级" localSheetId="18">'[1]比较法-仓储'!$B$82:$M$82</definedName>
    <definedName name="仓储物业等级">'比较法-仓储'!$B$82:$M$82</definedName>
    <definedName name="仓储用途" localSheetId="34">'[1]比较法-仓储'!$B$51:$M$51</definedName>
    <definedName name="仓储用途" localSheetId="19">'[1]比较法-仓储'!$B$51:$M$51</definedName>
    <definedName name="仓储用途" localSheetId="18">'[1]比较法-仓储'!$B$51:$M$51</definedName>
    <definedName name="仓储用途">'比较法-仓储'!$B$51:$M$51</definedName>
    <definedName name="产业集聚程度" localSheetId="34">[1]定义!$N$1:$N$6</definedName>
    <definedName name="产业集聚程度" localSheetId="19">[1]定义!$N$1:$N$6</definedName>
    <definedName name="产业集聚程度" localSheetId="18">[1]定义!$N$1:$N$6</definedName>
    <definedName name="产业集聚程度">定义!$N$1:$N$6</definedName>
    <definedName name="车位公共部分装修" localSheetId="34">'[1]比较法-车位'!$B$83:$M$83</definedName>
    <definedName name="车位公共部分装修" localSheetId="19">'[1]比较法-车位'!$B$83:$M$83</definedName>
    <definedName name="车位公共部分装修" localSheetId="18">'[1]比较法-车位'!$B$83:$M$83</definedName>
    <definedName name="车位公共部分装修">'比较法-车位'!$B$83:$M$83</definedName>
    <definedName name="车位交易情况" localSheetId="34">'[1]比较法-车位'!$A$51:$M$51</definedName>
    <definedName name="车位交易情况" localSheetId="19">'[1]比较法-车位'!$A$51:$M$51</definedName>
    <definedName name="车位交易情况" localSheetId="18">'[1]比较法-车位'!$A$51:$M$51</definedName>
    <definedName name="车位交易情况">'比较法-车位'!$A$51:$M$51</definedName>
    <definedName name="车位类型" localSheetId="34">'[1]比较法-车位'!$B$93:$M$93</definedName>
    <definedName name="车位类型" localSheetId="19">'[1]比较法-车位'!$B$93:$M$93</definedName>
    <definedName name="车位类型" localSheetId="18">'[1]比较法-车位'!$B$93:$M$93</definedName>
    <definedName name="车位类型">'比较法-车位'!$B$93:$M$93</definedName>
    <definedName name="车位楼层" localSheetId="34">'[1]比较法-车位'!$B$71:$M$71</definedName>
    <definedName name="车位楼层" localSheetId="19">'[1]比较法-车位'!$B$71:$M$71</definedName>
    <definedName name="车位楼层" localSheetId="18">'[1]比较法-车位'!$B$71:$M$71</definedName>
    <definedName name="车位楼层">'比较法-车位'!$B$71:$M$71</definedName>
    <definedName name="车位配套类型" localSheetId="34">'[1]比较法-车位'!$B$79:$M$79</definedName>
    <definedName name="车位配套类型" localSheetId="19">'[1]比较法-车位'!$B$79:$M$79</definedName>
    <definedName name="车位配套类型" localSheetId="18">'[1]比较法-车位'!$B$79:$M$79</definedName>
    <definedName name="车位配套类型">'比较法-车位'!$B$79:$M$79</definedName>
    <definedName name="车位物业等级" localSheetId="34">'[1]比较法-车位'!$B$88:$M$88</definedName>
    <definedName name="车位物业等级" localSheetId="19">'[1]比较法-车位'!$B$88:$M$88</definedName>
    <definedName name="车位物业等级" localSheetId="18">'[1]比较法-车位'!$B$88:$M$88</definedName>
    <definedName name="车位物业等级">'比较法-车位'!$B$88:$M$88</definedName>
    <definedName name="车位用途" localSheetId="34">'[1]比较法-车位'!$B$53:$M$53</definedName>
    <definedName name="车位用途" localSheetId="19">'[1]比较法-车位'!$B$53:$M$53</definedName>
    <definedName name="车位用途" localSheetId="18">'[1]比较法-车位'!$B$53:$M$53</definedName>
    <definedName name="车位用途">'比较法-车位'!$B$53:$M$53</definedName>
    <definedName name="城镇土地纳税等级分级范围" localSheetId="34">'[1]数据-取费表'!$A$53:$A$63</definedName>
    <definedName name="城镇土地纳税等级分级范围" localSheetId="19">'[1]数据-取费表'!$A$53:$A$63</definedName>
    <definedName name="城镇土地纳税等级分级范围" localSheetId="18">'[1]数据-取费表'!$A$53:$A$63</definedName>
    <definedName name="城镇土地纳税等级分级范围">'数据-取费表'!$A$53:$A$63</definedName>
    <definedName name="单价内涵" localSheetId="34">[1]定义!$V$1:$V$3</definedName>
    <definedName name="单价内涵" localSheetId="19">[1]定义!$V$1:$V$3</definedName>
    <definedName name="单价内涵" localSheetId="18">[1]定义!$V$1:$V$3</definedName>
    <definedName name="单价内涵">定义!$V$1:$V$3</definedName>
    <definedName name="地类判定" localSheetId="34">[1]定义!$H$1:$H$9</definedName>
    <definedName name="地类判定" localSheetId="19">[1]定义!$H$1:$H$9</definedName>
    <definedName name="地类判定" localSheetId="18">[1]定义!$H$1:$H$9</definedName>
    <definedName name="地类判定">定义!$H$1:$H$9</definedName>
    <definedName name="二级">区片价!$J$1:$J$21</definedName>
    <definedName name="二级分类" localSheetId="34">[1]修正!$C$17:$C$39</definedName>
    <definedName name="二级分类" localSheetId="19">[1]修正!$C$17:$C$39</definedName>
    <definedName name="二级分类" localSheetId="18">[1]修正!$C$17:$C$39</definedName>
    <definedName name="二级分类">修正!$C$19:$C$51</definedName>
    <definedName name="法定最高年限" localSheetId="34">[1]定义!$G$1:$G$4</definedName>
    <definedName name="法定最高年限" localSheetId="19">[1]定义!$G$1:$G$4</definedName>
    <definedName name="法定最高年限" localSheetId="18">[1]定义!$G$1:$G$4</definedName>
    <definedName name="法定最高年限">定义!$G$1:$G$6</definedName>
    <definedName name="工业公共部分装修" localSheetId="34">'[1]比较法-工业'!$B$95:$M$95</definedName>
    <definedName name="工业公共部分装修" localSheetId="19">'[1]比较法-工业'!$B$95:$M$95</definedName>
    <definedName name="工业公共部分装修" localSheetId="18">'[1]比较法-工业'!$B$95:$M$95</definedName>
    <definedName name="工业公共部分装修">'比较法-工业'!$B$95:$M$95</definedName>
    <definedName name="工业基础设施水平" localSheetId="34">'[1]比较法-工业'!$B$102:$M$102</definedName>
    <definedName name="工业基础设施水平" localSheetId="19">'[1]比较法-工业'!$B$102:$M$102</definedName>
    <definedName name="工业基础设施水平" localSheetId="18">'[1]比较法-工业'!$B$102:$M$102</definedName>
    <definedName name="工业基础设施水平">'比较法-工业'!$B$102:$M$102</definedName>
    <definedName name="工业建筑结构" localSheetId="34">'[1]比较法-工业'!$B$93:$M$93</definedName>
    <definedName name="工业建筑结构" localSheetId="19">'[1]比较法-工业'!$B$93:$M$93</definedName>
    <definedName name="工业建筑结构" localSheetId="18">'[1]比较法-工业'!$B$93:$M$93</definedName>
    <definedName name="工业建筑结构">'比较法-工业'!$B$93:$M$93</definedName>
    <definedName name="工业建筑类型" localSheetId="34">'[1]比较法-工业'!$B$88:$M$88</definedName>
    <definedName name="工业建筑类型" localSheetId="19">'[1]比较法-工业'!$B$88:$M$88</definedName>
    <definedName name="工业建筑类型" localSheetId="18">'[1]比较法-工业'!$B$88:$M$88</definedName>
    <definedName name="工业建筑类型">'比较法-工业'!$B$88:$M$88</definedName>
    <definedName name="工业交易情况" localSheetId="34">'[1]比较法-工业'!$A$55:$M$55</definedName>
    <definedName name="工业交易情况" localSheetId="19">'[1]比较法-工业'!$A$55:$M$55</definedName>
    <definedName name="工业交易情况" localSheetId="18">'[1]比较法-工业'!$A$55:$M$55</definedName>
    <definedName name="工业交易情况">'比较法-工业'!$A$55:$M$55</definedName>
    <definedName name="工业内部装修" localSheetId="34">'[1]比较法-工业'!$B$104:$M$104</definedName>
    <definedName name="工业内部装修" localSheetId="19">'[1]比较法-工业'!$B$104:$M$104</definedName>
    <definedName name="工业内部装修" localSheetId="18">'[1]比较法-工业'!$B$104:$M$104</definedName>
    <definedName name="工业内部装修">'比较法-工业'!$B$104:$M$104</definedName>
    <definedName name="工业物业管理" localSheetId="34">'[1]比较法-工业'!$B$100:$M$100</definedName>
    <definedName name="工业物业管理" localSheetId="19">'[1]比较法-工业'!$B$100:$M$100</definedName>
    <definedName name="工业物业管理" localSheetId="18">'[1]比较法-工业'!$B$100:$M$100</definedName>
    <definedName name="工业物业管理">'比较法-工业'!$B$100:$M$100</definedName>
    <definedName name="工业用途" localSheetId="34">'[1]比较法-工业'!$B$57:$M$57</definedName>
    <definedName name="工业用途" localSheetId="19">'[1]比较法-工业'!$B$57:$M$57</definedName>
    <definedName name="工业用途" localSheetId="18">'[1]比较法-工业'!$B$57:$M$57</definedName>
    <definedName name="工业用途">'比较法-工业'!$B$57:$M$57</definedName>
    <definedName name="公共配套设施" localSheetId="34">[1]定义!$Q$1:$Q$6</definedName>
    <definedName name="公共配套设施" localSheetId="19">[1]定义!$Q$1:$Q$6</definedName>
    <definedName name="公共配套设施" localSheetId="18">[1]定义!$Q$1:$Q$6</definedName>
    <definedName name="公共配套设施">定义!$Q$1:$Q$6</definedName>
    <definedName name="估价范围判定">定义!$D$1:$D$4</definedName>
    <definedName name="估价方法" localSheetId="34">[1]定义!$B$1:$B$50</definedName>
    <definedName name="估价方法" localSheetId="19">[1]定义!$B$1:$B$50</definedName>
    <definedName name="估价方法" localSheetId="18">[1]定义!$B$1:$B$50</definedName>
    <definedName name="估价方法">定义!$B$1:$B$50</definedName>
    <definedName name="环境" localSheetId="34">[1]定义!$S$1:$S$6</definedName>
    <definedName name="环境" localSheetId="19">[1]定义!$S$1:$S$6</definedName>
    <definedName name="环境" localSheetId="18">[1]定义!$S$1:$S$6</definedName>
    <definedName name="环境">定义!$S$1:$S$6</definedName>
    <definedName name="基础设施水平" localSheetId="34">[1]定义!$R$1:$R$6</definedName>
    <definedName name="基础设施水平" localSheetId="19">[1]定义!$R$1:$R$6</definedName>
    <definedName name="基础设施水平" localSheetId="18">[1]定义!$R$1:$R$6</definedName>
    <definedName name="基础设施水平">定义!$R$1:$R$6</definedName>
    <definedName name="季度">'基准地价修正-商业'!$Q$19:$AD$19</definedName>
    <definedName name="价值类型2" localSheetId="34">[1]定义!$B$54:$B$56</definedName>
    <definedName name="价值类型2" localSheetId="19">[1]定义!$B$54:$B$56</definedName>
    <definedName name="价值类型2" localSheetId="18">[1]定义!$B$54:$B$56</definedName>
    <definedName name="价值类型2">定义!$B$54:$B$56</definedName>
    <definedName name="交通便捷度" localSheetId="34">[1]定义!$O$1:$O$6</definedName>
    <definedName name="交通便捷度" localSheetId="19">[1]定义!$O$1:$O$6</definedName>
    <definedName name="交通便捷度" localSheetId="18">[1]定义!$O$1:$O$6</definedName>
    <definedName name="交通便捷度">定义!$O$1:$O$6</definedName>
    <definedName name="九级">区片价!$Q$1:$Q$51</definedName>
    <definedName name="居住社区成熟度" localSheetId="34">[1]定义!$K$1:$K$6</definedName>
    <definedName name="居住社区成熟度" localSheetId="19">[1]定义!$K$1:$K$6</definedName>
    <definedName name="居住社区成熟度" localSheetId="18">[1]定义!$K$1:$K$6</definedName>
    <definedName name="居住社区成熟度">定义!$K$1:$K$6</definedName>
    <definedName name="类别" localSheetId="34">[1]定义!$J$1:$J$3</definedName>
    <definedName name="类别" localSheetId="19">[1]定义!$J$1:$J$3</definedName>
    <definedName name="类别" localSheetId="18">[1]定义!$J$1:$J$3</definedName>
    <definedName name="类别">定义!$J$1:$J$3</definedName>
    <definedName name="临街状况" localSheetId="34">[1]定义!$T$1:$T$5</definedName>
    <definedName name="临街状况" localSheetId="19">[1]定义!$T$1:$T$5</definedName>
    <definedName name="临街状况" localSheetId="18">[1]定义!$T$1:$T$5</definedName>
    <definedName name="临街状况">定义!$T$1:$T$5</definedName>
    <definedName name="六级">区片价!$N$1:$N$64</definedName>
    <definedName name="内部装修维护情况" localSheetId="34">[1]定义!$U$1:$U$6</definedName>
    <definedName name="内部装修维护情况" localSheetId="19">[1]定义!$U$1:$U$6</definedName>
    <definedName name="内部装修维护情况" localSheetId="18">[1]定义!$U$1:$U$6</definedName>
    <definedName name="内部装修维护情况">定义!$U$1:$U$6</definedName>
    <definedName name="判定">[1]定义!$D$1:$D$4</definedName>
    <definedName name="七级">区片价!$O$1:$O$45</definedName>
    <definedName name="七通一平" localSheetId="34">[1]修正!$A$6:$A$14</definedName>
    <definedName name="七通一平" localSheetId="19">[1]修正!$A$6:$A$14</definedName>
    <definedName name="七通一平" localSheetId="18">[1]修正!$A$6:$A$14</definedName>
    <definedName name="七通一平">修正!$A$8:$A$16</definedName>
    <definedName name="区域土地利用方向" localSheetId="34">[1]定义!$P$1:$P$6</definedName>
    <definedName name="区域土地利用方向" localSheetId="19">[1]定义!$P$1:$P$6</definedName>
    <definedName name="区域土地利用方向" localSheetId="18">[1]定义!$P$1:$P$6</definedName>
    <definedName name="区域土地利用方向">定义!$P$1:$P$6</definedName>
    <definedName name="三级">区片价!$K$1:$K$26</definedName>
    <definedName name="商业层高" localSheetId="34">'[1]比较法-商业租金'!$B$116:$M$116</definedName>
    <definedName name="商业层高" localSheetId="19">'[1]比较法-商业租金'!$B$116:$M$116</definedName>
    <definedName name="商业层高" localSheetId="18">'[1]比较法-商业租金'!$B$116:$M$116</definedName>
    <definedName name="商业层高">'比较法-商业-租金'!$B$116:$M$116</definedName>
    <definedName name="商业成新度">'比较法-商业-租金'!$B$109:$M$109</definedName>
    <definedName name="商业繁华度" localSheetId="34">[1]定义!$L$1:$L$6</definedName>
    <definedName name="商业繁华度" localSheetId="19">[1]定义!$L$1:$L$6</definedName>
    <definedName name="商业繁华度" localSheetId="18">[1]定义!$L$1:$L$6</definedName>
    <definedName name="商业繁华度">定义!$L$1:$L$6</definedName>
    <definedName name="商业公共部分装修" localSheetId="34">'[1]比较法-商业租金'!$B$107:$M$107</definedName>
    <definedName name="商业公共部分装修" localSheetId="19">'[1]比较法-商业租金'!$B$107:$M$107</definedName>
    <definedName name="商业公共部分装修" localSheetId="18">'[1]比较法-商业租金'!$B$107:$M$107</definedName>
    <definedName name="商业公共部分装修">'比较法-商业-租金'!$B$107:$M$107</definedName>
    <definedName name="商业基础设施水平" localSheetId="34">'[1]比较法-商业租金'!$B$112:$M$112</definedName>
    <definedName name="商业基础设施水平" localSheetId="19">'[1]比较法-商业租金'!$B$112:$M$112</definedName>
    <definedName name="商业基础设施水平" localSheetId="18">'[1]比较法-商业租金'!$B$112:$M$112</definedName>
    <definedName name="商业基础设施水平">'比较法-商业-租金'!$B$112:$M$112</definedName>
    <definedName name="商业建筑结构" localSheetId="34">'[1]比较法-商业租金'!$B$105:$M$105</definedName>
    <definedName name="商业建筑结构" localSheetId="19">'[1]比较法-商业租金'!$B$105:$M$105</definedName>
    <definedName name="商业建筑结构" localSheetId="18">'[1]比较法-商业租金'!$B$105:$M$105</definedName>
    <definedName name="商业建筑结构">'比较法-商业-租金'!$B$105:$M$105</definedName>
    <definedName name="商业交易情况" localSheetId="34">'[1]比较法-商业租金'!$A$61:$M$61</definedName>
    <definedName name="商业交易情况" localSheetId="19">'[1]比较法-商业租金'!$A$61:$M$61</definedName>
    <definedName name="商业交易情况" localSheetId="18">'[1]比较法-商业租金'!$A$61:$M$61</definedName>
    <definedName name="商业交易情况">'比较法-商业-租金'!$A$61:$M$61</definedName>
    <definedName name="商业街名称" localSheetId="34">[1]修正!$C$59:$C$119</definedName>
    <definedName name="商业街名称" localSheetId="19">[1]修正!$C$59:$C$119</definedName>
    <definedName name="商业街名称" localSheetId="18">[1]修正!$C$59:$C$119</definedName>
    <definedName name="商业街名称">修正!$C$71:$C$138</definedName>
    <definedName name="商业进深比" localSheetId="34">'[1]比较法-商业租金'!$B$120:$M$120</definedName>
    <definedName name="商业进深比" localSheetId="19">'[1]比较法-商业租金'!$B$120:$M$120</definedName>
    <definedName name="商业进深比" localSheetId="18">'[1]比较法-商业租金'!$B$120:$M$120</definedName>
    <definedName name="商业进深比">'比较法-商业-租金'!$B$120:$M$120</definedName>
    <definedName name="商业类型" localSheetId="34">'[1]比较法-商业租金'!$B$100:$M$100</definedName>
    <definedName name="商业类型" localSheetId="19">'[1]比较法-商业租金'!$B$100:$M$100</definedName>
    <definedName name="商业类型" localSheetId="18">'[1]比较法-商业租金'!$B$100:$M$100</definedName>
    <definedName name="商业类型">'比较法-商业-租金'!$B$100:$M$100</definedName>
    <definedName name="商业临街状况" localSheetId="34">'[1]比较法-商业租金'!$B$86:$M$86</definedName>
    <definedName name="商业临街状况" localSheetId="19">'[1]比较法-商业租金'!$B$86:$M$86</definedName>
    <definedName name="商业临街状况" localSheetId="18">'[1]比较法-商业租金'!$B$86:$M$86</definedName>
    <definedName name="商业临街状况">'比较法-商业-租金'!$B$86:$M$86</definedName>
    <definedName name="商业楼层" localSheetId="34">'[1]比较法-商业租金'!$B$92:$M$92</definedName>
    <definedName name="商业楼层" localSheetId="19">'[1]比较法-商业租金'!$B$92:$M$92</definedName>
    <definedName name="商业楼层" localSheetId="18">'[1]比较法-商业租金'!$B$92:$M$92</definedName>
    <definedName name="商业楼层">'比较法-商业-租金'!$B$92:$M$92</definedName>
    <definedName name="商业内部装修" localSheetId="34">'[1]比较法-商业租金'!$B$122:$M$122</definedName>
    <definedName name="商业内部装修" localSheetId="19">'[1]比较法-商业租金'!$B$122:$M$122</definedName>
    <definedName name="商业内部装修" localSheetId="18">'[1]比较法-商业租金'!$B$122:$M$122</definedName>
    <definedName name="商业内部装修">'比较法-商业-租金'!$B$122:$M$122</definedName>
    <definedName name="商业人流量" localSheetId="34">'[1]比较法-商业租金'!$B$90:$M$90</definedName>
    <definedName name="商业人流量" localSheetId="19">'[1]比较法-商业租金'!$B$90:$M$90</definedName>
    <definedName name="商业人流量" localSheetId="18">'[1]比较法-商业租金'!$B$90:$M$90</definedName>
    <definedName name="商业人流量">'比较法-商业-租金'!$B$90:$M$90</definedName>
    <definedName name="商业业态" localSheetId="34">'[1]比较法-商业租金'!$B$114:$M$114</definedName>
    <definedName name="商业业态" localSheetId="19">'[1]比较法-商业租金'!$B$114:$M$114</definedName>
    <definedName name="商业业态" localSheetId="18">'[1]比较法-商业租金'!$B$114:$M$114</definedName>
    <definedName name="商业业态">'比较法-商业-租金'!$B$114:$M$114</definedName>
    <definedName name="商业用途" localSheetId="34">'[1]比较法-商业租金'!$B$63:$M$63</definedName>
    <definedName name="商业用途" localSheetId="19">'[1]比较法-商业租金'!$B$63:$M$63</definedName>
    <definedName name="商业用途" localSheetId="18">'[1]比较法-商业租金'!$B$63:$M$63</definedName>
    <definedName name="商业用途">'比较法-商业-租金'!$B$63:$M$63</definedName>
    <definedName name="十二级">区片价!$T$1:$T$8</definedName>
    <definedName name="十级">区片价!$R$1:$R$32</definedName>
    <definedName name="十一级">区片价!$S$1:$S$21</definedName>
    <definedName name="是否封闭" localSheetId="34">'[1]比较法-仓储'!$B$89:$M$89</definedName>
    <definedName name="是否封闭" localSheetId="19">'[1]比较法-仓储'!$B$89:$M$89</definedName>
    <definedName name="是否封闭" localSheetId="18">'[1]比较法-仓储'!$B$89:$M$89</definedName>
    <definedName name="是否封闭">'比较法-仓储'!$B$89:$M$89</definedName>
    <definedName name="是否直接入户" localSheetId="34">'[1]比较法-车位'!$B$95:$M$95</definedName>
    <definedName name="是否直接入户" localSheetId="19">'[1]比较法-车位'!$B$95:$M$95</definedName>
    <definedName name="是否直接入户" localSheetId="18">'[1]比较法-车位'!$B$95:$M$95</definedName>
    <definedName name="是否直接入户">'比较法-车位'!$B$95:$M$95</definedName>
    <definedName name="四级">区片价!$L$1:$L$33</definedName>
    <definedName name="套工道路等级" localSheetId="34">'[1]土地比较法-工业'!$B$97:$M$97</definedName>
    <definedName name="套工道路等级" localSheetId="19">'[1]土地比较法-工业'!$B$97:$M$97</definedName>
    <definedName name="套工道路等级" localSheetId="18">'[1]土地比较法-工业'!$B$97:$M$97</definedName>
    <definedName name="套工道路等级">'土地比较法-工业'!$B$97:$M$97</definedName>
    <definedName name="套工地质条件" localSheetId="34">'[1]土地比较法-工业'!$B$114:$M$114</definedName>
    <definedName name="套工地质条件" localSheetId="19">'[1]土地比较法-工业'!$B$114:$M$114</definedName>
    <definedName name="套工地质条件" localSheetId="18">'[1]土地比较法-工业'!$B$114:$M$114</definedName>
    <definedName name="套工地质条件">'土地比较法-工业'!$B$114:$M$114</definedName>
    <definedName name="套工交易情况" localSheetId="34">'[1]土地比较法-住宅、综合'!$A$73:$M$73</definedName>
    <definedName name="套工交易情况" localSheetId="19">'[1]土地比较法-住宅、综合'!$A$73:$M$73</definedName>
    <definedName name="套工交易情况" localSheetId="18">'[1]土地比较法-住宅、综合'!$A$73:$M$73</definedName>
    <definedName name="套工交易情况">'土地比较法-住宅、综合'!$A$72:$M$72</definedName>
    <definedName name="套工土地级别" localSheetId="34">'[1]土地比较法-工业'!$B$99:$M$99</definedName>
    <definedName name="套工土地级别" localSheetId="19">'[1]土地比较法-工业'!$B$99:$M$99</definedName>
    <definedName name="套工土地级别" localSheetId="18">'[1]土地比较法-工业'!$B$99:$M$99</definedName>
    <definedName name="套工土地级别">'土地比较法-工业'!$B$99:$M$99</definedName>
    <definedName name="套工用途" localSheetId="34">'[1]土地比较法-工业'!$B$70:$M$70</definedName>
    <definedName name="套工用途" localSheetId="19">'[1]土地比较法-工业'!$B$70:$M$70</definedName>
    <definedName name="套工用途" localSheetId="18">'[1]土地比较法-工业'!$B$70:$M$70</definedName>
    <definedName name="套工用途">'土地比较法-工业'!$B$70:$M$70</definedName>
    <definedName name="套工宗地开发程度" localSheetId="34">'[1]土地比较法-工业'!$B$112:$M$112</definedName>
    <definedName name="套工宗地开发程度" localSheetId="19">'[1]土地比较法-工业'!$B$112:$M$112</definedName>
    <definedName name="套工宗地开发程度" localSheetId="18">'[1]土地比较法-工业'!$B$112:$M$112</definedName>
    <definedName name="套工宗地开发程度">'土地比较法-工业'!$B$112:$M$112</definedName>
    <definedName name="套工宗地形状" localSheetId="34">'[1]土地比较法-工业'!$B$110:$M$110</definedName>
    <definedName name="套工宗地形状" localSheetId="19">'[1]土地比较法-工业'!$B$110:$M$110</definedName>
    <definedName name="套工宗地形状" localSheetId="18">'[1]土地比较法-工业'!$B$110:$M$110</definedName>
    <definedName name="套工宗地形状">'土地比较法-工业'!$B$110:$M$110</definedName>
    <definedName name="套综道路等级" localSheetId="34">'[1]土地比较法-住宅、综合'!$B$106:$M$106</definedName>
    <definedName name="套综道路等级" localSheetId="19">'[1]土地比较法-住宅、综合'!$B$106:$M$106</definedName>
    <definedName name="套综道路等级" localSheetId="18">'[1]土地比较法-住宅、综合'!$B$106:$M$106</definedName>
    <definedName name="套综道路等级">'土地比较法-住宅、综合'!$B$105:$M$105</definedName>
    <definedName name="套综工程地质条件" localSheetId="34">'[1]土地比较法-住宅、综合'!$B$125:$M$125</definedName>
    <definedName name="套综工程地质条件" localSheetId="19">'[1]土地比较法-住宅、综合'!$B$125:$M$125</definedName>
    <definedName name="套综工程地质条件" localSheetId="18">'[1]土地比较法-住宅、综合'!$B$125:$M$125</definedName>
    <definedName name="套综工程地质条件">'土地比较法-住宅、综合'!$B$124:$M$124</definedName>
    <definedName name="套综交易情况" localSheetId="34">'[1]土地比较法-住宅、综合'!$A$73:$M$73</definedName>
    <definedName name="套综交易情况" localSheetId="19">'[1]土地比较法-住宅、综合'!$A$73:$M$73</definedName>
    <definedName name="套综交易情况" localSheetId="18">'[1]土地比较法-住宅、综合'!$A$73:$M$73</definedName>
    <definedName name="套综交易情况">'土地比较法-住宅、综合'!$A$72:$M$72</definedName>
    <definedName name="套综临街宽度及深度" localSheetId="34">'[1]土地比较法-住宅、综合'!$B$121:$M$121</definedName>
    <definedName name="套综临街宽度及深度" localSheetId="19">'[1]土地比较法-住宅、综合'!$B$121:$M$121</definedName>
    <definedName name="套综临街宽度及深度" localSheetId="18">'[1]土地比较法-住宅、综合'!$B$121:$M$121</definedName>
    <definedName name="套综临街宽度及深度">'土地比较法-住宅、综合'!$B$120:$M$120</definedName>
    <definedName name="套综土地级别" localSheetId="34">'[1]土地比较法-住宅、综合'!$B$108:$M$108</definedName>
    <definedName name="套综土地级别" localSheetId="19">'[1]土地比较法-住宅、综合'!$B$108:$M$108</definedName>
    <definedName name="套综土地级别" localSheetId="18">'[1]土地比较法-住宅、综合'!$B$108:$M$108</definedName>
    <definedName name="套综土地级别">'土地比较法-住宅、综合'!$B$107:$M$107</definedName>
    <definedName name="套综用途" localSheetId="34">'[1]土地比较法-住宅、综合'!$B$75:$M$75</definedName>
    <definedName name="套综用途" localSheetId="19">'[1]土地比较法-住宅、综合'!$B$75:$M$75</definedName>
    <definedName name="套综用途" localSheetId="18">'[1]土地比较法-住宅、综合'!$B$75:$M$75</definedName>
    <definedName name="套综用途">'土地比较法-住宅、综合'!$B$74:$M$74</definedName>
    <definedName name="套综宗地内开发程度" localSheetId="34">'[1]土地比较法-住宅、综合'!$B$123:$M$123</definedName>
    <definedName name="套综宗地内开发程度" localSheetId="19">'[1]土地比较法-住宅、综合'!$B$123:$M$123</definedName>
    <definedName name="套综宗地内开发程度" localSheetId="18">'[1]土地比较法-住宅、综合'!$B$123:$M$123</definedName>
    <definedName name="套综宗地内开发程度">'土地比较法-住宅、综合'!$B$122:$M$122</definedName>
    <definedName name="套综宗地形状" localSheetId="34">'[1]土地比较法-住宅、综合'!$B$119:$M$119</definedName>
    <definedName name="套综宗地形状" localSheetId="19">'[1]土地比较法-住宅、综合'!$B$119:$M$119</definedName>
    <definedName name="套综宗地形状" localSheetId="18">'[1]土地比较法-住宅、综合'!$B$119:$M$119</definedName>
    <definedName name="套综宗地形状">'土地比较法-住宅、综合'!$B$118:$M$118</definedName>
    <definedName name="土地估价师">估价师及机构信息!$D$3:$D$24</definedName>
    <definedName name="土地级别" localSheetId="34">[1]定义!$C$1:$C$14</definedName>
    <definedName name="土地级别" localSheetId="19">[1]定义!$C$1:$C$14</definedName>
    <definedName name="土地级别" localSheetId="18">[1]定义!$C$1:$C$14</definedName>
    <definedName name="土地级别">定义!$C$1:$C$14</definedName>
    <definedName name="土地利用方向">定义!$P$1:$P$6</definedName>
    <definedName name="土地年限区间" localSheetId="34">[1]定义!$I$1:$I$8</definedName>
    <definedName name="土地年限区间" localSheetId="19">[1]定义!$I$1:$I$8</definedName>
    <definedName name="土地年限区间" localSheetId="18">[1]定义!$I$1:$I$8</definedName>
    <definedName name="土地年限区间">定义!$I$1:$I$16</definedName>
    <definedName name="位置" localSheetId="34">[1]定义!$E$2:$E$4</definedName>
    <definedName name="位置" localSheetId="19">[1]定义!$E$2:$E$4</definedName>
    <definedName name="位置" localSheetId="18">[1]定义!$E$2:$E$4</definedName>
    <definedName name="位置">定义!$E$2:$E$4</definedName>
    <definedName name="五等判定" localSheetId="34">[1]定义!$W$1:$W$6</definedName>
    <definedName name="五等判定" localSheetId="19">[1]定义!$W$1:$W$6</definedName>
    <definedName name="五等判定" localSheetId="18">[1]定义!$W$1:$W$6</definedName>
    <definedName name="五等判定">定义!$W$1:$W$6</definedName>
    <definedName name="五级">区片价!$M$1:$M$41</definedName>
    <definedName name="项目类型" localSheetId="34">'[1]数据-汇总表'!$C$17:$C$26</definedName>
    <definedName name="项目类型" localSheetId="19">'[1]数据-汇总表'!$C$17:$C$26</definedName>
    <definedName name="项目类型" localSheetId="26">'[2]数据-汇总表'!$C$17:$C$26</definedName>
    <definedName name="项目类型" localSheetId="18">'[1]数据-汇总表'!$C$17:$C$26</definedName>
    <definedName name="项目类型">'数据-汇总表'!$C$17:$C$26</definedName>
    <definedName name="写字楼等级" localSheetId="34">'[1]比较法-办公'!$B$113:$M$113</definedName>
    <definedName name="写字楼等级" localSheetId="19">'[1]比较法-办公'!$B$113:$M$113</definedName>
    <definedName name="写字楼等级" localSheetId="18">'[1]比较法-办公'!$B$113:$M$113</definedName>
    <definedName name="写字楼等级">'比较法-办公'!$B$113:$M$113</definedName>
    <definedName name="一级">区片价!$I$1:$I$6</definedName>
    <definedName name="一修多修正项2" localSheetId="34">[1]典型户型修正!$5:$5</definedName>
    <definedName name="一修多修正项2" localSheetId="19">[1]典型户型修正!$5:$5</definedName>
    <definedName name="一修多修正项2" localSheetId="18">[1]典型户型修正!$5:$5</definedName>
    <definedName name="一修多修正项2">典型户型修正!$5:$5</definedName>
    <definedName name="一修多修正项3" localSheetId="34">[1]典型户型修正!$7:$7</definedName>
    <definedName name="一修多修正项3" localSheetId="19">[1]典型户型修正!$7:$7</definedName>
    <definedName name="一修多修正项3" localSheetId="18">[1]典型户型修正!$7:$7</definedName>
    <definedName name="一修多修正项3">典型户型修正!$7:$7</definedName>
    <definedName name="一修多修正项4" localSheetId="34">[1]典型户型修正!$9:$9</definedName>
    <definedName name="一修多修正项4" localSheetId="19">[1]典型户型修正!$9:$9</definedName>
    <definedName name="一修多修正项4" localSheetId="18">[1]典型户型修正!$9:$9</definedName>
    <definedName name="一修多修正项4">典型户型修正!$9:$9</definedName>
    <definedName name="一修多修正项5" localSheetId="34">[1]典型户型修正!$11:$11</definedName>
    <definedName name="一修多修正项5" localSheetId="19">[1]典型户型修正!$11:$11</definedName>
    <definedName name="一修多修正项5" localSheetId="18">[1]典型户型修正!$11:$11</definedName>
    <definedName name="一修多修正项5">典型户型修正!$11:$11</definedName>
    <definedName name="一修多修正项6" localSheetId="34">[1]典型户型修正!$13:$13</definedName>
    <definedName name="一修多修正项6" localSheetId="19">[1]典型户型修正!$13:$13</definedName>
    <definedName name="一修多修正项6" localSheetId="18">[1]典型户型修正!$13:$13</definedName>
    <definedName name="一修多修正项6">典型户型修正!$13:$13</definedName>
    <definedName name="一修多修正项7" localSheetId="34">[1]典型户型修正!$15:$15</definedName>
    <definedName name="一修多修正项7" localSheetId="19">[1]典型户型修正!$15:$15</definedName>
    <definedName name="一修多修正项7" localSheetId="18">[1]典型户型修正!$15:$15</definedName>
    <definedName name="一修多修正项7">典型户型修正!$15:$15</definedName>
    <definedName name="一修多修正项8" localSheetId="34">[1]典型户型修正!$17:$17</definedName>
    <definedName name="一修多修正项8" localSheetId="19">[1]典型户型修正!$17:$17</definedName>
    <definedName name="一修多修正项8" localSheetId="18">[1]典型户型修正!$17:$17</definedName>
    <definedName name="一修多修正项8">典型户型修正!$17:$17</definedName>
    <definedName name="用途明细" localSheetId="34">[1]定义!$A$1:$A$50</definedName>
    <definedName name="用途明细" localSheetId="19">[1]定义!$A$1:$A$50</definedName>
    <definedName name="用途明细" localSheetId="18">[1]定义!$A$1:$A$50</definedName>
    <definedName name="用途明细">定义!$A$1:$A$50</definedName>
    <definedName name="有无电梯" localSheetId="34">'[1]比较法-仓储'!$B$84:$M$84</definedName>
    <definedName name="有无电梯" localSheetId="19">'[1]比较法-仓储'!$B$84:$M$84</definedName>
    <definedName name="有无电梯" localSheetId="18">'[1]比较法-仓储'!$B$84:$M$84</definedName>
    <definedName name="有无电梯">'比较法-仓储'!$B$84:$M$84</definedName>
    <definedName name="主用途" localSheetId="34">[1]定义!$F$1:$F$10</definedName>
    <definedName name="主用途" localSheetId="19">[1]定义!$F$1:$F$10</definedName>
    <definedName name="主用途" localSheetId="18">[1]定义!$F$1:$F$10</definedName>
    <definedName name="主用途">定义!$F$1:$F$12</definedName>
    <definedName name="住宅朝向" localSheetId="34">'[1]比较法-住宅'!$B$88:$M$88</definedName>
    <definedName name="住宅朝向" localSheetId="19">'[1]比较法-住宅'!$B$88:$M$88</definedName>
    <definedName name="住宅朝向" localSheetId="18">'[1]比较法-住宅'!$B$88:$M$88</definedName>
    <definedName name="住宅朝向">'比较法-住宅'!$B$88:$M$88</definedName>
    <definedName name="住宅房型" localSheetId="34">'[1]比较法-住宅'!$B$118:$M$118</definedName>
    <definedName name="住宅房型" localSheetId="19">'[1]比较法-住宅'!$B$118:$M$118</definedName>
    <definedName name="住宅房型" localSheetId="18">'[1]比较法-住宅'!$B$118:$M$118</definedName>
    <definedName name="住宅房型">'比较法-住宅'!$B$118:$M$118</definedName>
    <definedName name="住宅公共部分装修" localSheetId="34">'[1]比较法-住宅'!$B$109:$M$109</definedName>
    <definedName name="住宅公共部分装修" localSheetId="19">'[1]比较法-住宅'!$B$109:$M$109</definedName>
    <definedName name="住宅公共部分装修" localSheetId="18">'[1]比较法-住宅'!$B$109:$M$109</definedName>
    <definedName name="住宅公共部分装修">'比较法-住宅'!$B$109:$M$109</definedName>
    <definedName name="住宅基础设施水平" localSheetId="34">'[1]比较法-住宅'!$B$116:$M$116</definedName>
    <definedName name="住宅基础设施水平" localSheetId="19">'[1]比较法-住宅'!$B$116:$M$116</definedName>
    <definedName name="住宅基础设施水平" localSheetId="18">'[1]比较法-住宅'!$B$116:$M$116</definedName>
    <definedName name="住宅基础设施水平">'比较法-住宅'!$B$116:$M$116</definedName>
    <definedName name="住宅建筑结构" localSheetId="34">'[1]比较法-住宅'!$B$105:$M$105</definedName>
    <definedName name="住宅建筑结构" localSheetId="19">'[1]比较法-住宅'!$B$105:$M$105</definedName>
    <definedName name="住宅建筑结构" localSheetId="18">'[1]比较法-住宅'!$B$105:$M$105</definedName>
    <definedName name="住宅建筑结构">'比较法-住宅'!$B$105:$M$105</definedName>
    <definedName name="住宅建筑类型" localSheetId="34">'[1]比较法-住宅'!$B$100:$M$100</definedName>
    <definedName name="住宅建筑类型" localSheetId="19">'[1]比较法-住宅'!$B$100:$M$100</definedName>
    <definedName name="住宅建筑类型" localSheetId="18">'[1]比较法-住宅'!$B$100:$M$100</definedName>
    <definedName name="住宅建筑类型">'比较法-住宅'!$B$100:$M$100</definedName>
    <definedName name="住宅建筑品质" localSheetId="34">'[1]比较法-住宅'!$B$107:$M$107</definedName>
    <definedName name="住宅建筑品质" localSheetId="19">'[1]比较法-住宅'!$B$107:$M$107</definedName>
    <definedName name="住宅建筑品质" localSheetId="18">'[1]比较法-住宅'!$B$107:$M$107</definedName>
    <definedName name="住宅建筑品质">'比较法-住宅'!$B$107:$M$107</definedName>
    <definedName name="住宅交易情况" localSheetId="34">'[1]比较法-住宅'!$A$61:$M$61</definedName>
    <definedName name="住宅交易情况" localSheetId="19">'[1]比较法-住宅'!$A$61:$M$61</definedName>
    <definedName name="住宅交易情况" localSheetId="18">'[1]比较法-住宅'!$A$61:$M$61</definedName>
    <definedName name="住宅交易情况">'比较法-住宅'!$A$61:$M$61</definedName>
    <definedName name="住宅楼层" localSheetId="34">'[1]比较法-住宅'!$B$86:$M$86</definedName>
    <definedName name="住宅楼层" localSheetId="19">'[1]比较法-住宅'!$B$86:$M$86</definedName>
    <definedName name="住宅楼层" localSheetId="18">'[1]比较法-住宅'!$B$86:$M$86</definedName>
    <definedName name="住宅楼层">'比较法-住宅'!$B$86:$M$86</definedName>
    <definedName name="住宅内部装修" localSheetId="34">'[1]比较法-住宅'!$B$122:$M$122</definedName>
    <definedName name="住宅内部装修" localSheetId="19">'[1]比较法-住宅'!$B$122:$M$122</definedName>
    <definedName name="住宅内部装修" localSheetId="18">'[1]比较法-住宅'!$B$122:$M$122</definedName>
    <definedName name="住宅内部装修">'比较法-住宅'!$B$122:$M$122</definedName>
    <definedName name="住宅物业管理" localSheetId="34">'[1]比较法-住宅'!$B$114:$M$114</definedName>
    <definedName name="住宅物业管理" localSheetId="19">'[1]比较法-住宅'!$B$114:$M$114</definedName>
    <definedName name="住宅物业管理" localSheetId="18">'[1]比较法-住宅'!$B$114:$M$114</definedName>
    <definedName name="住宅物业管理">'比较法-住宅'!$B$114:$M$114</definedName>
    <definedName name="住宅用途" localSheetId="34">'[1]比较法-住宅'!$B$63:$M$63</definedName>
    <definedName name="住宅用途" localSheetId="19">'[1]比较法-住宅'!$B$63:$M$63</definedName>
    <definedName name="住宅用途" localSheetId="18">'[1]比较法-住宅'!$B$63:$M$63</definedName>
    <definedName name="住宅用途">'比较法-住宅'!$B$63:$M$63</definedName>
    <definedName name="住宅主力户型面积">'比较法-住宅'!$B$120:$M$120</definedName>
    <definedName name="注册房地产估价师" localSheetId="34">[1]估价师及机构信息!$A$3:$A$16</definedName>
    <definedName name="注册房地产估价师" localSheetId="19">[1]估价师及机构信息!$A$3:$A$16</definedName>
    <definedName name="注册房地产估价师" localSheetId="18">[1]估价师及机构信息!$A$3:$A$16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V48" i="33" l="1"/>
  <c r="T48" i="33"/>
  <c r="R48" i="33"/>
  <c r="K7" i="80"/>
  <c r="T15" i="80"/>
  <c r="N3" i="80"/>
  <c r="N4" i="80"/>
  <c r="N5" i="80"/>
  <c r="N6" i="80"/>
  <c r="N7" i="80"/>
  <c r="N8" i="80"/>
  <c r="N9" i="80"/>
  <c r="N10" i="80"/>
  <c r="N11" i="80"/>
  <c r="N12" i="80"/>
  <c r="N13" i="80"/>
  <c r="N14" i="80"/>
  <c r="N15" i="80"/>
  <c r="N16" i="80"/>
  <c r="N17" i="80"/>
  <c r="N18" i="80"/>
  <c r="N19" i="80"/>
  <c r="N20" i="80"/>
  <c r="N21" i="80"/>
  <c r="N22" i="80"/>
  <c r="N23" i="80"/>
  <c r="N24" i="80"/>
  <c r="N25" i="80"/>
  <c r="N26" i="80"/>
  <c r="N27" i="80"/>
  <c r="N28" i="80"/>
  <c r="N29" i="80"/>
  <c r="N30" i="80"/>
  <c r="N31" i="80"/>
  <c r="N32" i="80"/>
  <c r="N33" i="80"/>
  <c r="N34" i="80"/>
  <c r="N35" i="80"/>
  <c r="N36" i="80"/>
  <c r="N37" i="80"/>
  <c r="N38" i="80"/>
  <c r="N2" i="80"/>
  <c r="J40" i="80"/>
  <c r="J41" i="80"/>
  <c r="J42" i="80"/>
  <c r="J43" i="80"/>
  <c r="J44" i="80"/>
  <c r="J45" i="80"/>
  <c r="J46" i="80"/>
  <c r="J47" i="80"/>
  <c r="J48" i="80"/>
  <c r="J49" i="80"/>
  <c r="J50" i="80"/>
  <c r="J51" i="80"/>
  <c r="J52" i="80"/>
  <c r="J53" i="80"/>
  <c r="J39" i="80"/>
  <c r="J3" i="80"/>
  <c r="J4" i="80"/>
  <c r="J5" i="80"/>
  <c r="J6" i="80"/>
  <c r="J7" i="80"/>
  <c r="J8" i="80"/>
  <c r="J9" i="80"/>
  <c r="J10"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J38" i="80"/>
  <c r="J2" i="80"/>
  <c r="I54" i="80"/>
  <c r="I53" i="80"/>
  <c r="I52" i="80"/>
  <c r="I51" i="80"/>
  <c r="I50" i="80"/>
  <c r="M50" i="80" s="1"/>
  <c r="I46" i="80"/>
  <c r="M46" i="80" s="1"/>
  <c r="I45" i="80"/>
  <c r="I43" i="80"/>
  <c r="M43" i="80" s="1"/>
  <c r="I42" i="80"/>
  <c r="M42" i="80"/>
  <c r="M39" i="80"/>
  <c r="M40" i="80"/>
  <c r="M41" i="80"/>
  <c r="M44" i="80"/>
  <c r="M45" i="80"/>
  <c r="M47" i="80"/>
  <c r="M48" i="80"/>
  <c r="M49" i="80"/>
  <c r="M51" i="80"/>
  <c r="M52" i="80"/>
  <c r="M53" i="80"/>
  <c r="M2" i="80"/>
  <c r="M3" i="80"/>
  <c r="M4" i="80"/>
  <c r="M5" i="80"/>
  <c r="M6" i="80"/>
  <c r="M7" i="80"/>
  <c r="M8" i="80"/>
  <c r="M9" i="80"/>
  <c r="M10" i="80"/>
  <c r="M11" i="80"/>
  <c r="M12" i="80"/>
  <c r="M13" i="80"/>
  <c r="M15" i="80"/>
  <c r="M16" i="80"/>
  <c r="M17" i="80"/>
  <c r="M18" i="80"/>
  <c r="M19" i="80"/>
  <c r="M20" i="80"/>
  <c r="M21" i="80"/>
  <c r="M22" i="80"/>
  <c r="M23" i="80"/>
  <c r="M24" i="80"/>
  <c r="M25" i="80"/>
  <c r="M26" i="80"/>
  <c r="M27" i="80"/>
  <c r="M28" i="80"/>
  <c r="M29" i="80"/>
  <c r="M30" i="80"/>
  <c r="M31" i="80"/>
  <c r="M32" i="80"/>
  <c r="M33" i="80"/>
  <c r="M34" i="80"/>
  <c r="M35" i="80"/>
  <c r="M36" i="80"/>
  <c r="M37" i="80"/>
  <c r="M38" i="80"/>
  <c r="M14" i="80"/>
  <c r="I5" i="82" l="1"/>
  <c r="I7" i="82"/>
  <c r="E35" i="36" l="1"/>
  <c r="G35" i="36"/>
  <c r="I35" i="36"/>
  <c r="F21" i="84"/>
  <c r="F20" i="84"/>
  <c r="I30" i="36"/>
  <c r="G30" i="36"/>
  <c r="E30" i="36"/>
  <c r="I5" i="36"/>
  <c r="G5" i="36"/>
  <c r="E5" i="36"/>
  <c r="H9" i="81" l="1"/>
  <c r="H9" i="82"/>
  <c r="G44" i="85"/>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N100" i="85"/>
  <c r="M100" i="85"/>
  <c r="K100" i="85"/>
  <c r="J100" i="85" s="1"/>
  <c r="D100" i="85"/>
  <c r="M99" i="85"/>
  <c r="N99" i="85" s="1"/>
  <c r="K99" i="85"/>
  <c r="J99" i="85" s="1"/>
  <c r="D99" i="85"/>
  <c r="N98" i="85"/>
  <c r="M98" i="85"/>
  <c r="K98" i="85"/>
  <c r="J98" i="85" s="1"/>
  <c r="D98" i="85"/>
  <c r="M97" i="85"/>
  <c r="N97" i="85" s="1"/>
  <c r="K97" i="85"/>
  <c r="J97" i="85" s="1"/>
  <c r="D97" i="85"/>
  <c r="B97" i="85"/>
  <c r="M96" i="85"/>
  <c r="N96" i="85" s="1"/>
  <c r="K96" i="85"/>
  <c r="J96" i="85" s="1"/>
  <c r="D96" i="85"/>
  <c r="N95" i="85"/>
  <c r="M95" i="85"/>
  <c r="K95" i="85"/>
  <c r="J95" i="85"/>
  <c r="D95" i="85"/>
  <c r="B95" i="85"/>
  <c r="N94" i="85"/>
  <c r="M94" i="85"/>
  <c r="K94" i="85"/>
  <c r="J94" i="85" s="1"/>
  <c r="D94" i="85"/>
  <c r="E93" i="85" s="1"/>
  <c r="B91" i="85" s="1"/>
  <c r="M93" i="85"/>
  <c r="N93" i="85" s="1"/>
  <c r="K93" i="85"/>
  <c r="J93" i="85" s="1"/>
  <c r="F93" i="85"/>
  <c r="H95" i="85" s="1"/>
  <c r="D93" i="85"/>
  <c r="M90" i="85"/>
  <c r="N90" i="85" s="1"/>
  <c r="K90" i="85"/>
  <c r="J90" i="85" s="1"/>
  <c r="D90" i="85"/>
  <c r="B90" i="85"/>
  <c r="M89" i="85"/>
  <c r="N89" i="85" s="1"/>
  <c r="K89" i="85"/>
  <c r="J89" i="85" s="1"/>
  <c r="D89" i="85"/>
  <c r="N88" i="85"/>
  <c r="M88" i="85"/>
  <c r="K88" i="85"/>
  <c r="J88" i="85"/>
  <c r="H88" i="85"/>
  <c r="D88" i="85"/>
  <c r="B88" i="85"/>
  <c r="M87" i="85"/>
  <c r="N87" i="85" s="1"/>
  <c r="K87" i="85"/>
  <c r="J87" i="85" s="1"/>
  <c r="D87" i="85"/>
  <c r="B87" i="85"/>
  <c r="M86" i="85"/>
  <c r="N86" i="85" s="1"/>
  <c r="K86" i="85"/>
  <c r="J86" i="85" s="1"/>
  <c r="D86" i="85"/>
  <c r="B86" i="85"/>
  <c r="N85" i="85"/>
  <c r="M85" i="85"/>
  <c r="K85" i="85"/>
  <c r="J85" i="85" s="1"/>
  <c r="D85" i="85"/>
  <c r="B85" i="85"/>
  <c r="N84" i="85"/>
  <c r="M84" i="85"/>
  <c r="K84" i="85"/>
  <c r="J84" i="85"/>
  <c r="H84" i="85"/>
  <c r="D84" i="85"/>
  <c r="B84" i="85"/>
  <c r="M83" i="85"/>
  <c r="N83" i="85" s="1"/>
  <c r="K83" i="85"/>
  <c r="J83" i="85" s="1"/>
  <c r="F83" i="85"/>
  <c r="H83" i="85" s="1"/>
  <c r="D83" i="85"/>
  <c r="E83" i="85" s="1"/>
  <c r="B81" i="85" s="1"/>
  <c r="B83" i="85"/>
  <c r="M80" i="85"/>
  <c r="N80" i="85" s="1"/>
  <c r="K80" i="85"/>
  <c r="J80" i="85" s="1"/>
  <c r="D80" i="85"/>
  <c r="M79" i="85"/>
  <c r="N79" i="85" s="1"/>
  <c r="K79" i="85"/>
  <c r="J79" i="85"/>
  <c r="D79" i="85"/>
  <c r="N78" i="85"/>
  <c r="M78" i="85"/>
  <c r="K78" i="85"/>
  <c r="J78" i="85" s="1"/>
  <c r="D78" i="85"/>
  <c r="N77" i="85"/>
  <c r="M77" i="85"/>
  <c r="K77" i="85"/>
  <c r="J77" i="85" s="1"/>
  <c r="D77" i="85"/>
  <c r="N76" i="85"/>
  <c r="M76" i="85"/>
  <c r="K76" i="85"/>
  <c r="J76" i="85"/>
  <c r="D76" i="85"/>
  <c r="N75" i="85"/>
  <c r="M75" i="85"/>
  <c r="K75" i="85"/>
  <c r="J75" i="85" s="1"/>
  <c r="D75" i="85"/>
  <c r="B75" i="85"/>
  <c r="M74" i="85"/>
  <c r="N74" i="85" s="1"/>
  <c r="K74" i="85"/>
  <c r="J74" i="85" s="1"/>
  <c r="D74" i="85"/>
  <c r="B74" i="85"/>
  <c r="N73" i="85"/>
  <c r="M73" i="85"/>
  <c r="K73" i="85"/>
  <c r="J73" i="85" s="1"/>
  <c r="D73" i="85"/>
  <c r="M72" i="85"/>
  <c r="N72" i="85" s="1"/>
  <c r="K72" i="85"/>
  <c r="J72" i="85"/>
  <c r="F72" i="85"/>
  <c r="D72" i="85"/>
  <c r="E72" i="85" s="1"/>
  <c r="B70" i="85" s="1"/>
  <c r="B72" i="85"/>
  <c r="M69" i="85"/>
  <c r="N69" i="85" s="1"/>
  <c r="K69" i="85"/>
  <c r="J69" i="85" s="1"/>
  <c r="D69" i="85"/>
  <c r="N68" i="85"/>
  <c r="M68" i="85"/>
  <c r="K68" i="85"/>
  <c r="J68" i="85" s="1"/>
  <c r="D68" i="85"/>
  <c r="M67" i="85"/>
  <c r="N67" i="85" s="1"/>
  <c r="K67" i="85"/>
  <c r="J67" i="85"/>
  <c r="D67" i="85"/>
  <c r="M66" i="85"/>
  <c r="N66" i="85" s="1"/>
  <c r="K66" i="85"/>
  <c r="J66" i="85" s="1"/>
  <c r="D66" i="85"/>
  <c r="N65" i="85"/>
  <c r="M65" i="85"/>
  <c r="K65" i="85"/>
  <c r="J65" i="85" s="1"/>
  <c r="D65" i="85"/>
  <c r="B65" i="85"/>
  <c r="M64" i="85"/>
  <c r="N64" i="85" s="1"/>
  <c r="K64" i="85"/>
  <c r="J64" i="85"/>
  <c r="D64" i="85"/>
  <c r="M63" i="85"/>
  <c r="N63" i="85" s="1"/>
  <c r="K63" i="85"/>
  <c r="J63" i="85" s="1"/>
  <c r="D63" i="85"/>
  <c r="B63" i="85"/>
  <c r="M62" i="85"/>
  <c r="N62" i="85" s="1"/>
  <c r="K62" i="85"/>
  <c r="J62" i="85" s="1"/>
  <c r="D62" i="85"/>
  <c r="M61" i="85"/>
  <c r="N61" i="85" s="1"/>
  <c r="K61" i="85"/>
  <c r="J61" i="85" s="1"/>
  <c r="D61" i="85"/>
  <c r="M58" i="85"/>
  <c r="N58" i="85" s="1"/>
  <c r="K58" i="85"/>
  <c r="J58" i="85" s="1"/>
  <c r="D58" i="85"/>
  <c r="M57" i="85"/>
  <c r="N57" i="85" s="1"/>
  <c r="K57" i="85"/>
  <c r="J57" i="85" s="1"/>
  <c r="D57" i="85" s="1"/>
  <c r="N56" i="85"/>
  <c r="M56" i="85"/>
  <c r="K56" i="85"/>
  <c r="J56" i="85"/>
  <c r="D56" i="85"/>
  <c r="M55" i="85"/>
  <c r="N55" i="85" s="1"/>
  <c r="K55" i="85"/>
  <c r="J55" i="85" s="1"/>
  <c r="D55" i="85"/>
  <c r="M54" i="85"/>
  <c r="N54" i="85" s="1"/>
  <c r="K54" i="85"/>
  <c r="J54" i="85"/>
  <c r="D54" i="85"/>
  <c r="B54" i="85"/>
  <c r="M53" i="85"/>
  <c r="N53" i="85" s="1"/>
  <c r="K53" i="85"/>
  <c r="J53" i="85" s="1"/>
  <c r="D53" i="85"/>
  <c r="M52" i="85"/>
  <c r="N52" i="85" s="1"/>
  <c r="K52" i="85"/>
  <c r="J52" i="85" s="1"/>
  <c r="D52" i="85"/>
  <c r="B52" i="85"/>
  <c r="M51" i="85"/>
  <c r="N51" i="85" s="1"/>
  <c r="K51" i="85"/>
  <c r="D51" i="85" s="1"/>
  <c r="N50" i="85"/>
  <c r="M50" i="85"/>
  <c r="K50" i="85"/>
  <c r="J50" i="85"/>
  <c r="D50" i="85"/>
  <c r="B50" i="85"/>
  <c r="H42" i="85"/>
  <c r="H40" i="85"/>
  <c r="H39" i="85"/>
  <c r="H38" i="85"/>
  <c r="H37" i="85"/>
  <c r="Q32" i="85"/>
  <c r="O32" i="85"/>
  <c r="N32" i="85"/>
  <c r="M32" i="85"/>
  <c r="P29" i="85"/>
  <c r="P28" i="85"/>
  <c r="P27" i="85"/>
  <c r="P26" i="85"/>
  <c r="P25" i="85"/>
  <c r="J24" i="85"/>
  <c r="I24" i="85"/>
  <c r="G24" i="85"/>
  <c r="E44" i="85" s="1"/>
  <c r="E24" i="85"/>
  <c r="P32" i="85" s="1"/>
  <c r="O23" i="85"/>
  <c r="M23" i="85"/>
  <c r="I23" i="85"/>
  <c r="G23" i="85"/>
  <c r="M24" i="85" s="1"/>
  <c r="C23" i="85"/>
  <c r="C22" i="85"/>
  <c r="L21" i="85"/>
  <c r="C20" i="85"/>
  <c r="G17" i="85"/>
  <c r="C17" i="85"/>
  <c r="C13" i="85"/>
  <c r="N12" i="85"/>
  <c r="M11" i="85"/>
  <c r="E11" i="85"/>
  <c r="AI10" i="85"/>
  <c r="AH10" i="85"/>
  <c r="AE10" i="85"/>
  <c r="AA10" i="85"/>
  <c r="Z10" i="85"/>
  <c r="Y10" i="85"/>
  <c r="C10" i="85"/>
  <c r="C11" i="85" s="1"/>
  <c r="E8" i="85" s="1"/>
  <c r="AJ9" i="85"/>
  <c r="AJ10" i="85" s="1"/>
  <c r="AI9" i="85"/>
  <c r="AH9" i="85"/>
  <c r="AG9" i="85"/>
  <c r="AG10" i="85" s="1"/>
  <c r="AF9" i="85"/>
  <c r="AF10" i="85" s="1"/>
  <c r="AE9" i="85"/>
  <c r="AD9" i="85"/>
  <c r="AD10" i="85" s="1"/>
  <c r="AC9" i="85"/>
  <c r="AC10" i="85" s="1"/>
  <c r="AB9" i="85"/>
  <c r="AB10" i="85" s="1"/>
  <c r="AA9" i="85"/>
  <c r="Z9" i="85"/>
  <c r="C9" i="85"/>
  <c r="C7" i="85"/>
  <c r="N6" i="85"/>
  <c r="S5" i="85"/>
  <c r="N4" i="85"/>
  <c r="M4" i="85"/>
  <c r="S3" i="85"/>
  <c r="G3" i="85"/>
  <c r="Z7" i="85" s="1"/>
  <c r="N2" i="85"/>
  <c r="M2" i="85"/>
  <c r="I2" i="85"/>
  <c r="N11" i="85" s="1"/>
  <c r="G2" i="85"/>
  <c r="F37" i="85" s="1"/>
  <c r="N1" i="85"/>
  <c r="M1" i="85"/>
  <c r="G41" i="84"/>
  <c r="F40" i="84"/>
  <c r="C40" i="84"/>
  <c r="F38" i="84"/>
  <c r="E37" i="84"/>
  <c r="F36" i="84"/>
  <c r="F35" i="84"/>
  <c r="F30" i="84"/>
  <c r="F48" i="84" s="1"/>
  <c r="C30" i="84"/>
  <c r="G22" i="84"/>
  <c r="C21" i="84"/>
  <c r="F39" i="84"/>
  <c r="E19" i="84"/>
  <c r="C19" i="84"/>
  <c r="E10" i="84"/>
  <c r="E9" i="84"/>
  <c r="F7" i="84"/>
  <c r="H1" i="84"/>
  <c r="G1" i="84"/>
  <c r="I5" i="81"/>
  <c r="I47" i="33"/>
  <c r="G47" i="33"/>
  <c r="E47" i="33"/>
  <c r="I5" i="33"/>
  <c r="G5" i="33"/>
  <c r="I33" i="33"/>
  <c r="G33" i="33"/>
  <c r="E33" i="33"/>
  <c r="N7" i="1"/>
  <c r="N6" i="1"/>
  <c r="N20" i="1"/>
  <c r="K13" i="3"/>
  <c r="G20" i="6" s="1"/>
  <c r="I3" i="82" s="1"/>
  <c r="I13" i="3"/>
  <c r="F19" i="6" s="1"/>
  <c r="D33" i="85" s="1"/>
  <c r="E2" i="84"/>
  <c r="C36" i="84"/>
  <c r="C30" i="36" l="1"/>
  <c r="D33" i="43"/>
  <c r="C33" i="33"/>
  <c r="H26" i="85"/>
  <c r="D41" i="85"/>
  <c r="H41" i="85" s="1"/>
  <c r="C44" i="85"/>
  <c r="D21" i="85"/>
  <c r="N3" i="85"/>
  <c r="N5" i="85"/>
  <c r="M7" i="85"/>
  <c r="M12" i="85"/>
  <c r="E21" i="85"/>
  <c r="X7" i="85"/>
  <c r="G18" i="85"/>
  <c r="E17" i="85" s="1"/>
  <c r="J21" i="85"/>
  <c r="F61" i="85"/>
  <c r="I18" i="85"/>
  <c r="H80" i="85"/>
  <c r="H74" i="85"/>
  <c r="H73" i="85"/>
  <c r="H75" i="85"/>
  <c r="H94" i="85"/>
  <c r="H97" i="85"/>
  <c r="C48" i="84"/>
  <c r="H116" i="85"/>
  <c r="O21" i="85"/>
  <c r="K21" i="85"/>
  <c r="S2" i="85"/>
  <c r="J26" i="85"/>
  <c r="E26" i="85"/>
  <c r="S4" i="85"/>
  <c r="S6" i="85"/>
  <c r="N7" i="85"/>
  <c r="M8" i="85"/>
  <c r="E9" i="85"/>
  <c r="E10" i="85"/>
  <c r="H21" i="85"/>
  <c r="M21" i="85"/>
  <c r="C24" i="85"/>
  <c r="F26" i="85"/>
  <c r="C27" i="85"/>
  <c r="F38" i="85"/>
  <c r="F39" i="85"/>
  <c r="E50" i="85"/>
  <c r="B48" i="85" s="1"/>
  <c r="E61" i="85"/>
  <c r="B59" i="85" s="1"/>
  <c r="H72" i="85"/>
  <c r="H77" i="85"/>
  <c r="H79" i="85"/>
  <c r="H85" i="85"/>
  <c r="H89" i="85"/>
  <c r="H86" i="85"/>
  <c r="H87" i="85"/>
  <c r="H90" i="85"/>
  <c r="M10" i="85"/>
  <c r="N9" i="85"/>
  <c r="M6" i="85"/>
  <c r="M3" i="85"/>
  <c r="C6" i="85" s="1"/>
  <c r="M5" i="85"/>
  <c r="N8" i="85"/>
  <c r="M9" i="85"/>
  <c r="N10" i="85"/>
  <c r="C21" i="85"/>
  <c r="I21" i="85"/>
  <c r="N21" i="85"/>
  <c r="G26" i="85"/>
  <c r="F40" i="85"/>
  <c r="F41" i="85"/>
  <c r="F50" i="85"/>
  <c r="J51" i="85"/>
  <c r="H69" i="85"/>
  <c r="H63" i="85"/>
  <c r="H62" i="85"/>
  <c r="H66" i="85"/>
  <c r="H76" i="85"/>
  <c r="F42" i="85"/>
  <c r="H78" i="85"/>
  <c r="H101" i="85"/>
  <c r="H98" i="85"/>
  <c r="H99" i="85"/>
  <c r="H96" i="85"/>
  <c r="H93" i="85"/>
  <c r="H100" i="85"/>
  <c r="B116" i="85"/>
  <c r="D9" i="84"/>
  <c r="D1" i="85" l="1"/>
  <c r="C28" i="85"/>
  <c r="H64" i="85"/>
  <c r="H68" i="85"/>
  <c r="H65" i="85"/>
  <c r="H61" i="85"/>
  <c r="H67" i="85"/>
  <c r="C9" i="84"/>
  <c r="F45" i="84"/>
  <c r="C29" i="84"/>
  <c r="D27" i="84" s="1"/>
  <c r="C47" i="84"/>
  <c r="D45" i="84" s="1"/>
  <c r="I122" i="85"/>
  <c r="J122" i="85" s="1"/>
  <c r="K122" i="85" s="1"/>
  <c r="L122" i="85" s="1"/>
  <c r="M122" i="85" s="1"/>
  <c r="I121" i="85"/>
  <c r="J121" i="85" s="1"/>
  <c r="K121" i="85" s="1"/>
  <c r="L121" i="85" s="1"/>
  <c r="M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G121" i="85"/>
  <c r="H121" i="85" s="1"/>
  <c r="B120" i="85"/>
  <c r="C120" i="85" s="1"/>
  <c r="B121" i="85"/>
  <c r="C121" i="85" s="1"/>
  <c r="B122" i="85"/>
  <c r="C122" i="85" s="1"/>
  <c r="B118" i="85"/>
  <c r="C118" i="85" s="1"/>
  <c r="B119" i="85"/>
  <c r="C119" i="85" s="1"/>
  <c r="H58" i="85"/>
  <c r="H52" i="85"/>
  <c r="H56" i="85"/>
  <c r="H54" i="85"/>
  <c r="H50" i="85"/>
  <c r="H57" i="85"/>
  <c r="H55" i="85"/>
  <c r="H51" i="85"/>
  <c r="H53" i="85"/>
  <c r="D5" i="85"/>
  <c r="C5" i="85"/>
  <c r="D26" i="85"/>
  <c r="C25" i="85" s="1"/>
  <c r="G21" i="85"/>
  <c r="C38" i="85" l="1"/>
  <c r="C37" i="85"/>
  <c r="C42" i="85"/>
  <c r="C41" i="85"/>
  <c r="C6" i="84" s="1"/>
  <c r="C40" i="85"/>
  <c r="C39" i="85"/>
  <c r="D116" i="85"/>
  <c r="T12" i="85"/>
  <c r="V12" i="85" s="1"/>
  <c r="T11" i="85"/>
  <c r="V11" i="85" s="1"/>
  <c r="T7" i="85"/>
  <c r="V7" i="85" s="1"/>
  <c r="T16" i="85"/>
  <c r="V16" i="85" s="1"/>
  <c r="T13" i="85"/>
  <c r="V13" i="85" s="1"/>
  <c r="T10" i="85"/>
  <c r="V10" i="85" s="1"/>
  <c r="T9" i="85"/>
  <c r="V9" i="85" s="1"/>
  <c r="T8" i="85"/>
  <c r="V8" i="85" s="1"/>
  <c r="C33" i="85"/>
  <c r="T15" i="85"/>
  <c r="V15" i="85" s="1"/>
  <c r="T6" i="85"/>
  <c r="V6" i="85" s="1"/>
  <c r="T4" i="85"/>
  <c r="V4" i="85" s="1"/>
  <c r="T2" i="85"/>
  <c r="V2" i="85" s="1"/>
  <c r="T5" i="85"/>
  <c r="V5" i="85" s="1"/>
  <c r="T3" i="85"/>
  <c r="V3" i="85" s="1"/>
  <c r="T14" i="85"/>
  <c r="V14" i="85" s="1"/>
  <c r="E33" i="85" l="1"/>
  <c r="C34" i="85"/>
  <c r="E34" i="85" s="1"/>
  <c r="G40" i="85"/>
  <c r="I40" i="85" s="1"/>
  <c r="E40" i="85"/>
  <c r="G38" i="85"/>
  <c r="I38" i="85" s="1"/>
  <c r="E38" i="85"/>
  <c r="E41" i="85"/>
  <c r="G41" i="85"/>
  <c r="I41" i="85" s="1"/>
  <c r="G42" i="85"/>
  <c r="I42" i="85" s="1"/>
  <c r="E42" i="85"/>
  <c r="E39" i="85"/>
  <c r="G39" i="85"/>
  <c r="I39" i="85" s="1"/>
  <c r="G37" i="85"/>
  <c r="I37" i="85" s="1"/>
  <c r="E37" i="85"/>
  <c r="C31" i="85" l="1"/>
  <c r="C7" i="84"/>
  <c r="C30" i="85"/>
  <c r="B2" i="85" s="1"/>
  <c r="B3" i="85" s="1"/>
  <c r="D3" i="4" l="1"/>
  <c r="C36" i="82"/>
  <c r="E28" i="82"/>
  <c r="E25" i="82"/>
  <c r="E24" i="82"/>
  <c r="C22" i="82"/>
  <c r="C21" i="82"/>
  <c r="E19" i="82" s="1"/>
  <c r="F19" i="82"/>
  <c r="I17" i="82"/>
  <c r="F16" i="82"/>
  <c r="E15" i="82"/>
  <c r="C15" i="82"/>
  <c r="I11" i="82"/>
  <c r="C11" i="82"/>
  <c r="M10" i="82"/>
  <c r="H10" i="82"/>
  <c r="P9" i="82"/>
  <c r="O10" i="82" s="1"/>
  <c r="M4" i="82"/>
  <c r="C8" i="82"/>
  <c r="C36" i="81"/>
  <c r="E28" i="81"/>
  <c r="E25" i="81"/>
  <c r="E24" i="81"/>
  <c r="C22" i="81"/>
  <c r="C21" i="81"/>
  <c r="E19" i="81" s="1"/>
  <c r="F19" i="81"/>
  <c r="I17" i="81"/>
  <c r="F16" i="81"/>
  <c r="E15" i="81"/>
  <c r="C15" i="81"/>
  <c r="H12" i="81"/>
  <c r="I11" i="81"/>
  <c r="C11" i="81" s="1"/>
  <c r="M10" i="81"/>
  <c r="H10" i="81"/>
  <c r="P9" i="81"/>
  <c r="O10" i="81" s="1"/>
  <c r="I3" i="81"/>
  <c r="C8" i="81" s="1"/>
  <c r="M2" i="81"/>
  <c r="M4" i="81" s="1"/>
  <c r="H54" i="80"/>
  <c r="B14" i="74" s="1"/>
  <c r="L38" i="80"/>
  <c r="L37" i="80"/>
  <c r="S36" i="80"/>
  <c r="T36" i="80" s="1"/>
  <c r="L36" i="80"/>
  <c r="S35" i="80"/>
  <c r="T35" i="80" s="1"/>
  <c r="L35" i="80"/>
  <c r="L34" i="80"/>
  <c r="L33" i="80"/>
  <c r="L32" i="80"/>
  <c r="T31" i="80"/>
  <c r="L31" i="80"/>
  <c r="T30" i="80"/>
  <c r="L30" i="80"/>
  <c r="T29" i="80"/>
  <c r="L29" i="80"/>
  <c r="T28" i="80"/>
  <c r="L28" i="80"/>
  <c r="T27" i="80"/>
  <c r="L27" i="80"/>
  <c r="T26" i="80"/>
  <c r="L26" i="80"/>
  <c r="K26" i="80"/>
  <c r="K27" i="80" s="1"/>
  <c r="K28" i="80" s="1"/>
  <c r="T25" i="80"/>
  <c r="L25" i="80"/>
  <c r="T24" i="80"/>
  <c r="L24" i="80"/>
  <c r="T23" i="80"/>
  <c r="L23" i="80"/>
  <c r="T22" i="80"/>
  <c r="L22" i="80"/>
  <c r="L21" i="80"/>
  <c r="T20" i="80"/>
  <c r="K36" i="80" s="1"/>
  <c r="L20" i="80"/>
  <c r="T19" i="80"/>
  <c r="K16" i="80" s="1"/>
  <c r="T18" i="80"/>
  <c r="K11" i="80" s="1"/>
  <c r="T17" i="80"/>
  <c r="K10" i="80" s="1"/>
  <c r="T16" i="80"/>
  <c r="K9" i="80" s="1"/>
  <c r="K15" i="80"/>
  <c r="T14" i="80"/>
  <c r="K6" i="80" s="1"/>
  <c r="K14" i="80"/>
  <c r="L13" i="80"/>
  <c r="L18" i="80" s="1"/>
  <c r="K13" i="80"/>
  <c r="K12" i="80"/>
  <c r="L4" i="80"/>
  <c r="L9" i="80" s="1"/>
  <c r="I29" i="79"/>
  <c r="I28" i="79"/>
  <c r="N28" i="79"/>
  <c r="M28" i="79"/>
  <c r="P28" i="79" s="1"/>
  <c r="L28" i="79"/>
  <c r="N29" i="79"/>
  <c r="M29" i="79"/>
  <c r="L29" i="79"/>
  <c r="O6" i="79"/>
  <c r="N6" i="79"/>
  <c r="M6" i="79"/>
  <c r="P6" i="79" s="1"/>
  <c r="L6" i="79"/>
  <c r="K6" i="79"/>
  <c r="O7" i="79"/>
  <c r="N7" i="79"/>
  <c r="M7" i="79"/>
  <c r="P7" i="79" s="1"/>
  <c r="L7" i="79"/>
  <c r="K7" i="79"/>
  <c r="K38" i="80" l="1"/>
  <c r="L6" i="80"/>
  <c r="K5" i="80"/>
  <c r="L10" i="80"/>
  <c r="C10" i="81"/>
  <c r="C9" i="81"/>
  <c r="T37" i="80"/>
  <c r="C10" i="82"/>
  <c r="C9" i="82"/>
  <c r="C12" i="82"/>
  <c r="C12" i="81"/>
  <c r="C13" i="81" s="1"/>
  <c r="K30" i="80"/>
  <c r="K31" i="80" s="1"/>
  <c r="K32" i="80" s="1"/>
  <c r="K29" i="80"/>
  <c r="K17" i="80"/>
  <c r="K20" i="80"/>
  <c r="K18" i="80"/>
  <c r="K25" i="80"/>
  <c r="K24" i="80"/>
  <c r="K23" i="80"/>
  <c r="K22" i="80"/>
  <c r="K21" i="80"/>
  <c r="K19" i="80"/>
  <c r="L7" i="80"/>
  <c r="K8" i="80"/>
  <c r="L11" i="80"/>
  <c r="L15" i="80"/>
  <c r="L17" i="80"/>
  <c r="L19" i="80"/>
  <c r="T32" i="80"/>
  <c r="K37" i="80"/>
  <c r="L8" i="80"/>
  <c r="L5" i="80"/>
  <c r="L14" i="80"/>
  <c r="L16" i="80"/>
  <c r="P29" i="79"/>
  <c r="C13" i="82" l="1"/>
  <c r="C14" i="82" s="1"/>
  <c r="C14" i="81"/>
  <c r="G14" i="73"/>
  <c r="F14" i="73"/>
  <c r="E14" i="73"/>
  <c r="C20" i="82" l="1"/>
  <c r="C19" i="82" s="1"/>
  <c r="C20" i="81"/>
  <c r="C19" i="81" s="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D37" i="79" s="1"/>
  <c r="AB36" i="79"/>
  <c r="AA36" i="79"/>
  <c r="Z36" i="79"/>
  <c r="N36" i="79"/>
  <c r="U36" i="79" s="1"/>
  <c r="M36" i="79"/>
  <c r="L36" i="79"/>
  <c r="S36" i="79" s="1"/>
  <c r="I36" i="79"/>
  <c r="AD36" i="79" s="1"/>
  <c r="AB35" i="79"/>
  <c r="AA35" i="79"/>
  <c r="Z35" i="79"/>
  <c r="N35" i="79"/>
  <c r="U35" i="79" s="1"/>
  <c r="M35" i="79"/>
  <c r="L35" i="79"/>
  <c r="S35" i="79" s="1"/>
  <c r="I35" i="79"/>
  <c r="AB34" i="79"/>
  <c r="AA34" i="79"/>
  <c r="Z34" i="79"/>
  <c r="N34" i="79"/>
  <c r="M34" i="79"/>
  <c r="T34" i="79" s="1"/>
  <c r="L34" i="79"/>
  <c r="I34" i="79"/>
  <c r="AB33" i="79"/>
  <c r="AA33" i="79"/>
  <c r="Z33" i="79"/>
  <c r="N33" i="79"/>
  <c r="M33" i="79"/>
  <c r="L33" i="79"/>
  <c r="S28" i="79" s="1"/>
  <c r="I33" i="79"/>
  <c r="AB27" i="79"/>
  <c r="AA27" i="79"/>
  <c r="AA25" i="79" s="1"/>
  <c r="AD25" i="79" s="1"/>
  <c r="Z27" i="79"/>
  <c r="N27" i="79"/>
  <c r="M27" i="79"/>
  <c r="T25" i="79" s="1"/>
  <c r="W25" i="79" s="1"/>
  <c r="L27" i="79"/>
  <c r="I27" i="79"/>
  <c r="AD27" i="79" s="1"/>
  <c r="N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S12" i="79" s="1"/>
  <c r="K12" i="79"/>
  <c r="I12" i="79"/>
  <c r="AC11" i="79"/>
  <c r="AB11" i="79"/>
  <c r="AA11" i="79"/>
  <c r="AD11" i="79" s="1"/>
  <c r="Z11" i="79"/>
  <c r="Y11" i="79"/>
  <c r="O11" i="79"/>
  <c r="N11" i="79"/>
  <c r="M11" i="79"/>
  <c r="L11" i="79"/>
  <c r="K11" i="79"/>
  <c r="I11" i="79"/>
  <c r="AC5" i="79"/>
  <c r="AB5" i="79"/>
  <c r="AA5" i="79"/>
  <c r="AD5" i="79" s="1"/>
  <c r="Z5" i="79"/>
  <c r="Y5" i="79"/>
  <c r="O5" i="79"/>
  <c r="N5" i="79"/>
  <c r="N3" i="79" s="1"/>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AB3" i="79"/>
  <c r="T12" i="79"/>
  <c r="W12" i="79" s="1"/>
  <c r="U13" i="79"/>
  <c r="R14" i="79"/>
  <c r="V14" i="79"/>
  <c r="R15" i="79"/>
  <c r="V15" i="79"/>
  <c r="T28" i="79"/>
  <c r="W28" i="79" s="1"/>
  <c r="U34" i="79"/>
  <c r="AD35" i="79"/>
  <c r="S3" i="79"/>
  <c r="AC3" i="79"/>
  <c r="U12" i="79"/>
  <c r="R13" i="79"/>
  <c r="V13" i="79"/>
  <c r="L25" i="79"/>
  <c r="U25" i="79"/>
  <c r="T27" i="79"/>
  <c r="W27" i="79" s="1"/>
  <c r="U28" i="79"/>
  <c r="AD34" i="79"/>
  <c r="U37" i="79"/>
  <c r="AD38" i="79"/>
  <c r="Y3" i="79"/>
  <c r="V3" i="79"/>
  <c r="Z3" i="79"/>
  <c r="U3" i="79"/>
  <c r="R12" i="79"/>
  <c r="V12" i="79"/>
  <c r="S13" i="79"/>
  <c r="T14" i="79"/>
  <c r="W14" i="79" s="1"/>
  <c r="M25" i="79"/>
  <c r="P25" i="79" s="1"/>
  <c r="S38" i="79"/>
  <c r="S37" i="79"/>
  <c r="S27" i="79"/>
  <c r="M3" i="79"/>
  <c r="P3" i="79" s="1"/>
  <c r="T3" i="79"/>
  <c r="W3" i="79" s="1"/>
  <c r="U27" i="79"/>
  <c r="AD33" i="79"/>
  <c r="T32" i="79"/>
  <c r="W32" i="79" s="1"/>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D7" i="77" s="1"/>
  <c r="C26" i="77" s="1"/>
  <c r="R9" i="77"/>
  <c r="D9" i="77"/>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E88" i="71"/>
  <c r="E87" i="71" s="1"/>
  <c r="E86" i="71" s="1"/>
  <c r="C88" i="71"/>
  <c r="D88" i="71"/>
  <c r="B88" i="71"/>
  <c r="F86" i="71"/>
  <c r="B87" i="71"/>
  <c r="B86" i="71" s="1"/>
  <c r="D85" i="71"/>
  <c r="F84" i="71"/>
  <c r="F83" i="71" s="1"/>
  <c r="E84" i="71"/>
  <c r="E83" i="71" s="1"/>
  <c r="E82" i="71" s="1"/>
  <c r="C84" i="71"/>
  <c r="D84" i="71"/>
  <c r="B84" i="71"/>
  <c r="F82" i="71"/>
  <c r="B83" i="71"/>
  <c r="B82" i="71" s="1"/>
  <c r="D81" i="71"/>
  <c r="Q80" i="71"/>
  <c r="P80" i="71"/>
  <c r="O80" i="71"/>
  <c r="N80" i="71"/>
  <c r="F80" i="71"/>
  <c r="V80" i="71"/>
  <c r="E80" i="71"/>
  <c r="U80" i="71"/>
  <c r="C80" i="71"/>
  <c r="D80" i="71" s="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Q66" i="71" s="1"/>
  <c r="V68" i="71"/>
  <c r="E68" i="71"/>
  <c r="P68" i="71" s="1"/>
  <c r="C68" i="71"/>
  <c r="B68" i="71"/>
  <c r="B67" i="71" s="1"/>
  <c r="S68" i="71"/>
  <c r="D65" i="71"/>
  <c r="Q64" i="71"/>
  <c r="P64" i="71"/>
  <c r="O64" i="71"/>
  <c r="N64" i="71"/>
  <c r="Q63" i="71"/>
  <c r="P63" i="71"/>
  <c r="O63" i="71"/>
  <c r="N63" i="71"/>
  <c r="Q62" i="71"/>
  <c r="P62" i="71"/>
  <c r="O62" i="71"/>
  <c r="N62" i="71"/>
  <c r="Q61" i="71"/>
  <c r="F62" i="71"/>
  <c r="F63" i="71"/>
  <c r="F64" i="71" s="1"/>
  <c r="V64" i="71" s="1"/>
  <c r="P61" i="71"/>
  <c r="E62" i="71"/>
  <c r="E63" i="71" s="1"/>
  <c r="E64" i="71" s="1"/>
  <c r="U64" i="71" s="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F55" i="71" s="1"/>
  <c r="F56" i="71" s="1"/>
  <c r="V56" i="71" s="1"/>
  <c r="P54" i="71"/>
  <c r="O54" i="71"/>
  <c r="N54" i="71"/>
  <c r="C54" i="71"/>
  <c r="Q53" i="71"/>
  <c r="F54" i="71"/>
  <c r="P53" i="71"/>
  <c r="E54" i="71"/>
  <c r="E55" i="71" s="1"/>
  <c r="O53" i="7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C43" i="71" s="1"/>
  <c r="C44" i="71" s="1"/>
  <c r="N41" i="71"/>
  <c r="B42" i="71"/>
  <c r="B43" i="71"/>
  <c r="B44" i="71" s="1"/>
  <c r="S44" i="71" s="1"/>
  <c r="D41" i="71"/>
  <c r="Q40" i="71"/>
  <c r="P40" i="71"/>
  <c r="O40" i="71"/>
  <c r="N40" i="71"/>
  <c r="AB39" i="71"/>
  <c r="Q39" i="71"/>
  <c r="P39" i="71"/>
  <c r="AA39" i="71"/>
  <c r="O39" i="71"/>
  <c r="N39" i="71"/>
  <c r="X39" i="71"/>
  <c r="Q38" i="71"/>
  <c r="AB38" i="71"/>
  <c r="P38" i="71"/>
  <c r="O38" i="71"/>
  <c r="Y38" i="71" s="1"/>
  <c r="Z38" i="71" s="1"/>
  <c r="N38" i="71"/>
  <c r="Q37" i="71"/>
  <c r="P37" i="71"/>
  <c r="O37" i="71"/>
  <c r="N37" i="71"/>
  <c r="D37" i="71"/>
  <c r="Q36" i="71"/>
  <c r="P36" i="71"/>
  <c r="O36" i="71"/>
  <c r="N36" i="71"/>
  <c r="Q35" i="71"/>
  <c r="AB35" i="71" s="1"/>
  <c r="P35" i="71"/>
  <c r="O35" i="71"/>
  <c r="Y34" i="71" s="1"/>
  <c r="Z34" i="71" s="1"/>
  <c r="Y35" i="71"/>
  <c r="Z35" i="71" s="1"/>
  <c r="N35" i="71"/>
  <c r="X33" i="71" s="1"/>
  <c r="Q34" i="71"/>
  <c r="P34" i="71"/>
  <c r="O34" i="71"/>
  <c r="N34" i="71"/>
  <c r="F35" i="71"/>
  <c r="F36" i="71" s="1"/>
  <c r="V36" i="71" s="1"/>
  <c r="Q33" i="71"/>
  <c r="F34" i="71" s="1"/>
  <c r="P33" i="71"/>
  <c r="O33" i="71"/>
  <c r="N33" i="71"/>
  <c r="D33" i="71"/>
  <c r="Q32" i="71"/>
  <c r="AB32" i="71"/>
  <c r="P32" i="71"/>
  <c r="O32" i="71"/>
  <c r="N32" i="71"/>
  <c r="Q31" i="71"/>
  <c r="AB31" i="71"/>
  <c r="P31" i="71"/>
  <c r="AA31" i="71" s="1"/>
  <c r="O31" i="71"/>
  <c r="N31" i="71"/>
  <c r="Q30" i="71"/>
  <c r="P30" i="71"/>
  <c r="O30" i="71"/>
  <c r="N30" i="71"/>
  <c r="X30" i="71" s="1"/>
  <c r="F30" i="71"/>
  <c r="F31" i="71" s="1"/>
  <c r="F32" i="71" s="1"/>
  <c r="V32" i="71" s="1"/>
  <c r="Q29" i="71"/>
  <c r="P29" i="71"/>
  <c r="O29" i="71"/>
  <c r="N29" i="71"/>
  <c r="D29" i="71"/>
  <c r="O28" i="71"/>
  <c r="N28" i="71"/>
  <c r="B30" i="71"/>
  <c r="X29" i="71"/>
  <c r="E30" i="71"/>
  <c r="E31" i="71" s="1"/>
  <c r="E32" i="71" s="1"/>
  <c r="U32" i="71" s="1"/>
  <c r="B34" i="71"/>
  <c r="B35" i="71"/>
  <c r="B36" i="71"/>
  <c r="S36" i="71"/>
  <c r="E38" i="71"/>
  <c r="E39" i="71"/>
  <c r="E40" i="71" s="1"/>
  <c r="U40" i="71" s="1"/>
  <c r="AA37" i="71"/>
  <c r="N68" i="71"/>
  <c r="C30" i="71"/>
  <c r="Y29" i="71"/>
  <c r="Z29" i="71" s="1"/>
  <c r="X31" i="71"/>
  <c r="AA32" i="71"/>
  <c r="AB33" i="71"/>
  <c r="X35" i="71"/>
  <c r="AA35" i="71"/>
  <c r="C38" i="71"/>
  <c r="D38" i="71" s="1"/>
  <c r="Y37" i="71"/>
  <c r="Z37" i="71" s="1"/>
  <c r="X38" i="71"/>
  <c r="AA38" i="71"/>
  <c r="C28" i="71"/>
  <c r="C27" i="71" s="1"/>
  <c r="B28" i="71"/>
  <c r="B27" i="71"/>
  <c r="B26" i="71" s="1"/>
  <c r="X27" i="71"/>
  <c r="X28" i="71"/>
  <c r="C31" i="71"/>
  <c r="D30" i="71"/>
  <c r="C39" i="71"/>
  <c r="D39" i="71" s="1"/>
  <c r="C47" i="71"/>
  <c r="D47" i="71"/>
  <c r="C51" i="71"/>
  <c r="D50" i="71"/>
  <c r="P28" i="71"/>
  <c r="E56" i="71"/>
  <c r="U56" i="71" s="1"/>
  <c r="Q65" i="71"/>
  <c r="U68" i="71"/>
  <c r="E67" i="71"/>
  <c r="Q28" i="71"/>
  <c r="AB28" i="71" s="1"/>
  <c r="C55" i="71"/>
  <c r="D55" i="71" s="1"/>
  <c r="D54" i="71"/>
  <c r="C59" i="71"/>
  <c r="D58" i="71"/>
  <c r="C63" i="71"/>
  <c r="D62" i="71"/>
  <c r="Q67" i="71"/>
  <c r="T68" i="71"/>
  <c r="O68" i="71"/>
  <c r="D68" i="71"/>
  <c r="C67" i="71"/>
  <c r="O67" i="71" s="1"/>
  <c r="Q68" i="71"/>
  <c r="C71" i="71"/>
  <c r="E71" i="71"/>
  <c r="E70" i="71"/>
  <c r="D72" i="71"/>
  <c r="E75" i="71"/>
  <c r="E74" i="71"/>
  <c r="E79" i="71"/>
  <c r="E78" i="71"/>
  <c r="C83" i="71"/>
  <c r="D83" i="71" s="1"/>
  <c r="C87" i="71"/>
  <c r="D87" i="71" s="1"/>
  <c r="T28" i="71"/>
  <c r="S28" i="71"/>
  <c r="F28" i="71"/>
  <c r="F27" i="71"/>
  <c r="F26" i="71" s="1"/>
  <c r="AB26" i="71"/>
  <c r="AB27" i="71"/>
  <c r="AA26" i="71"/>
  <c r="AA27" i="71"/>
  <c r="C66" i="71"/>
  <c r="D66" i="71" s="1"/>
  <c r="C64" i="71"/>
  <c r="T64" i="71" s="1"/>
  <c r="D63" i="71"/>
  <c r="C82" i="71"/>
  <c r="D82" i="71"/>
  <c r="D71" i="71"/>
  <c r="C70" i="71"/>
  <c r="D70" i="71" s="1"/>
  <c r="C60" i="71"/>
  <c r="D59" i="71"/>
  <c r="C56" i="71"/>
  <c r="T56" i="71" s="1"/>
  <c r="P67" i="71"/>
  <c r="E66" i="71"/>
  <c r="P65" i="71" s="1"/>
  <c r="C52" i="71"/>
  <c r="T52" i="71" s="1"/>
  <c r="D51" i="71"/>
  <c r="D43" i="71"/>
  <c r="C40" i="71"/>
  <c r="T40" i="71" s="1"/>
  <c r="C32" i="71"/>
  <c r="T32" i="71" s="1"/>
  <c r="D31" i="71"/>
  <c r="P66" i="71"/>
  <c r="O66" i="71"/>
  <c r="D32" i="71"/>
  <c r="D40" i="71"/>
  <c r="D52"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AA18" i="35"/>
  <c r="C18" i="35"/>
  <c r="Q21" i="37"/>
  <c r="Z21" i="37" s="1"/>
  <c r="D77" i="37"/>
  <c r="E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77" i="43" s="1"/>
  <c r="B68" i="43"/>
  <c r="C29" i="39"/>
  <c r="S25" i="40"/>
  <c r="U18" i="36"/>
  <c r="S21" i="34"/>
  <c r="F94" i="40"/>
  <c r="G94" i="40" s="1"/>
  <c r="H25" i="40"/>
  <c r="U25" i="40" s="1"/>
  <c r="J25" i="40"/>
  <c r="H29" i="39"/>
  <c r="AB29" i="39" s="1"/>
  <c r="J29" i="39"/>
  <c r="AC29" i="39" s="1"/>
  <c r="J18" i="36"/>
  <c r="AC18" i="36" s="1"/>
  <c r="F68" i="35"/>
  <c r="H18" i="35"/>
  <c r="U18" i="35" s="1"/>
  <c r="S18" i="35"/>
  <c r="G68" i="35"/>
  <c r="J18" i="35"/>
  <c r="F77" i="37"/>
  <c r="G77" i="37" s="1"/>
  <c r="H21" i="37"/>
  <c r="F21" i="37"/>
  <c r="AA21" i="37" s="1"/>
  <c r="F84" i="34"/>
  <c r="H21" i="34"/>
  <c r="AB21" i="34" s="1"/>
  <c r="H21" i="33"/>
  <c r="U21" i="33" s="1"/>
  <c r="F21" i="33"/>
  <c r="E83" i="21"/>
  <c r="F83" i="21" s="1"/>
  <c r="G83" i="21" s="1"/>
  <c r="H1" i="69"/>
  <c r="AC25" i="40"/>
  <c r="W25" i="40"/>
  <c r="U29" i="39"/>
  <c r="W29" i="39"/>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AZ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BC49" i="3"/>
  <c r="BB49" i="3"/>
  <c r="AZ49" i="3"/>
  <c r="AX49" i="3"/>
  <c r="AW49" i="3"/>
  <c r="AV49" i="3"/>
  <c r="AC49" i="3"/>
  <c r="H49" i="3"/>
  <c r="BT48" i="3"/>
  <c r="BS48" i="3"/>
  <c r="BR48" i="3"/>
  <c r="BQ48" i="3"/>
  <c r="BP48" i="3"/>
  <c r="BO48" i="3"/>
  <c r="BL48" i="3" s="1"/>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L20" i="3" s="1"/>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A290" i="3" s="1"/>
  <c r="BB290" i="3"/>
  <c r="AZ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A462" i="3" s="1"/>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L565" i="3" s="1"/>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c r="D114" i="34"/>
  <c r="E114" i="34" s="1"/>
  <c r="F38" i="34"/>
  <c r="D112" i="34"/>
  <c r="E112" i="34"/>
  <c r="F112" i="34"/>
  <c r="G112" i="34" s="1"/>
  <c r="H112" i="34" s="1"/>
  <c r="I112" i="34"/>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c r="B120" i="40"/>
  <c r="B118" i="40"/>
  <c r="H39" i="40" s="1"/>
  <c r="J39" i="40"/>
  <c r="B116" i="40"/>
  <c r="D115" i="40"/>
  <c r="E115" i="40"/>
  <c r="F115" i="40" s="1"/>
  <c r="G115" i="40" s="1"/>
  <c r="H115" i="40"/>
  <c r="I115" i="40"/>
  <c r="J115" i="40" s="1"/>
  <c r="K115" i="40" s="1"/>
  <c r="L115" i="40" s="1"/>
  <c r="M115" i="40" s="1"/>
  <c r="D113" i="40"/>
  <c r="E113" i="40"/>
  <c r="F113" i="40"/>
  <c r="G113" i="40"/>
  <c r="H113" i="40" s="1"/>
  <c r="I113" i="40" s="1"/>
  <c r="J113" i="40"/>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c r="D100" i="40"/>
  <c r="E100" i="40" s="1"/>
  <c r="F100" i="40" s="1"/>
  <c r="G100" i="40"/>
  <c r="H100" i="40"/>
  <c r="I100" i="40" s="1"/>
  <c r="J100" i="40" s="1"/>
  <c r="K100" i="40" s="1"/>
  <c r="L100" i="40" s="1"/>
  <c r="M100" i="40" s="1"/>
  <c r="D98" i="40"/>
  <c r="J28" i="40"/>
  <c r="AC28" i="40"/>
  <c r="D96" i="40"/>
  <c r="E96" i="40"/>
  <c r="F96" i="40"/>
  <c r="G96" i="40"/>
  <c r="H96" i="40" s="1"/>
  <c r="I96" i="40" s="1"/>
  <c r="J96" i="40" s="1"/>
  <c r="K96" i="40" s="1"/>
  <c r="L96" i="40" s="1"/>
  <c r="M96" i="40" s="1"/>
  <c r="B95" i="40"/>
  <c r="D92" i="40"/>
  <c r="E92" i="40" s="1"/>
  <c r="F92" i="40" s="1"/>
  <c r="G92" i="40" s="1"/>
  <c r="D90" i="40"/>
  <c r="E90" i="40" s="1"/>
  <c r="F90" i="40" s="1"/>
  <c r="G90" i="40"/>
  <c r="D88" i="40"/>
  <c r="E88" i="40" s="1"/>
  <c r="D86" i="40"/>
  <c r="E86" i="40"/>
  <c r="F86" i="40"/>
  <c r="G86" i="40" s="1"/>
  <c r="D84" i="40"/>
  <c r="E84" i="40"/>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c r="H40" i="40"/>
  <c r="F40" i="40"/>
  <c r="AA40" i="40"/>
  <c r="Q39" i="40"/>
  <c r="Z39" i="40" s="1"/>
  <c r="Q38" i="40"/>
  <c r="Z38" i="40"/>
  <c r="Q37" i="40"/>
  <c r="Z37" i="40"/>
  <c r="Q36" i="40"/>
  <c r="Z36" i="40" s="1"/>
  <c r="Q35" i="40"/>
  <c r="Z35" i="40"/>
  <c r="Q34" i="40"/>
  <c r="Z34" i="40" s="1"/>
  <c r="J34" i="40"/>
  <c r="AC34" i="40"/>
  <c r="H34" i="40"/>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S9" i="40"/>
  <c r="J8" i="40"/>
  <c r="AC8" i="40" s="1"/>
  <c r="H8" i="40"/>
  <c r="AB8" i="40"/>
  <c r="F8" i="40"/>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c r="F92" i="39" s="1"/>
  <c r="G92" i="39" s="1"/>
  <c r="D90" i="39"/>
  <c r="E90" i="39"/>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H39" i="37" s="1"/>
  <c r="AB39" i="37" s="1"/>
  <c r="J39" i="37"/>
  <c r="AC39" i="37" s="1"/>
  <c r="B108" i="37"/>
  <c r="C23" i="37"/>
  <c r="C19" i="37"/>
  <c r="C17" i="37"/>
  <c r="C15" i="37"/>
  <c r="B112" i="37"/>
  <c r="J40" i="37" s="1"/>
  <c r="D107" i="37"/>
  <c r="E107" i="37" s="1"/>
  <c r="D105" i="37"/>
  <c r="E105" i="37"/>
  <c r="F105" i="37" s="1"/>
  <c r="D103" i="37"/>
  <c r="E103" i="37" s="1"/>
  <c r="J35" i="37"/>
  <c r="W35" i="37"/>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c r="D75" i="37"/>
  <c r="E75" i="37"/>
  <c r="D73" i="37"/>
  <c r="E73" i="37"/>
  <c r="F73" i="37" s="1"/>
  <c r="G73" i="37" s="1"/>
  <c r="D71" i="37"/>
  <c r="H15" i="37"/>
  <c r="AB15" i="37"/>
  <c r="B68" i="37"/>
  <c r="H14" i="37"/>
  <c r="AB14" i="37"/>
  <c r="B66" i="37"/>
  <c r="J13" i="37" s="1"/>
  <c r="W13" i="37" s="1"/>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F30" i="37"/>
  <c r="AA30" i="37" s="1"/>
  <c r="Q29" i="37"/>
  <c r="Z29" i="37"/>
  <c r="H29" i="37"/>
  <c r="Q28" i="37"/>
  <c r="Z28" i="37"/>
  <c r="Q27" i="37"/>
  <c r="Z27" i="37" s="1"/>
  <c r="Q26" i="37"/>
  <c r="Z26" i="37"/>
  <c r="J26" i="37"/>
  <c r="F26" i="37"/>
  <c r="AA26" i="37"/>
  <c r="Q25" i="37"/>
  <c r="Z25" i="37"/>
  <c r="J25" i="37"/>
  <c r="AC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J12" i="36"/>
  <c r="B55" i="36"/>
  <c r="F11" i="36" s="1"/>
  <c r="C51" i="36"/>
  <c r="P37" i="36"/>
  <c r="P36" i="36"/>
  <c r="V35" i="36"/>
  <c r="T35" i="36"/>
  <c r="R35" i="36"/>
  <c r="P35" i="36"/>
  <c r="Q34" i="36"/>
  <c r="Z34" i="36" s="1"/>
  <c r="Q33" i="36"/>
  <c r="Z33" i="36"/>
  <c r="Q32" i="36"/>
  <c r="Z32" i="36" s="1"/>
  <c r="Q31" i="36"/>
  <c r="Z31" i="36"/>
  <c r="Q30" i="36"/>
  <c r="Z30" i="36" s="1"/>
  <c r="Q29" i="36"/>
  <c r="Z29" i="36"/>
  <c r="Q28" i="36"/>
  <c r="Z28" i="36"/>
  <c r="J28" i="36"/>
  <c r="Q27" i="36"/>
  <c r="Z27" i="36" s="1"/>
  <c r="Q26" i="36"/>
  <c r="Z26" i="36"/>
  <c r="H26" i="36"/>
  <c r="AB26" i="36" s="1"/>
  <c r="Q25" i="36"/>
  <c r="Z25" i="36"/>
  <c r="Q24" i="36"/>
  <c r="Z24" i="36" s="1"/>
  <c r="Q23" i="36"/>
  <c r="Z23" i="36" s="1"/>
  <c r="H23" i="36"/>
  <c r="AB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W22" i="35" s="1"/>
  <c r="AC22" i="35"/>
  <c r="B101" i="35"/>
  <c r="H36" i="35"/>
  <c r="AB36" i="35"/>
  <c r="B99" i="35"/>
  <c r="F35" i="35" s="1"/>
  <c r="B97" i="35"/>
  <c r="B77" i="35"/>
  <c r="B75" i="35"/>
  <c r="J24" i="35"/>
  <c r="AC24" i="35" s="1"/>
  <c r="B73" i="35"/>
  <c r="H23" i="35"/>
  <c r="U23" i="35" s="1"/>
  <c r="B57" i="35"/>
  <c r="B61" i="35"/>
  <c r="B59" i="35"/>
  <c r="B131" i="34"/>
  <c r="B129" i="34"/>
  <c r="B127" i="34"/>
  <c r="B99" i="34"/>
  <c r="B97" i="34"/>
  <c r="B95" i="34"/>
  <c r="B93" i="34"/>
  <c r="B75" i="34"/>
  <c r="F14" i="34" s="1"/>
  <c r="B73" i="34"/>
  <c r="J13" i="34" s="1"/>
  <c r="B71" i="34"/>
  <c r="B130" i="33"/>
  <c r="B128" i="33"/>
  <c r="B126" i="33"/>
  <c r="J44" i="33" s="1"/>
  <c r="B98" i="33"/>
  <c r="B96" i="33"/>
  <c r="B94" i="33"/>
  <c r="B74" i="33"/>
  <c r="F14" i="33" s="1"/>
  <c r="B72" i="33"/>
  <c r="B70" i="33"/>
  <c r="J12" i="33"/>
  <c r="D96" i="35"/>
  <c r="E96" i="35" s="1"/>
  <c r="F96" i="35" s="1"/>
  <c r="G96" i="35"/>
  <c r="D94" i="35"/>
  <c r="E94" i="35" s="1"/>
  <c r="F94" i="35" s="1"/>
  <c r="G94" i="35" s="1"/>
  <c r="H94" i="35" s="1"/>
  <c r="I94" i="35" s="1"/>
  <c r="J94" i="35" s="1"/>
  <c r="K94" i="35" s="1"/>
  <c r="L94" i="35" s="1"/>
  <c r="M94" i="35" s="1"/>
  <c r="D84" i="35"/>
  <c r="E84" i="35"/>
  <c r="F84" i="35"/>
  <c r="G84" i="35" s="1"/>
  <c r="H84" i="35" s="1"/>
  <c r="I84" i="35"/>
  <c r="J84" i="35" s="1"/>
  <c r="K84" i="35" s="1"/>
  <c r="L84" i="35" s="1"/>
  <c r="M84" i="35" s="1"/>
  <c r="D80" i="35"/>
  <c r="E80" i="35" s="1"/>
  <c r="F80" i="35" s="1"/>
  <c r="G80" i="35"/>
  <c r="H80" i="35"/>
  <c r="I80" i="35" s="1"/>
  <c r="J80" i="35" s="1"/>
  <c r="K80" i="35" s="1"/>
  <c r="L80" i="35" s="1"/>
  <c r="M80" i="35" s="1"/>
  <c r="D72" i="35"/>
  <c r="E72" i="35"/>
  <c r="F72" i="35" s="1"/>
  <c r="G72" i="35" s="1"/>
  <c r="D70" i="35"/>
  <c r="E70" i="35"/>
  <c r="F70" i="35" s="1"/>
  <c r="G70" i="35" s="1"/>
  <c r="D66" i="35"/>
  <c r="E66" i="35"/>
  <c r="F66" i="35"/>
  <c r="G66" i="35" s="1"/>
  <c r="D64" i="35"/>
  <c r="E64" i="35"/>
  <c r="F64" i="35"/>
  <c r="G64" i="35" s="1"/>
  <c r="J14" i="35"/>
  <c r="W14" i="35"/>
  <c r="C53" i="35"/>
  <c r="J9" i="35" s="1"/>
  <c r="P39" i="35"/>
  <c r="P38" i="35"/>
  <c r="V37" i="35"/>
  <c r="T37" i="35"/>
  <c r="R37" i="35"/>
  <c r="P37" i="35"/>
  <c r="Q36" i="35"/>
  <c r="Z36" i="35" s="1"/>
  <c r="J36" i="35"/>
  <c r="AC36" i="35"/>
  <c r="Q35" i="35"/>
  <c r="Z35" i="35" s="1"/>
  <c r="Q34" i="35"/>
  <c r="Z34" i="35"/>
  <c r="J34" i="35"/>
  <c r="AC34" i="35" s="1"/>
  <c r="H34" i="35"/>
  <c r="AB34" i="35"/>
  <c r="F34" i="35"/>
  <c r="Q33" i="35"/>
  <c r="Z33" i="35"/>
  <c r="Q32" i="35"/>
  <c r="Z32" i="35" s="1"/>
  <c r="H32" i="35"/>
  <c r="AB32" i="35" s="1"/>
  <c r="F32" i="35"/>
  <c r="AA32" i="35" s="1"/>
  <c r="Q31" i="35"/>
  <c r="Z31" i="35" s="1"/>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Q22" i="35"/>
  <c r="Z22" i="35"/>
  <c r="Q20" i="35"/>
  <c r="Z20" i="35" s="1"/>
  <c r="Q16" i="35"/>
  <c r="Z16" i="35"/>
  <c r="Q14" i="35"/>
  <c r="Z14" i="35" s="1"/>
  <c r="Q13" i="35"/>
  <c r="Z13" i="35"/>
  <c r="Q12" i="35"/>
  <c r="Z12" i="35" s="1"/>
  <c r="Q11" i="35"/>
  <c r="Z11" i="35" s="1"/>
  <c r="Q10" i="35"/>
  <c r="Z10" i="35"/>
  <c r="Q9" i="35"/>
  <c r="Z9" i="35" s="1"/>
  <c r="J8" i="35"/>
  <c r="W8" i="35" s="1"/>
  <c r="H8" i="35"/>
  <c r="AB8" i="35" s="1"/>
  <c r="F8" i="35"/>
  <c r="AA8" i="35" s="1"/>
  <c r="D120" i="34"/>
  <c r="E120" i="34"/>
  <c r="F120" i="34"/>
  <c r="G120" i="34" s="1"/>
  <c r="H120" i="34" s="1"/>
  <c r="I120" i="34" s="1"/>
  <c r="J120" i="34" s="1"/>
  <c r="K120" i="34"/>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c r="G118" i="34" s="1"/>
  <c r="D116" i="34"/>
  <c r="E116" i="34"/>
  <c r="F116" i="34"/>
  <c r="G116" i="34" s="1"/>
  <c r="H116" i="34" s="1"/>
  <c r="I116" i="34"/>
  <c r="J116" i="34"/>
  <c r="K116" i="34" s="1"/>
  <c r="L116" i="34" s="1"/>
  <c r="M116" i="34" s="1"/>
  <c r="F110" i="34"/>
  <c r="E110" i="34"/>
  <c r="D110" i="34"/>
  <c r="C110" i="34"/>
  <c r="D109" i="34"/>
  <c r="E109" i="34" s="1"/>
  <c r="F109" i="34" s="1"/>
  <c r="G109" i="34"/>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c r="L88" i="34"/>
  <c r="M88" i="34" s="1"/>
  <c r="D86" i="34"/>
  <c r="E86" i="34"/>
  <c r="F86" i="34"/>
  <c r="G86" i="34" s="1"/>
  <c r="D82" i="34"/>
  <c r="E82" i="34"/>
  <c r="F82" i="34"/>
  <c r="G82" i="34" s="1"/>
  <c r="D80" i="34"/>
  <c r="E80" i="34"/>
  <c r="F80" i="34" s="1"/>
  <c r="G80" i="34" s="1"/>
  <c r="D78" i="34"/>
  <c r="E78" i="34"/>
  <c r="F78" i="34"/>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c r="J12" i="34"/>
  <c r="H12" i="34"/>
  <c r="F12" i="34"/>
  <c r="S12" i="34" s="1"/>
  <c r="Q11" i="34"/>
  <c r="Z11" i="34"/>
  <c r="Q10" i="34"/>
  <c r="Z10" i="34"/>
  <c r="F10" i="34"/>
  <c r="AA10" i="34" s="1"/>
  <c r="Q9" i="34"/>
  <c r="Z9" i="34" s="1"/>
  <c r="H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c r="G117" i="33"/>
  <c r="D115" i="33"/>
  <c r="E115" i="33"/>
  <c r="F115" i="33"/>
  <c r="G115" i="33"/>
  <c r="H115" i="33" s="1"/>
  <c r="I115" i="33" s="1"/>
  <c r="J115" i="33"/>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c r="Q38" i="33"/>
  <c r="Z38" i="33" s="1"/>
  <c r="J38" i="33"/>
  <c r="AC38" i="33"/>
  <c r="H38" i="33"/>
  <c r="F38" i="33"/>
  <c r="AA38" i="33"/>
  <c r="Q37" i="33"/>
  <c r="Z37" i="33" s="1"/>
  <c r="Q36" i="33"/>
  <c r="Z36" i="33"/>
  <c r="Q35" i="33"/>
  <c r="Z35" i="33" s="1"/>
  <c r="H35" i="33"/>
  <c r="U35" i="33" s="1"/>
  <c r="AB35" i="33"/>
  <c r="Q34" i="33"/>
  <c r="Z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s="1"/>
  <c r="Q10" i="33"/>
  <c r="Z10" i="33"/>
  <c r="Q9" i="33"/>
  <c r="Z9" i="33" s="1"/>
  <c r="H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C18" i="20"/>
  <c r="C17" i="20"/>
  <c r="B61" i="85" s="1"/>
  <c r="C16" i="20"/>
  <c r="C17" i="39" s="1"/>
  <c r="C15" i="20"/>
  <c r="B72" i="43"/>
  <c r="E54" i="21"/>
  <c r="F54" i="21" s="1"/>
  <c r="I54" i="21"/>
  <c r="J54" i="21" s="1"/>
  <c r="G54" i="21"/>
  <c r="H54" i="21" s="1"/>
  <c r="D125" i="21"/>
  <c r="E125" i="21"/>
  <c r="F125" i="21" s="1"/>
  <c r="G125" i="21" s="1"/>
  <c r="D123" i="21"/>
  <c r="E123" i="21"/>
  <c r="F123" i="21"/>
  <c r="G123" i="21" s="1"/>
  <c r="H123" i="21" s="1"/>
  <c r="I123" i="21" s="1"/>
  <c r="J123" i="21" s="1"/>
  <c r="K123" i="21" s="1"/>
  <c r="F42" i="21"/>
  <c r="AA42" i="21"/>
  <c r="D119" i="21"/>
  <c r="F40" i="21"/>
  <c r="D117" i="21"/>
  <c r="E117" i="21"/>
  <c r="F117" i="21"/>
  <c r="G117" i="21" s="1"/>
  <c r="D115" i="21"/>
  <c r="E115" i="21"/>
  <c r="F115" i="21" s="1"/>
  <c r="G115" i="21" s="1"/>
  <c r="H115" i="21" s="1"/>
  <c r="I115" i="21" s="1"/>
  <c r="J115" i="21" s="1"/>
  <c r="K115" i="21" s="1"/>
  <c r="L115" i="21" s="1"/>
  <c r="M115" i="21" s="1"/>
  <c r="D113" i="21"/>
  <c r="E113" i="21" s="1"/>
  <c r="F113" i="21" s="1"/>
  <c r="G113" i="21"/>
  <c r="H113" i="21" s="1"/>
  <c r="D110" i="21"/>
  <c r="E110" i="21"/>
  <c r="F110" i="21"/>
  <c r="G110" i="21" s="1"/>
  <c r="H110" i="21" s="1"/>
  <c r="I110" i="21" s="1"/>
  <c r="J110" i="21" s="1"/>
  <c r="K110" i="21" s="1"/>
  <c r="L110" i="21" s="1"/>
  <c r="M110" i="21" s="1"/>
  <c r="J36" i="21"/>
  <c r="AC36" i="21"/>
  <c r="D108" i="21"/>
  <c r="E108" i="2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s="1"/>
  <c r="D89" i="21"/>
  <c r="E89" i="21"/>
  <c r="F89" i="21"/>
  <c r="G89" i="21" s="1"/>
  <c r="H89" i="21" s="1"/>
  <c r="I89" i="2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c r="G79" i="21"/>
  <c r="D85" i="21"/>
  <c r="F19" i="21"/>
  <c r="AA19" i="21"/>
  <c r="E81" i="21"/>
  <c r="F81" i="21" s="1"/>
  <c r="G81" i="21" s="1"/>
  <c r="D77" i="21"/>
  <c r="E77" i="21" s="1"/>
  <c r="F77" i="21" s="1"/>
  <c r="G77" i="21" s="1"/>
  <c r="B130" i="21"/>
  <c r="B128" i="21"/>
  <c r="J45" i="21"/>
  <c r="W45" i="21" s="1"/>
  <c r="B126" i="21"/>
  <c r="B98" i="21"/>
  <c r="H31" i="21"/>
  <c r="B96" i="21"/>
  <c r="B94" i="21"/>
  <c r="J29" i="21"/>
  <c r="AC29" i="21"/>
  <c r="B92" i="21"/>
  <c r="F28" i="21" s="1"/>
  <c r="B90" i="21"/>
  <c r="J27" i="21"/>
  <c r="W27" i="21"/>
  <c r="B74" i="21"/>
  <c r="B72" i="21"/>
  <c r="H13" i="21"/>
  <c r="B70"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AB34" i="21"/>
  <c r="F43" i="21"/>
  <c r="H38" i="21"/>
  <c r="U38" i="21"/>
  <c r="H43" i="21"/>
  <c r="F38" i="21"/>
  <c r="S38" i="21"/>
  <c r="F36" i="21"/>
  <c r="F39" i="21"/>
  <c r="AA39" i="21"/>
  <c r="J40" i="2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s="1"/>
  <c r="S41" i="21"/>
  <c r="AA41" i="21"/>
  <c r="J45" i="39"/>
  <c r="W45" i="39" s="1"/>
  <c r="F36" i="39"/>
  <c r="S36" i="39"/>
  <c r="H36" i="39"/>
  <c r="AB36" i="39"/>
  <c r="J35" i="39"/>
  <c r="W35" i="39" s="1"/>
  <c r="AC35" i="39"/>
  <c r="F35" i="39"/>
  <c r="AA35" i="39"/>
  <c r="J36" i="39"/>
  <c r="AC36" i="39"/>
  <c r="U9" i="39"/>
  <c r="W25" i="37"/>
  <c r="W31" i="37"/>
  <c r="F103" i="37"/>
  <c r="G103" i="37" s="1"/>
  <c r="H103" i="37" s="1"/>
  <c r="I103" i="37" s="1"/>
  <c r="J103" i="37" s="1"/>
  <c r="K103" i="37" s="1"/>
  <c r="L103" i="37" s="1"/>
  <c r="M103" i="37" s="1"/>
  <c r="F39" i="37"/>
  <c r="U14" i="37"/>
  <c r="F29" i="36"/>
  <c r="AA29" i="36" s="1"/>
  <c r="F16" i="36"/>
  <c r="AA16" i="36" s="1"/>
  <c r="U31" i="36"/>
  <c r="J33" i="36"/>
  <c r="AC33" i="36" s="1"/>
  <c r="H22" i="35"/>
  <c r="AB22" i="35"/>
  <c r="AC27" i="35"/>
  <c r="W34" i="35"/>
  <c r="W36" i="35"/>
  <c r="S31" i="35"/>
  <c r="U34" i="35"/>
  <c r="F36" i="34"/>
  <c r="J35" i="34"/>
  <c r="U34" i="34"/>
  <c r="H39" i="33"/>
  <c r="W39" i="33"/>
  <c r="S27" i="35"/>
  <c r="F11" i="40"/>
  <c r="AA11" i="40" s="1"/>
  <c r="H11" i="40"/>
  <c r="AB11" i="40"/>
  <c r="AC40" i="40"/>
  <c r="AA9" i="40"/>
  <c r="AC9" i="40"/>
  <c r="S34" i="40"/>
  <c r="S40" i="40"/>
  <c r="W31" i="40"/>
  <c r="F42" i="39"/>
  <c r="AA42" i="39" s="1"/>
  <c r="F41" i="39"/>
  <c r="S41" i="39" s="1"/>
  <c r="H40" i="39"/>
  <c r="AB40" i="39" s="1"/>
  <c r="H39" i="39"/>
  <c r="U39" i="39" s="1"/>
  <c r="S34" i="39"/>
  <c r="H34" i="39"/>
  <c r="U34" i="39" s="1"/>
  <c r="H31" i="39"/>
  <c r="AB31" i="39"/>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A12" i="34"/>
  <c r="AB12" i="36"/>
  <c r="F37" i="39"/>
  <c r="AA37" i="39"/>
  <c r="J34" i="36"/>
  <c r="W34" i="36" s="1"/>
  <c r="J30" i="35"/>
  <c r="W30" i="35" s="1"/>
  <c r="H30" i="35"/>
  <c r="AB30" i="35" s="1"/>
  <c r="F22" i="35"/>
  <c r="AA22" i="35"/>
  <c r="H10" i="35"/>
  <c r="U10" i="35" s="1"/>
  <c r="AC16" i="36"/>
  <c r="F33" i="36"/>
  <c r="AA33" i="36"/>
  <c r="H16" i="36"/>
  <c r="AB16" i="36" s="1"/>
  <c r="E85" i="36"/>
  <c r="F85" i="36"/>
  <c r="G85" i="36" s="1"/>
  <c r="H85" i="36" s="1"/>
  <c r="I85" i="36" s="1"/>
  <c r="J85" i="36" s="1"/>
  <c r="K85" i="36" s="1"/>
  <c r="L85" i="36" s="1"/>
  <c r="M85" i="36" s="1"/>
  <c r="J29" i="36"/>
  <c r="AC29" i="36" s="1"/>
  <c r="F12" i="36"/>
  <c r="S12" i="36" s="1"/>
  <c r="F34" i="36"/>
  <c r="S34" i="36"/>
  <c r="F14" i="35"/>
  <c r="AA14" i="35"/>
  <c r="F23" i="35"/>
  <c r="AA23" i="35"/>
  <c r="J32" i="35"/>
  <c r="AC32" i="35" s="1"/>
  <c r="J16" i="35"/>
  <c r="AC16" i="35"/>
  <c r="H16" i="35"/>
  <c r="U16" i="35" s="1"/>
  <c r="F16" i="35"/>
  <c r="S16" i="35"/>
  <c r="H14" i="35"/>
  <c r="AB14" i="35" s="1"/>
  <c r="J29" i="35"/>
  <c r="H33" i="35"/>
  <c r="J20" i="35"/>
  <c r="W20" i="35"/>
  <c r="F35" i="37"/>
  <c r="S35" i="37" s="1"/>
  <c r="E101" i="37"/>
  <c r="F101" i="37"/>
  <c r="G101" i="37"/>
  <c r="H101" i="37" s="1"/>
  <c r="I101" i="37" s="1"/>
  <c r="J101" i="37" s="1"/>
  <c r="K101" i="37" s="1"/>
  <c r="L101" i="37" s="1"/>
  <c r="M101" i="37" s="1"/>
  <c r="J34" i="37"/>
  <c r="W34" i="37"/>
  <c r="J33" i="37"/>
  <c r="AC33" i="37" s="1"/>
  <c r="U42" i="34"/>
  <c r="H40" i="34"/>
  <c r="U40" i="34" s="1"/>
  <c r="H36" i="34"/>
  <c r="U36" i="34"/>
  <c r="F37" i="34"/>
  <c r="AA37" i="34" s="1"/>
  <c r="F28" i="34"/>
  <c r="AA28" i="34" s="1"/>
  <c r="F27" i="34"/>
  <c r="AA27" i="34"/>
  <c r="F25" i="34"/>
  <c r="S25" i="34" s="1"/>
  <c r="H23" i="34"/>
  <c r="U23" i="34"/>
  <c r="J23" i="34"/>
  <c r="F19" i="34"/>
  <c r="H17" i="34"/>
  <c r="U17" i="34"/>
  <c r="F15" i="34"/>
  <c r="J15" i="34"/>
  <c r="H15" i="34"/>
  <c r="AB15" i="34"/>
  <c r="W8" i="34"/>
  <c r="J28" i="34"/>
  <c r="W28" i="34" s="1"/>
  <c r="F41" i="33"/>
  <c r="AA41" i="33"/>
  <c r="S38" i="33"/>
  <c r="E113" i="33"/>
  <c r="F32" i="33"/>
  <c r="AA32" i="33" s="1"/>
  <c r="J19" i="33"/>
  <c r="AC19" i="33" s="1"/>
  <c r="J15" i="33"/>
  <c r="AC15" i="33"/>
  <c r="F11" i="33"/>
  <c r="U40" i="33"/>
  <c r="W40" i="33"/>
  <c r="F37" i="40"/>
  <c r="AA37" i="40" s="1"/>
  <c r="F36" i="40"/>
  <c r="AA36" i="40"/>
  <c r="H28" i="40"/>
  <c r="U28" i="40" s="1"/>
  <c r="F23" i="40"/>
  <c r="AA23" i="40"/>
  <c r="F17" i="40"/>
  <c r="AA17" i="40" s="1"/>
  <c r="J17" i="40"/>
  <c r="W17" i="40"/>
  <c r="F15" i="40"/>
  <c r="H15" i="40"/>
  <c r="AB15" i="40" s="1"/>
  <c r="AC11" i="40"/>
  <c r="AA12" i="36"/>
  <c r="F29" i="35"/>
  <c r="S29" i="35" s="1"/>
  <c r="H29" i="35"/>
  <c r="AB29" i="35" s="1"/>
  <c r="H33" i="37"/>
  <c r="AB33" i="37" s="1"/>
  <c r="F33" i="37"/>
  <c r="AA33" i="37" s="1"/>
  <c r="S34" i="37"/>
  <c r="AA34" i="37"/>
  <c r="J43" i="34"/>
  <c r="AB42" i="34"/>
  <c r="J40" i="34"/>
  <c r="AC40" i="34" s="1"/>
  <c r="F114" i="34"/>
  <c r="G114" i="34" s="1"/>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c r="J17" i="34"/>
  <c r="W17" i="34" s="1"/>
  <c r="AB17" i="34"/>
  <c r="AA15" i="34"/>
  <c r="S15" i="34"/>
  <c r="S41" i="33"/>
  <c r="F113" i="33"/>
  <c r="G113" i="33"/>
  <c r="H113" i="33" s="1"/>
  <c r="I113" i="33" s="1"/>
  <c r="J113" i="33" s="1"/>
  <c r="K113" i="33"/>
  <c r="L113" i="33" s="1"/>
  <c r="M113" i="33" s="1"/>
  <c r="H37" i="33"/>
  <c r="AB37" i="33"/>
  <c r="H15" i="33"/>
  <c r="H11" i="33"/>
  <c r="AB11" i="33" s="1"/>
  <c r="F28" i="40"/>
  <c r="AA28" i="40" s="1"/>
  <c r="AA29" i="35"/>
  <c r="AC38" i="34"/>
  <c r="J37" i="34"/>
  <c r="AC37" i="34" s="1"/>
  <c r="J11" i="33"/>
  <c r="W11" i="33" s="1"/>
  <c r="S28" i="34"/>
  <c r="U23" i="40"/>
  <c r="L123" i="21"/>
  <c r="M123" i="21" s="1"/>
  <c r="J42" i="21"/>
  <c r="AC42" i="21" s="1"/>
  <c r="H42" i="21"/>
  <c r="U42" i="21" s="1"/>
  <c r="J44" i="34"/>
  <c r="F44" i="34"/>
  <c r="AA44" i="34"/>
  <c r="J10" i="35"/>
  <c r="AC10" i="35" s="1"/>
  <c r="F14" i="21"/>
  <c r="H28" i="21"/>
  <c r="AB28" i="21"/>
  <c r="AA28" i="21"/>
  <c r="J28" i="21"/>
  <c r="W28" i="21" s="1"/>
  <c r="F30" i="21"/>
  <c r="S30" i="21" s="1"/>
  <c r="J44" i="21"/>
  <c r="H44" i="21"/>
  <c r="U44" i="21"/>
  <c r="F44" i="21"/>
  <c r="AA44" i="21" s="1"/>
  <c r="H46" i="21"/>
  <c r="U46" i="21"/>
  <c r="J46" i="21"/>
  <c r="F46" i="21"/>
  <c r="AA46" i="21"/>
  <c r="E119" i="21"/>
  <c r="F119" i="21" s="1"/>
  <c r="G119" i="21" s="1"/>
  <c r="H119" i="21" s="1"/>
  <c r="I119" i="21" s="1"/>
  <c r="J119" i="21" s="1"/>
  <c r="K119" i="21" s="1"/>
  <c r="L119" i="21" s="1"/>
  <c r="M119" i="21" s="1"/>
  <c r="H28" i="33"/>
  <c r="F28" i="33"/>
  <c r="AA28" i="33" s="1"/>
  <c r="J28" i="33"/>
  <c r="W28" i="33"/>
  <c r="F33" i="35"/>
  <c r="S33" i="35" s="1"/>
  <c r="J33" i="35"/>
  <c r="AC33" i="35" s="1"/>
  <c r="F30" i="35"/>
  <c r="S30" i="35" s="1"/>
  <c r="E89" i="35"/>
  <c r="F89" i="35" s="1"/>
  <c r="G89" i="35" s="1"/>
  <c r="H89" i="35" s="1"/>
  <c r="I89" i="35" s="1"/>
  <c r="J89" i="35" s="1"/>
  <c r="K89" i="35" s="1"/>
  <c r="L89" i="35"/>
  <c r="M89" i="35" s="1"/>
  <c r="H10" i="36"/>
  <c r="AB10"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s="1"/>
  <c r="J31" i="33"/>
  <c r="W31" i="33"/>
  <c r="H31" i="33"/>
  <c r="U31" i="33" s="1"/>
  <c r="F31" i="33"/>
  <c r="J45" i="33"/>
  <c r="J14" i="34"/>
  <c r="W14" i="34" s="1"/>
  <c r="H14" i="34"/>
  <c r="AB14" i="34" s="1"/>
  <c r="H30" i="34"/>
  <c r="F30" i="34"/>
  <c r="S30" i="34"/>
  <c r="J30" i="34"/>
  <c r="F32" i="34"/>
  <c r="H46" i="34"/>
  <c r="U46" i="34"/>
  <c r="F46" i="34"/>
  <c r="J46" i="34"/>
  <c r="H11" i="35"/>
  <c r="AB11" i="35" s="1"/>
  <c r="J11" i="35"/>
  <c r="F11" i="35"/>
  <c r="S11" i="35" s="1"/>
  <c r="H28" i="36"/>
  <c r="U28" i="36" s="1"/>
  <c r="H32" i="36"/>
  <c r="AB32" i="36" s="1"/>
  <c r="J11" i="36"/>
  <c r="AC11" i="36" s="1"/>
  <c r="H11" i="36"/>
  <c r="U11" i="36" s="1"/>
  <c r="H13" i="36"/>
  <c r="AB13" i="36"/>
  <c r="J13" i="36"/>
  <c r="W13" i="36" s="1"/>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s="1"/>
  <c r="H37" i="37"/>
  <c r="U37" i="37"/>
  <c r="H40" i="37"/>
  <c r="AC40" i="37"/>
  <c r="F40" i="37"/>
  <c r="AA40" i="37" s="1"/>
  <c r="W12" i="40"/>
  <c r="H14" i="33"/>
  <c r="U14" i="33" s="1"/>
  <c r="S14" i="33"/>
  <c r="J14" i="33"/>
  <c r="H30" i="33"/>
  <c r="AB30" i="33" s="1"/>
  <c r="F30" i="33"/>
  <c r="J30" i="33"/>
  <c r="H44" i="33"/>
  <c r="AC44" i="33"/>
  <c r="F44" i="33"/>
  <c r="S44" i="33" s="1"/>
  <c r="J46" i="33"/>
  <c r="AC46" i="33"/>
  <c r="F46" i="33"/>
  <c r="AA46" i="33" s="1"/>
  <c r="H46" i="33"/>
  <c r="AB46" i="33"/>
  <c r="H13" i="34"/>
  <c r="U13" i="34" s="1"/>
  <c r="W13" i="34"/>
  <c r="F13" i="34"/>
  <c r="AA13" i="34" s="1"/>
  <c r="J29" i="34"/>
  <c r="F29" i="34"/>
  <c r="S29" i="34"/>
  <c r="H29" i="34"/>
  <c r="AB29" i="34" s="1"/>
  <c r="H31" i="34"/>
  <c r="U31" i="34" s="1"/>
  <c r="AB31" i="34"/>
  <c r="H45" i="34"/>
  <c r="U45" i="34" s="1"/>
  <c r="J45" i="34"/>
  <c r="W45" i="34"/>
  <c r="F45" i="34"/>
  <c r="S45" i="34" s="1"/>
  <c r="F47" i="34"/>
  <c r="S47" i="34" s="1"/>
  <c r="F13" i="35"/>
  <c r="S13" i="35" s="1"/>
  <c r="J13" i="35"/>
  <c r="AC13" i="35"/>
  <c r="H13" i="35"/>
  <c r="U13" i="35" s="1"/>
  <c r="J25" i="35"/>
  <c r="W25" i="35"/>
  <c r="F25" i="35"/>
  <c r="S25" i="35" s="1"/>
  <c r="H25" i="35"/>
  <c r="AB25" i="35"/>
  <c r="J35" i="35"/>
  <c r="AC35" i="35" s="1"/>
  <c r="AA35" i="35"/>
  <c r="H35" i="35"/>
  <c r="AB35" i="35"/>
  <c r="F25" i="36"/>
  <c r="S25" i="36" s="1"/>
  <c r="H13" i="37"/>
  <c r="AB13" i="37" s="1"/>
  <c r="F13" i="37"/>
  <c r="S13" i="37" s="1"/>
  <c r="F28" i="37"/>
  <c r="J28" i="37"/>
  <c r="AC28" i="37"/>
  <c r="H28" i="37"/>
  <c r="U28" i="37" s="1"/>
  <c r="H38" i="37"/>
  <c r="AB38" i="37"/>
  <c r="J38" i="37"/>
  <c r="F38" i="37"/>
  <c r="S38" i="37"/>
  <c r="F43" i="39"/>
  <c r="H43" i="39"/>
  <c r="J14" i="39"/>
  <c r="AC14" i="39" s="1"/>
  <c r="F14" i="39"/>
  <c r="AA14" i="39" s="1"/>
  <c r="H14" i="39"/>
  <c r="AB14" i="39" s="1"/>
  <c r="F12" i="40"/>
  <c r="S12" i="40" s="1"/>
  <c r="H12" i="40"/>
  <c r="AB12" i="40" s="1"/>
  <c r="H30" i="40"/>
  <c r="AB30" i="40" s="1"/>
  <c r="F33" i="40"/>
  <c r="AA33" i="40" s="1"/>
  <c r="H33" i="40"/>
  <c r="U33" i="40"/>
  <c r="J35" i="40"/>
  <c r="AC35" i="40" s="1"/>
  <c r="J37" i="40"/>
  <c r="AC37" i="40"/>
  <c r="H13" i="40"/>
  <c r="J13" i="40"/>
  <c r="W13" i="40" s="1"/>
  <c r="F13" i="40"/>
  <c r="AA13" i="40" s="1"/>
  <c r="F14" i="37"/>
  <c r="S14" i="37"/>
  <c r="F13" i="39"/>
  <c r="J13" i="39"/>
  <c r="W13" i="39" s="1"/>
  <c r="H13" i="39"/>
  <c r="H14" i="40"/>
  <c r="AB14" i="40"/>
  <c r="J14" i="40"/>
  <c r="W14" i="40" s="1"/>
  <c r="F14" i="40"/>
  <c r="AA14" i="40"/>
  <c r="J14" i="37"/>
  <c r="W14" i="37" s="1"/>
  <c r="AA44" i="33"/>
  <c r="AA13" i="35"/>
  <c r="U46" i="33"/>
  <c r="AA14" i="33"/>
  <c r="J36" i="37"/>
  <c r="AC36" i="37" s="1"/>
  <c r="G105" i="37"/>
  <c r="J10" i="36"/>
  <c r="AC10" i="36" s="1"/>
  <c r="AA14" i="37"/>
  <c r="AC13" i="36"/>
  <c r="AB46" i="34"/>
  <c r="AB31" i="33"/>
  <c r="AC28" i="21"/>
  <c r="S44" i="34"/>
  <c r="BA585" i="3"/>
  <c r="F17" i="21"/>
  <c r="AA17" i="21" s="1"/>
  <c r="H17" i="21"/>
  <c r="AB17" i="21"/>
  <c r="F15" i="21"/>
  <c r="S15" i="21" s="1"/>
  <c r="J41" i="39"/>
  <c r="W41" i="39" s="1"/>
  <c r="AC45" i="39"/>
  <c r="W36" i="39"/>
  <c r="U36" i="39"/>
  <c r="S35" i="39"/>
  <c r="G544" i="3"/>
  <c r="G536" i="3"/>
  <c r="G532" i="3"/>
  <c r="G528" i="3"/>
  <c r="G527" i="3"/>
  <c r="G518" i="3"/>
  <c r="G514" i="3"/>
  <c r="G510" i="3"/>
  <c r="G504" i="3"/>
  <c r="G500" i="3"/>
  <c r="G496" i="3"/>
  <c r="G580" i="3"/>
  <c r="G572" i="3"/>
  <c r="G568" i="3"/>
  <c r="G564" i="3"/>
  <c r="G560" i="3"/>
  <c r="G554" i="3"/>
  <c r="G550" i="3"/>
  <c r="BL568" i="3"/>
  <c r="BL546" i="3"/>
  <c r="BL542" i="3"/>
  <c r="BL538" i="3"/>
  <c r="BL530" i="3"/>
  <c r="BL526" i="3"/>
  <c r="BL522" i="3"/>
  <c r="BL512" i="3"/>
  <c r="BL506" i="3"/>
  <c r="BL502" i="3"/>
  <c r="BL494" i="3"/>
  <c r="BL570" i="3"/>
  <c r="BL566" i="3"/>
  <c r="BL544" i="3"/>
  <c r="BL540" i="3"/>
  <c r="G533" i="3"/>
  <c r="BL532" i="3"/>
  <c r="G529" i="3"/>
  <c r="G525" i="3"/>
  <c r="BL524" i="3"/>
  <c r="BL518" i="3"/>
  <c r="BL510" i="3"/>
  <c r="BL504" i="3"/>
  <c r="BL500" i="3"/>
  <c r="G493" i="3"/>
  <c r="BA582" i="3"/>
  <c r="BA576" i="3"/>
  <c r="BA572" i="3"/>
  <c r="BA570" i="3"/>
  <c r="AZ570" i="3" s="1"/>
  <c r="BA568" i="3"/>
  <c r="BA566" i="3"/>
  <c r="BA560" i="3"/>
  <c r="BA554" i="3"/>
  <c r="BA548" i="3"/>
  <c r="BA546" i="3"/>
  <c r="AZ546" i="3" s="1"/>
  <c r="BA542" i="3"/>
  <c r="AZ542" i="3" s="1"/>
  <c r="BA538" i="3"/>
  <c r="AZ538" i="3" s="1"/>
  <c r="BA534" i="3"/>
  <c r="BA530" i="3"/>
  <c r="BA528" i="3"/>
  <c r="BA526" i="3"/>
  <c r="AZ526" i="3" s="1"/>
  <c r="BA524" i="3"/>
  <c r="BA522" i="3"/>
  <c r="AZ522" i="3" s="1"/>
  <c r="BA520" i="3"/>
  <c r="BA518" i="3"/>
  <c r="AZ518" i="3" s="1"/>
  <c r="BA516" i="3"/>
  <c r="BA514" i="3"/>
  <c r="BA510" i="3"/>
  <c r="AZ510" i="3"/>
  <c r="BA506" i="3"/>
  <c r="BA504" i="3"/>
  <c r="AZ504" i="3" s="1"/>
  <c r="BA500" i="3"/>
  <c r="BA498" i="3"/>
  <c r="BA494" i="3"/>
  <c r="BA587" i="3"/>
  <c r="BA579" i="3"/>
  <c r="BA573" i="3"/>
  <c r="BA571" i="3"/>
  <c r="BA569" i="3"/>
  <c r="BA567" i="3"/>
  <c r="BA559" i="3"/>
  <c r="BA547" i="3"/>
  <c r="BA545" i="3"/>
  <c r="AZ545" i="3" s="1"/>
  <c r="BA543" i="3"/>
  <c r="BA539" i="3"/>
  <c r="BA537" i="3"/>
  <c r="BA535" i="3"/>
  <c r="BA531" i="3"/>
  <c r="BA529" i="3"/>
  <c r="BA527" i="3"/>
  <c r="BA523" i="3"/>
  <c r="BA519" i="3"/>
  <c r="BA517" i="3"/>
  <c r="BA513" i="3"/>
  <c r="BA511" i="3"/>
  <c r="BA507" i="3"/>
  <c r="BA503" i="3"/>
  <c r="BA501" i="3"/>
  <c r="BA499" i="3"/>
  <c r="BA495" i="3"/>
  <c r="BA493" i="3"/>
  <c r="G583" i="3"/>
  <c r="G581" i="3"/>
  <c r="G573" i="3"/>
  <c r="G571" i="3"/>
  <c r="G569" i="3"/>
  <c r="G567" i="3"/>
  <c r="G565" i="3"/>
  <c r="G563" i="3"/>
  <c r="G561" i="3"/>
  <c r="AC557" i="3"/>
  <c r="BQ557" i="3"/>
  <c r="BQ583" i="3"/>
  <c r="BQ581" i="3"/>
  <c r="BQ579" i="3"/>
  <c r="BQ577" i="3"/>
  <c r="BQ575" i="3"/>
  <c r="BQ573" i="3"/>
  <c r="BL573" i="3"/>
  <c r="AZ573" i="3" s="1"/>
  <c r="BQ571" i="3"/>
  <c r="BL571" i="3"/>
  <c r="AZ571" i="3"/>
  <c r="BQ569" i="3"/>
  <c r="BL569" i="3" s="1"/>
  <c r="AZ569" i="3" s="1"/>
  <c r="BQ567" i="3"/>
  <c r="BL567" i="3"/>
  <c r="BQ565" i="3"/>
  <c r="BQ563" i="3"/>
  <c r="BQ561" i="3"/>
  <c r="BQ559" i="3"/>
  <c r="G555" i="3"/>
  <c r="G553" i="3"/>
  <c r="G549" i="3"/>
  <c r="G547" i="3"/>
  <c r="G545" i="3"/>
  <c r="G543" i="3"/>
  <c r="G541" i="3"/>
  <c r="G537" i="3"/>
  <c r="BQ555" i="3"/>
  <c r="BL555" i="3"/>
  <c r="BQ553" i="3"/>
  <c r="BQ551" i="3"/>
  <c r="BL551" i="3"/>
  <c r="BQ549" i="3"/>
  <c r="BQ547" i="3"/>
  <c r="BQ545" i="3"/>
  <c r="BL545" i="3" s="1"/>
  <c r="BQ543" i="3"/>
  <c r="BL543" i="3"/>
  <c r="AZ543" i="3" s="1"/>
  <c r="BQ541" i="3"/>
  <c r="BL541" i="3"/>
  <c r="BQ539" i="3"/>
  <c r="BQ537" i="3"/>
  <c r="BL537" i="3"/>
  <c r="BQ535" i="3"/>
  <c r="BL535" i="3" s="1"/>
  <c r="BQ533" i="3"/>
  <c r="BL533" i="3"/>
  <c r="BQ531" i="3"/>
  <c r="BQ529" i="3"/>
  <c r="BL529" i="3" s="1"/>
  <c r="BQ527" i="3"/>
  <c r="BL527" i="3"/>
  <c r="AZ527" i="3" s="1"/>
  <c r="BQ525" i="3"/>
  <c r="BL525" i="3"/>
  <c r="BQ523" i="3"/>
  <c r="BA521" i="3"/>
  <c r="AC521" i="3"/>
  <c r="G521" i="3"/>
  <c r="BQ521" i="3"/>
  <c r="BL521" i="3"/>
  <c r="AZ521" i="3" s="1"/>
  <c r="G519" i="3"/>
  <c r="G517" i="3"/>
  <c r="G513" i="3"/>
  <c r="G511" i="3"/>
  <c r="BQ519" i="3"/>
  <c r="BQ517" i="3"/>
  <c r="BL517" i="3" s="1"/>
  <c r="BQ515" i="3"/>
  <c r="BL515" i="3" s="1"/>
  <c r="BQ513" i="3"/>
  <c r="BL513" i="3"/>
  <c r="AZ513" i="3" s="1"/>
  <c r="BQ511" i="3"/>
  <c r="BA509" i="3"/>
  <c r="AC509" i="3"/>
  <c r="BQ509" i="3"/>
  <c r="BL509" i="3"/>
  <c r="BL508" i="3"/>
  <c r="G507" i="3"/>
  <c r="G505" i="3"/>
  <c r="G503" i="3"/>
  <c r="G501" i="3"/>
  <c r="G499" i="3"/>
  <c r="G497" i="3"/>
  <c r="G495" i="3"/>
  <c r="BQ507" i="3"/>
  <c r="BQ505" i="3"/>
  <c r="BL505" i="3" s="1"/>
  <c r="BQ503" i="3"/>
  <c r="BL503" i="3"/>
  <c r="AZ503" i="3" s="1"/>
  <c r="BQ501" i="3"/>
  <c r="BL501" i="3"/>
  <c r="BQ499" i="3"/>
  <c r="BL499" i="3" s="1"/>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c r="AA36" i="39"/>
  <c r="F39" i="33"/>
  <c r="E123" i="33"/>
  <c r="F42" i="33"/>
  <c r="AA42" i="33"/>
  <c r="H28" i="34"/>
  <c r="AB28" i="34" s="1"/>
  <c r="F22" i="36"/>
  <c r="F26" i="36"/>
  <c r="S26" i="36" s="1"/>
  <c r="H27" i="34"/>
  <c r="AB27" i="34" s="1"/>
  <c r="H35" i="34"/>
  <c r="F41" i="34"/>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c r="H42" i="33"/>
  <c r="AB42" i="33" s="1"/>
  <c r="J43" i="33"/>
  <c r="AC43" i="33"/>
  <c r="S28" i="31"/>
  <c r="S27" i="31"/>
  <c r="S26" i="31"/>
  <c r="U14" i="40"/>
  <c r="U35" i="35"/>
  <c r="AB28" i="37"/>
  <c r="U33" i="37"/>
  <c r="U39" i="37"/>
  <c r="U26" i="37"/>
  <c r="AB13" i="34"/>
  <c r="AC36" i="34"/>
  <c r="AA13" i="33"/>
  <c r="AC31" i="33"/>
  <c r="W44" i="33"/>
  <c r="U11" i="33"/>
  <c r="U19" i="21"/>
  <c r="U26"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J42" i="39"/>
  <c r="AC42" i="39" s="1"/>
  <c r="H21" i="40"/>
  <c r="AB21" i="40" s="1"/>
  <c r="AC12" i="37"/>
  <c r="F94" i="37"/>
  <c r="G94" i="37" s="1"/>
  <c r="H94" i="37" s="1"/>
  <c r="I94" i="37"/>
  <c r="J94" i="37" s="1"/>
  <c r="K94" i="37" s="1"/>
  <c r="L94" i="37" s="1"/>
  <c r="M94" i="37" s="1"/>
  <c r="H31" i="37"/>
  <c r="U31" i="37" s="1"/>
  <c r="G71" i="37"/>
  <c r="J15" i="37"/>
  <c r="W15" i="37" s="1"/>
  <c r="AT6" i="3"/>
  <c r="AA25" i="21"/>
  <c r="H19" i="40"/>
  <c r="U19" i="40" s="1"/>
  <c r="F88" i="40"/>
  <c r="G88" i="40" s="1"/>
  <c r="F19" i="40"/>
  <c r="S19" i="40" s="1"/>
  <c r="S14" i="40"/>
  <c r="AC13" i="40"/>
  <c r="AB33" i="40"/>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c r="S11" i="39"/>
  <c r="G4" i="4"/>
  <c r="I4" i="4"/>
  <c r="A2" i="9"/>
  <c r="F61" i="43"/>
  <c r="H64" i="43" s="1"/>
  <c r="BL549" i="3"/>
  <c r="AZ49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AZ144" i="3" s="1"/>
  <c r="G145" i="3"/>
  <c r="BA147" i="3"/>
  <c r="AZ147" i="3"/>
  <c r="BL148" i="3"/>
  <c r="AZ148" i="3"/>
  <c r="G149" i="3"/>
  <c r="BA151" i="3"/>
  <c r="AZ151" i="3" s="1"/>
  <c r="BL152" i="3"/>
  <c r="G153" i="3"/>
  <c r="BA155" i="3"/>
  <c r="AZ155" i="3" s="1"/>
  <c r="BL156" i="3"/>
  <c r="AZ156" i="3" s="1"/>
  <c r="G157" i="3"/>
  <c r="BA159" i="3"/>
  <c r="AZ159" i="3"/>
  <c r="BL160" i="3"/>
  <c r="G161" i="3"/>
  <c r="BA163" i="3"/>
  <c r="BL164" i="3"/>
  <c r="AZ164" i="3"/>
  <c r="G165" i="3"/>
  <c r="BA167" i="3"/>
  <c r="AZ167" i="3" s="1"/>
  <c r="BL168" i="3"/>
  <c r="AZ168" i="3" s="1"/>
  <c r="G169" i="3"/>
  <c r="BA171" i="3"/>
  <c r="AZ171" i="3" s="1"/>
  <c r="BL172" i="3"/>
  <c r="AZ172" i="3" s="1"/>
  <c r="G173" i="3"/>
  <c r="BA175" i="3"/>
  <c r="BL176" i="3"/>
  <c r="AZ176" i="3" s="1"/>
  <c r="G177" i="3"/>
  <c r="BA179" i="3"/>
  <c r="AZ179" i="3"/>
  <c r="BL180" i="3"/>
  <c r="AZ180" i="3"/>
  <c r="G181" i="3"/>
  <c r="BA183" i="3"/>
  <c r="AZ183" i="3" s="1"/>
  <c r="BL184" i="3"/>
  <c r="G185" i="3"/>
  <c r="BA187" i="3"/>
  <c r="AZ187" i="3" s="1"/>
  <c r="BL188" i="3"/>
  <c r="AZ188" i="3" s="1"/>
  <c r="G189" i="3"/>
  <c r="BA191" i="3"/>
  <c r="AZ191" i="3"/>
  <c r="BL192" i="3"/>
  <c r="G193" i="3"/>
  <c r="BA195" i="3"/>
  <c r="BL196" i="3"/>
  <c r="AZ196" i="3"/>
  <c r="G197" i="3"/>
  <c r="BA199" i="3"/>
  <c r="AZ199" i="3" s="1"/>
  <c r="BL200" i="3"/>
  <c r="AZ200" i="3" s="1"/>
  <c r="G201" i="3"/>
  <c r="BA203" i="3"/>
  <c r="AZ203" i="3" s="1"/>
  <c r="BL204" i="3"/>
  <c r="AZ204" i="3" s="1"/>
  <c r="AZ39" i="3"/>
  <c r="AZ43" i="3"/>
  <c r="AZ47" i="3"/>
  <c r="AZ51" i="3"/>
  <c r="AZ55" i="3"/>
  <c r="AZ59" i="3"/>
  <c r="AZ63" i="3"/>
  <c r="AZ67" i="3"/>
  <c r="AZ71" i="3"/>
  <c r="AZ75" i="3"/>
  <c r="AZ79" i="3"/>
  <c r="AZ83" i="3"/>
  <c r="AZ152" i="3"/>
  <c r="AZ160" i="3"/>
  <c r="AZ184" i="3"/>
  <c r="AZ192" i="3"/>
  <c r="AZ85"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c r="BL347" i="3"/>
  <c r="G350" i="3"/>
  <c r="BA351" i="3"/>
  <c r="AZ351" i="3"/>
  <c r="BL351" i="3"/>
  <c r="G352" i="3"/>
  <c r="G354" i="3"/>
  <c r="BA355" i="3"/>
  <c r="AZ355" i="3" s="1"/>
  <c r="BA356" i="3"/>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70" i="3"/>
  <c r="AZ174" i="3"/>
  <c r="AZ178" i="3"/>
  <c r="AZ182" i="3"/>
  <c r="AZ190"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AZ388" i="3" s="1"/>
  <c r="G389" i="3"/>
  <c r="BA391" i="3"/>
  <c r="AZ391" i="3" s="1"/>
  <c r="BL392" i="3"/>
  <c r="AZ392" i="3" s="1"/>
  <c r="G393" i="3"/>
  <c r="AZ263" i="3"/>
  <c r="AZ275" i="3"/>
  <c r="AZ295" i="3"/>
  <c r="AZ299" i="3"/>
  <c r="BJ5" i="3"/>
  <c r="AZ309" i="3"/>
  <c r="AZ317" i="3"/>
  <c r="AZ333" i="3"/>
  <c r="AZ341" i="3"/>
  <c r="AZ506" i="3"/>
  <c r="G548" i="3"/>
  <c r="G538" i="3"/>
  <c r="G520" i="3"/>
  <c r="G502" i="3"/>
  <c r="BN5" i="3"/>
  <c r="BG5" i="3"/>
  <c r="G17" i="3"/>
  <c r="BA17" i="3"/>
  <c r="AZ350" i="3"/>
  <c r="AZ356" i="3"/>
  <c r="AZ368" i="3"/>
  <c r="BA15" i="3"/>
  <c r="AZ15" i="3" s="1"/>
  <c r="AZ380" i="3"/>
  <c r="AZ396" i="3"/>
  <c r="AZ509" i="3"/>
  <c r="G509" i="3"/>
  <c r="BL493" i="3"/>
  <c r="AZ491" i="3"/>
  <c r="AZ390" i="3"/>
  <c r="AZ493" i="3"/>
  <c r="U36" i="40"/>
  <c r="F83" i="43"/>
  <c r="H85" i="43" s="1"/>
  <c r="F50" i="43"/>
  <c r="H54" i="43" s="1"/>
  <c r="F72" i="43"/>
  <c r="H75" i="43" s="1"/>
  <c r="U17" i="39"/>
  <c r="S14" i="35"/>
  <c r="U35" i="21"/>
  <c r="G10" i="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J27" i="36"/>
  <c r="W27" i="36" s="1"/>
  <c r="AC33" i="40"/>
  <c r="F111" i="40"/>
  <c r="G111" i="40" s="1"/>
  <c r="H111" i="40" s="1"/>
  <c r="I111" i="40"/>
  <c r="J111" i="40" s="1"/>
  <c r="K111" i="40" s="1"/>
  <c r="L111" i="40" s="1"/>
  <c r="M111" i="40"/>
  <c r="H35" i="40"/>
  <c r="AB35" i="40" s="1"/>
  <c r="AC29" i="35"/>
  <c r="W29" i="35"/>
  <c r="H35" i="37"/>
  <c r="U35" i="37" s="1"/>
  <c r="AC14" i="35"/>
  <c r="H20" i="35"/>
  <c r="F20" i="35"/>
  <c r="AA20" i="35" s="1"/>
  <c r="AB29" i="36"/>
  <c r="U29" i="36"/>
  <c r="H32" i="37"/>
  <c r="AB32" i="37"/>
  <c r="F96" i="37"/>
  <c r="H27" i="40"/>
  <c r="U27" i="40" s="1"/>
  <c r="J27" i="40"/>
  <c r="AC27" i="40" s="1"/>
  <c r="F27" i="40"/>
  <c r="S27" i="40" s="1"/>
  <c r="J30" i="40"/>
  <c r="F30" i="40"/>
  <c r="AA30" i="40" s="1"/>
  <c r="AC21" i="40"/>
  <c r="S31" i="39"/>
  <c r="S11" i="40"/>
  <c r="E98" i="40"/>
  <c r="F98" i="40"/>
  <c r="G98" i="40" s="1"/>
  <c r="H98" i="40" s="1"/>
  <c r="I98" i="40" s="1"/>
  <c r="J98" i="40"/>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50" i="3"/>
  <c r="AZ58" i="3"/>
  <c r="AZ61" i="3"/>
  <c r="AZ66" i="3"/>
  <c r="AZ69" i="3"/>
  <c r="AZ72" i="3"/>
  <c r="AZ74" i="3"/>
  <c r="AZ77"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D48" i="9"/>
  <c r="M52" i="9" s="1"/>
  <c r="K9" i="1"/>
  <c r="M9" i="1" s="1"/>
  <c r="D93" i="9"/>
  <c r="W27" i="34"/>
  <c r="AC27" i="34"/>
  <c r="AB34" i="36"/>
  <c r="U34" i="36"/>
  <c r="AB33" i="36"/>
  <c r="U33" i="36"/>
  <c r="AC12" i="39"/>
  <c r="W12" i="39"/>
  <c r="AC39" i="40"/>
  <c r="W39" i="40"/>
  <c r="AZ401" i="3"/>
  <c r="AZ417" i="3"/>
  <c r="AZ428" i="3"/>
  <c r="AZ465" i="3"/>
  <c r="W12" i="33"/>
  <c r="AC12" i="33"/>
  <c r="AZ408" i="3"/>
  <c r="AZ437" i="3"/>
  <c r="AZ441" i="3"/>
  <c r="AZ457" i="3"/>
  <c r="AZ473" i="3"/>
  <c r="AZ490" i="3"/>
  <c r="AA39" i="34"/>
  <c r="BL14" i="3"/>
  <c r="AZ14" i="3" s="1"/>
  <c r="AZ266" i="3"/>
  <c r="U30" i="33"/>
  <c r="AC13" i="34"/>
  <c r="AA47" i="34"/>
  <c r="W28" i="37"/>
  <c r="S19" i="39"/>
  <c r="F12" i="33"/>
  <c r="H12" i="39"/>
  <c r="F39" i="40"/>
  <c r="BA14" i="3"/>
  <c r="AZ367" i="3"/>
  <c r="AZ213" i="3"/>
  <c r="AZ224" i="3"/>
  <c r="AZ234" i="3"/>
  <c r="AZ238" i="3"/>
  <c r="AZ250" i="3"/>
  <c r="AZ254" i="3"/>
  <c r="AZ286" i="3"/>
  <c r="AZ297" i="3"/>
  <c r="AZ149" i="3"/>
  <c r="AZ157" i="3"/>
  <c r="AZ165" i="3"/>
  <c r="AZ173" i="3"/>
  <c r="AZ197" i="3"/>
  <c r="AZ26" i="3"/>
  <c r="AZ41" i="3"/>
  <c r="B12" i="1"/>
  <c r="E12" i="1" s="1"/>
  <c r="B10" i="1"/>
  <c r="E10" i="1" s="1"/>
  <c r="AZ80" i="3"/>
  <c r="AZ84" i="3"/>
  <c r="AZ88" i="3"/>
  <c r="AZ107" i="3"/>
  <c r="AZ111" i="3"/>
  <c r="K12" i="1"/>
  <c r="M12" i="1" s="1"/>
  <c r="S13" i="1"/>
  <c r="AR13" i="1" s="1"/>
  <c r="R13" i="1"/>
  <c r="J51" i="67"/>
  <c r="C42" i="1"/>
  <c r="C24" i="12" s="1"/>
  <c r="AC34" i="33"/>
  <c r="AA34" i="33"/>
  <c r="B41" i="1"/>
  <c r="AB37" i="40"/>
  <c r="S35" i="40"/>
  <c r="U35" i="40"/>
  <c r="AC36" i="40"/>
  <c r="AA32" i="40"/>
  <c r="S17" i="40"/>
  <c r="S23" i="40"/>
  <c r="AC17" i="40"/>
  <c r="AC15" i="40"/>
  <c r="S30" i="40"/>
  <c r="AA19" i="40"/>
  <c r="S28" i="40"/>
  <c r="U21" i="40"/>
  <c r="AB19" i="40"/>
  <c r="U37" i="39"/>
  <c r="S37" i="39"/>
  <c r="U35" i="39"/>
  <c r="F32" i="39"/>
  <c r="U25" i="39"/>
  <c r="AB27" i="39"/>
  <c r="U31" i="39"/>
  <c r="J21" i="39"/>
  <c r="W21" i="39" s="1"/>
  <c r="F21" i="39"/>
  <c r="S21" i="39" s="1"/>
  <c r="G94" i="39"/>
  <c r="H21" i="39"/>
  <c r="W19" i="39"/>
  <c r="U19" i="39"/>
  <c r="S17" i="39"/>
  <c r="S15" i="39"/>
  <c r="S9" i="39"/>
  <c r="U14" i="39"/>
  <c r="AC13" i="39"/>
  <c r="U13" i="36"/>
  <c r="S33" i="36"/>
  <c r="AA34" i="36"/>
  <c r="U22" i="36"/>
  <c r="S16" i="36"/>
  <c r="U23"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S26" i="37"/>
  <c r="AC29" i="37"/>
  <c r="AB31" i="37"/>
  <c r="W30" i="37"/>
  <c r="S36" i="37"/>
  <c r="AA38" i="37"/>
  <c r="U32" i="37"/>
  <c r="AC35" i="37"/>
  <c r="W39" i="37"/>
  <c r="S30" i="37"/>
  <c r="S37" i="37"/>
  <c r="AC15" i="37"/>
  <c r="J17" i="37"/>
  <c r="F17" i="37"/>
  <c r="AA17" i="37"/>
  <c r="AB17" i="37"/>
  <c r="F75" i="37"/>
  <c r="F19" i="37"/>
  <c r="F79" i="37"/>
  <c r="G79" i="37" s="1"/>
  <c r="F23" i="37"/>
  <c r="S23" i="37"/>
  <c r="U23" i="37"/>
  <c r="U15" i="37"/>
  <c r="AC13" i="37"/>
  <c r="AA13" i="37"/>
  <c r="H10" i="37"/>
  <c r="AB10" i="37" s="1"/>
  <c r="F63" i="37"/>
  <c r="F11" i="37"/>
  <c r="S11" i="37" s="1"/>
  <c r="S27" i="34"/>
  <c r="W25" i="34"/>
  <c r="AB8" i="34"/>
  <c r="AA33" i="34"/>
  <c r="U44" i="34"/>
  <c r="U43" i="34"/>
  <c r="AC39" i="34"/>
  <c r="W41" i="34"/>
  <c r="AC42" i="34"/>
  <c r="U39" i="34"/>
  <c r="S43" i="34"/>
  <c r="AB41" i="34"/>
  <c r="AA45" i="34"/>
  <c r="AA25" i="34"/>
  <c r="U28" i="34"/>
  <c r="S17" i="34"/>
  <c r="AA29" i="34"/>
  <c r="U27" i="34"/>
  <c r="S23" i="34"/>
  <c r="U15" i="34"/>
  <c r="S13" i="34"/>
  <c r="H10" i="34"/>
  <c r="AB10" i="34" s="1"/>
  <c r="F11" i="34"/>
  <c r="S11" i="34" s="1"/>
  <c r="F70" i="34"/>
  <c r="W42" i="33"/>
  <c r="AA35"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c r="M108" i="33" s="1"/>
  <c r="J35" i="33"/>
  <c r="S37" i="33"/>
  <c r="AA37" i="33"/>
  <c r="F101" i="33"/>
  <c r="G101" i="33" s="1"/>
  <c r="H101" i="33" s="1"/>
  <c r="I101" i="33" s="1"/>
  <c r="J101" i="33" s="1"/>
  <c r="K101" i="33" s="1"/>
  <c r="L101" i="33" s="1"/>
  <c r="M101" i="33" s="1"/>
  <c r="J32" i="33"/>
  <c r="W32" i="33" s="1"/>
  <c r="S46" i="33"/>
  <c r="W43" i="33"/>
  <c r="S43" i="33"/>
  <c r="H27" i="33"/>
  <c r="U27" i="33" s="1"/>
  <c r="F87" i="33"/>
  <c r="G87" i="33" s="1"/>
  <c r="H25" i="33"/>
  <c r="F25" i="33"/>
  <c r="J23" i="33"/>
  <c r="F85" i="33"/>
  <c r="G85" i="33" s="1"/>
  <c r="H23" i="33"/>
  <c r="F81" i="33"/>
  <c r="F19" i="33"/>
  <c r="S19" i="33"/>
  <c r="W19" i="33"/>
  <c r="J17" i="33"/>
  <c r="AC17" i="33" s="1"/>
  <c r="S15" i="33"/>
  <c r="W15" i="33"/>
  <c r="J10" i="33"/>
  <c r="W10" i="33" s="1"/>
  <c r="H10" i="33"/>
  <c r="U10" i="33" s="1"/>
  <c r="AC11" i="33"/>
  <c r="AB14" i="33"/>
  <c r="W43" i="21"/>
  <c r="W36" i="21"/>
  <c r="W41" i="21"/>
  <c r="AB39" i="21"/>
  <c r="S39" i="21"/>
  <c r="AA38" i="21"/>
  <c r="J15" i="21"/>
  <c r="W15" i="21" s="1"/>
  <c r="F23" i="21"/>
  <c r="E85" i="21"/>
  <c r="D120" i="9"/>
  <c r="D121" i="9" s="1"/>
  <c r="D7" i="52" s="1"/>
  <c r="C18" i="9"/>
  <c r="D18" i="9"/>
  <c r="F34" i="67"/>
  <c r="F62" i="67" s="1"/>
  <c r="M20" i="67"/>
  <c r="F34" i="15"/>
  <c r="F62" i="15" s="1"/>
  <c r="BA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U11" i="40"/>
  <c r="S31" i="40"/>
  <c r="U15" i="40"/>
  <c r="AB17" i="40"/>
  <c r="U8" i="40"/>
  <c r="AA39" i="39"/>
  <c r="AC41" i="39"/>
  <c r="U42" i="39"/>
  <c r="U41" i="39"/>
  <c r="W25" i="39"/>
  <c r="AC25" i="39"/>
  <c r="U13" i="39"/>
  <c r="AB13" i="39"/>
  <c r="AA13" i="39"/>
  <c r="S13" i="39"/>
  <c r="S14" i="39"/>
  <c r="U43" i="39"/>
  <c r="AB43" i="39"/>
  <c r="AB11" i="39"/>
  <c r="U11" i="39"/>
  <c r="AA27" i="39"/>
  <c r="S27" i="39"/>
  <c r="W17" i="39"/>
  <c r="AC17" i="39"/>
  <c r="W31" i="39"/>
  <c r="AC31" i="39"/>
  <c r="S23" i="39"/>
  <c r="AB39" i="39"/>
  <c r="W34" i="39"/>
  <c r="U38" i="39"/>
  <c r="S8" i="39"/>
  <c r="S20" i="36"/>
  <c r="U32" i="36"/>
  <c r="W29" i="36"/>
  <c r="AA13" i="36"/>
  <c r="W9" i="36"/>
  <c r="W22" i="36"/>
  <c r="S9" i="36"/>
  <c r="AC25" i="35"/>
  <c r="U25" i="35"/>
  <c r="S24" i="35"/>
  <c r="U24" i="35"/>
  <c r="S35" i="35"/>
  <c r="W35" i="35"/>
  <c r="AA16" i="35"/>
  <c r="AA35" i="37"/>
  <c r="W32" i="37"/>
  <c r="U36" i="37"/>
  <c r="S40" i="37"/>
  <c r="U38" i="37"/>
  <c r="AB37" i="37"/>
  <c r="AC34" i="37"/>
  <c r="AB35" i="37"/>
  <c r="AA31" i="37"/>
  <c r="U19" i="37"/>
  <c r="AA29" i="37"/>
  <c r="U8" i="37"/>
  <c r="AA40" i="34"/>
  <c r="AB40" i="34"/>
  <c r="U19" i="34"/>
  <c r="W19" i="34"/>
  <c r="AB33" i="34"/>
  <c r="AC45" i="34"/>
  <c r="AA30" i="34"/>
  <c r="AB45" i="34"/>
  <c r="U25" i="34"/>
  <c r="AB36" i="34"/>
  <c r="W33" i="34"/>
  <c r="AC14" i="34"/>
  <c r="AC29" i="34"/>
  <c r="W29" i="34"/>
  <c r="W46" i="34"/>
  <c r="AC46" i="34"/>
  <c r="S32" i="34"/>
  <c r="AA32" i="34"/>
  <c r="U30" i="34"/>
  <c r="AB30" i="34"/>
  <c r="S37" i="34"/>
  <c r="U38" i="34"/>
  <c r="W40" i="34"/>
  <c r="AA19" i="34"/>
  <c r="S19" i="34"/>
  <c r="AA36" i="34"/>
  <c r="S36" i="34"/>
  <c r="AA8" i="34"/>
  <c r="S8" i="34"/>
  <c r="AB9" i="34"/>
  <c r="U9" i="34"/>
  <c r="S46" i="34"/>
  <c r="AA46" i="34"/>
  <c r="U14" i="34"/>
  <c r="AC43" i="34"/>
  <c r="W43" i="34"/>
  <c r="W23" i="34"/>
  <c r="AC23" i="34"/>
  <c r="AC35" i="34"/>
  <c r="W35" i="34"/>
  <c r="U12" i="34"/>
  <c r="AB12" i="34"/>
  <c r="AC37" i="33"/>
  <c r="W46" i="33"/>
  <c r="AB34" i="33"/>
  <c r="U44" i="33"/>
  <c r="AB44" i="33"/>
  <c r="S30" i="33"/>
  <c r="AA30" i="33"/>
  <c r="AC14" i="33"/>
  <c r="W14" i="33"/>
  <c r="AC30" i="33"/>
  <c r="W30" i="33"/>
  <c r="S31" i="33"/>
  <c r="AA31" i="33"/>
  <c r="W13" i="33"/>
  <c r="AC13" i="33"/>
  <c r="U37" i="33"/>
  <c r="AC28" i="33"/>
  <c r="S28" i="33"/>
  <c r="S44" i="21"/>
  <c r="AB42" i="21"/>
  <c r="U28" i="21"/>
  <c r="S45" i="21"/>
  <c r="I101" i="21"/>
  <c r="J101" i="21" s="1"/>
  <c r="K101" i="21" s="1"/>
  <c r="L101" i="21"/>
  <c r="M101" i="21" s="1"/>
  <c r="F33" i="21"/>
  <c r="AA33" i="21" s="1"/>
  <c r="J33" i="21"/>
  <c r="AC33" i="21" s="1"/>
  <c r="H33" i="21"/>
  <c r="AB33" i="21" s="1"/>
  <c r="F37" i="21"/>
  <c r="AA37" i="21" s="1"/>
  <c r="AA26" i="21"/>
  <c r="AB46" i="21"/>
  <c r="AB31" i="21"/>
  <c r="U31" i="21"/>
  <c r="AC15" i="21"/>
  <c r="U13" i="21"/>
  <c r="AB13" i="21"/>
  <c r="J37" i="21"/>
  <c r="W37" i="21" s="1"/>
  <c r="H15" i="21"/>
  <c r="U15" i="21" s="1"/>
  <c r="J17" i="21"/>
  <c r="AC17" i="21" s="1"/>
  <c r="AC19" i="21"/>
  <c r="W39" i="21"/>
  <c r="S46" i="21"/>
  <c r="H45" i="21"/>
  <c r="U45" i="21"/>
  <c r="F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19" i="39"/>
  <c r="C15" i="40"/>
  <c r="C17" i="40"/>
  <c r="C23" i="40"/>
  <c r="C21" i="40"/>
  <c r="U30" i="40"/>
  <c r="B51" i="43"/>
  <c r="B54" i="43"/>
  <c r="B58" i="43"/>
  <c r="B62" i="43"/>
  <c r="B65" i="43"/>
  <c r="B69" i="43"/>
  <c r="D23" i="15"/>
  <c r="D22" i="15"/>
  <c r="E4" i="4"/>
  <c r="B5" i="62" s="1"/>
  <c r="B73" i="72" s="1"/>
  <c r="C4" i="4"/>
  <c r="F28" i="67"/>
  <c r="C28" i="67" s="1"/>
  <c r="F31" i="12"/>
  <c r="F32" i="67"/>
  <c r="F60" i="67" s="1"/>
  <c r="F30" i="69"/>
  <c r="F48" i="69" s="1"/>
  <c r="F28" i="15"/>
  <c r="AA39" i="40"/>
  <c r="S39" i="40"/>
  <c r="S12" i="33"/>
  <c r="AA12" i="33"/>
  <c r="D68" i="9"/>
  <c r="J32" i="39"/>
  <c r="H32" i="39"/>
  <c r="AB32" i="39" s="1"/>
  <c r="AA32" i="39"/>
  <c r="S32" i="39"/>
  <c r="AB21" i="39"/>
  <c r="U21" i="39"/>
  <c r="AA21" i="39"/>
  <c r="S17" i="37"/>
  <c r="J19" i="37"/>
  <c r="W19" i="37" s="1"/>
  <c r="G75" i="37"/>
  <c r="S19" i="37"/>
  <c r="AA19" i="37"/>
  <c r="AA23" i="37"/>
  <c r="J23" i="37"/>
  <c r="J10" i="37"/>
  <c r="W10" i="37" s="1"/>
  <c r="G63" i="37"/>
  <c r="H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J27" i="33"/>
  <c r="AC27" i="33" s="1"/>
  <c r="U25" i="33"/>
  <c r="AB25" i="33"/>
  <c r="S25" i="33"/>
  <c r="AA25" i="33"/>
  <c r="H87" i="33"/>
  <c r="I87" i="33" s="1"/>
  <c r="J87" i="33" s="1"/>
  <c r="K87" i="33" s="1"/>
  <c r="L87" i="33" s="1"/>
  <c r="M87" i="33" s="1"/>
  <c r="J25" i="33"/>
  <c r="AB23" i="33"/>
  <c r="U23" i="33"/>
  <c r="F23" i="33"/>
  <c r="S23" i="33" s="1"/>
  <c r="AC23" i="33"/>
  <c r="W23" i="33"/>
  <c r="AA19" i="33"/>
  <c r="H19" i="33"/>
  <c r="G81" i="33"/>
  <c r="H17" i="33"/>
  <c r="AB17" i="33" s="1"/>
  <c r="F17" i="33"/>
  <c r="S17" i="33" s="1"/>
  <c r="S37" i="21"/>
  <c r="AB15" i="21"/>
  <c r="J23" i="21"/>
  <c r="AC23" i="21" s="1"/>
  <c r="F85" i="21"/>
  <c r="G85" i="21" s="1"/>
  <c r="H23" i="21"/>
  <c r="S13" i="21"/>
  <c r="AP7" i="1"/>
  <c r="AB45" i="21"/>
  <c r="AB9" i="21"/>
  <c r="U9" i="21"/>
  <c r="AA32" i="21"/>
  <c r="S32" i="21"/>
  <c r="AB32" i="21"/>
  <c r="U32" i="21"/>
  <c r="U32" i="39"/>
  <c r="AC32" i="39"/>
  <c r="W32" i="39"/>
  <c r="AC19" i="37"/>
  <c r="W23" i="37"/>
  <c r="AC23" i="37"/>
  <c r="I63" i="37"/>
  <c r="J63" i="37"/>
  <c r="K63" i="37" s="1"/>
  <c r="L63" i="37" s="1"/>
  <c r="M63" i="37" s="1"/>
  <c r="J11" i="37"/>
  <c r="AC11" i="37" s="1"/>
  <c r="H70" i="34"/>
  <c r="I70" i="34" s="1"/>
  <c r="J70" i="34" s="1"/>
  <c r="K70" i="34" s="1"/>
  <c r="L70" i="34" s="1"/>
  <c r="M70" i="34" s="1"/>
  <c r="J11" i="34"/>
  <c r="W11" i="34" s="1"/>
  <c r="W25" i="33"/>
  <c r="AC25" i="33"/>
  <c r="AB19" i="33"/>
  <c r="U19" i="33"/>
  <c r="U23" i="21"/>
  <c r="AB23" i="21"/>
  <c r="H109" i="9"/>
  <c r="H112" i="9"/>
  <c r="D21" i="53" s="1"/>
  <c r="B39" i="72" s="1"/>
  <c r="H111" i="9"/>
  <c r="AD3" i="71"/>
  <c r="J1" i="73"/>
  <c r="H69" i="43"/>
  <c r="H50" i="43"/>
  <c r="C22" i="71"/>
  <c r="C21" i="71" s="1"/>
  <c r="C20" i="71" s="1"/>
  <c r="C19"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D20" i="71"/>
  <c r="B9" i="76"/>
  <c r="B11" i="76"/>
  <c r="M23" i="15"/>
  <c r="F9" i="15"/>
  <c r="F7" i="15"/>
  <c r="M9" i="15"/>
  <c r="F42" i="67"/>
  <c r="M29" i="67"/>
  <c r="L48" i="15"/>
  <c r="F26" i="67"/>
  <c r="F36" i="15"/>
  <c r="M29" i="15"/>
  <c r="F6" i="15"/>
  <c r="D34" i="9"/>
  <c r="M28" i="67"/>
  <c r="M26" i="15"/>
  <c r="D35" i="9"/>
  <c r="B8" i="76"/>
  <c r="F37" i="15"/>
  <c r="B13" i="76"/>
  <c r="E10" i="76"/>
  <c r="F8" i="15"/>
  <c r="C19" i="9"/>
  <c r="J15" i="15"/>
  <c r="F16" i="15"/>
  <c r="C76" i="15"/>
  <c r="F40" i="67"/>
  <c r="E2" i="69"/>
  <c r="D19" i="9"/>
  <c r="E2" i="68"/>
  <c r="F6" i="67"/>
  <c r="F38" i="15"/>
  <c r="C20" i="9"/>
  <c r="B12" i="76"/>
  <c r="D20" i="9"/>
  <c r="F16" i="67"/>
  <c r="F43" i="67"/>
  <c r="E7" i="76"/>
  <c r="F13" i="67"/>
  <c r="M22" i="15"/>
  <c r="F20" i="31"/>
  <c r="F4" i="73"/>
  <c r="E11" i="76"/>
  <c r="F5" i="73"/>
  <c r="M22" i="67"/>
  <c r="M26" i="67"/>
  <c r="F26" i="15"/>
  <c r="B10" i="76"/>
  <c r="M28" i="15"/>
  <c r="F43" i="15"/>
  <c r="F40" i="15"/>
  <c r="F42" i="15"/>
  <c r="D4" i="73"/>
  <c r="M6" i="15"/>
  <c r="E13" i="76"/>
  <c r="E12" i="76"/>
  <c r="L47" i="15"/>
  <c r="M8" i="15"/>
  <c r="F6" i="73"/>
  <c r="F13" i="15"/>
  <c r="F3" i="73"/>
  <c r="AO13" i="1"/>
  <c r="D6" i="73"/>
  <c r="E9" i="76"/>
  <c r="M24" i="15"/>
  <c r="F7" i="73"/>
  <c r="E8" i="76"/>
  <c r="B7" i="76"/>
  <c r="U33" i="33" l="1"/>
  <c r="S33" i="33"/>
  <c r="G13" i="3"/>
  <c r="M7" i="1"/>
  <c r="O7" i="1" s="1"/>
  <c r="P7" i="1" s="1"/>
  <c r="B61" i="43"/>
  <c r="S32" i="33"/>
  <c r="AC32" i="33"/>
  <c r="U32" i="33"/>
  <c r="S27" i="33"/>
  <c r="W8" i="33"/>
  <c r="B57" i="43"/>
  <c r="B100" i="43"/>
  <c r="B100" i="85"/>
  <c r="B68" i="85"/>
  <c r="B77" i="85"/>
  <c r="B57" i="85"/>
  <c r="B99" i="85"/>
  <c r="B67" i="85"/>
  <c r="B56" i="85"/>
  <c r="B76" i="85"/>
  <c r="B101" i="43"/>
  <c r="B101" i="85"/>
  <c r="B79" i="85"/>
  <c r="B58" i="85"/>
  <c r="B69" i="85"/>
  <c r="B79" i="43"/>
  <c r="B94" i="85"/>
  <c r="B62" i="85"/>
  <c r="B51" i="85"/>
  <c r="B73" i="85"/>
  <c r="J26" i="36"/>
  <c r="W26" i="36" s="1"/>
  <c r="H14" i="36"/>
  <c r="F14" i="36"/>
  <c r="AA14" i="36" s="1"/>
  <c r="J14" i="36"/>
  <c r="AC14" i="36" s="1"/>
  <c r="AB28" i="36"/>
  <c r="U26" i="36"/>
  <c r="AA26" i="36"/>
  <c r="R36" i="36" s="1"/>
  <c r="S18" i="36"/>
  <c r="AC20" i="36"/>
  <c r="AB20" i="36"/>
  <c r="W18" i="36"/>
  <c r="W17" i="33"/>
  <c r="AA17" i="33"/>
  <c r="U17" i="33"/>
  <c r="W14" i="36"/>
  <c r="W27" i="33"/>
  <c r="AB27" i="33"/>
  <c r="S36" i="33"/>
  <c r="W29" i="33"/>
  <c r="C21" i="68"/>
  <c r="C40" i="69"/>
  <c r="G6" i="1"/>
  <c r="I24" i="43"/>
  <c r="C24" i="43" s="1"/>
  <c r="S32" i="37"/>
  <c r="AB20" i="35"/>
  <c r="U20" i="35"/>
  <c r="AZ357" i="3"/>
  <c r="AB35" i="34"/>
  <c r="U35" i="34"/>
  <c r="AZ499" i="3"/>
  <c r="AZ535" i="3"/>
  <c r="W38" i="37"/>
  <c r="AC38" i="37"/>
  <c r="AC30" i="34"/>
  <c r="W30" i="34"/>
  <c r="AC44" i="21"/>
  <c r="W44" i="21"/>
  <c r="AC40" i="21"/>
  <c r="W40" i="21"/>
  <c r="S34" i="21"/>
  <c r="AA34" i="21"/>
  <c r="U40" i="40"/>
  <c r="AB40" i="40"/>
  <c r="U31" i="35"/>
  <c r="AB31" i="35"/>
  <c r="U30" i="36"/>
  <c r="AB30" i="36"/>
  <c r="BL584" i="3"/>
  <c r="BA584" i="3"/>
  <c r="AZ584" i="3" s="1"/>
  <c r="BL582" i="3"/>
  <c r="AZ582" i="3" s="1"/>
  <c r="BL581" i="3"/>
  <c r="BA581" i="3"/>
  <c r="AZ581" i="3" s="1"/>
  <c r="BL580" i="3"/>
  <c r="BA580" i="3"/>
  <c r="BL579" i="3"/>
  <c r="BL578" i="3"/>
  <c r="BA578" i="3"/>
  <c r="AZ578" i="3" s="1"/>
  <c r="BL577" i="3"/>
  <c r="BA577" i="3"/>
  <c r="AZ577" i="3" s="1"/>
  <c r="BL576" i="3"/>
  <c r="BL575" i="3"/>
  <c r="BA575" i="3"/>
  <c r="BL574" i="3"/>
  <c r="BA574" i="3"/>
  <c r="AZ574" i="3" s="1"/>
  <c r="BA565" i="3"/>
  <c r="AZ565" i="3" s="1"/>
  <c r="BL564" i="3"/>
  <c r="BA564" i="3"/>
  <c r="BL563" i="3"/>
  <c r="BA563" i="3"/>
  <c r="BL562" i="3"/>
  <c r="BA562" i="3"/>
  <c r="BL561" i="3"/>
  <c r="BA561" i="3"/>
  <c r="BL560" i="3"/>
  <c r="BL559" i="3"/>
  <c r="G559" i="3"/>
  <c r="AC5" i="3"/>
  <c r="BR5" i="3"/>
  <c r="BL558" i="3"/>
  <c r="BA558" i="3"/>
  <c r="AZ558" i="3" s="1"/>
  <c r="BL557" i="3"/>
  <c r="BI5" i="3"/>
  <c r="BA557" i="3"/>
  <c r="BE5" i="3"/>
  <c r="BL556" i="3"/>
  <c r="BM5" i="3"/>
  <c r="BH5" i="3"/>
  <c r="BA556" i="3"/>
  <c r="AZ556" i="3" s="1"/>
  <c r="BD5" i="3"/>
  <c r="BA555" i="3"/>
  <c r="AZ555" i="3" s="1"/>
  <c r="BP5" i="3"/>
  <c r="BK5" i="3"/>
  <c r="BC5" i="3"/>
  <c r="BT5" i="3"/>
  <c r="G28" i="6" s="1"/>
  <c r="BL553" i="3"/>
  <c r="BA553" i="3"/>
  <c r="AZ553" i="3" s="1"/>
  <c r="BS5" i="3"/>
  <c r="BL552" i="3"/>
  <c r="BO5" i="3"/>
  <c r="BF5" i="3"/>
  <c r="BA552" i="3"/>
  <c r="AZ552" i="3" s="1"/>
  <c r="BB5" i="3"/>
  <c r="E15" i="6" s="1"/>
  <c r="E64" i="39" s="1"/>
  <c r="C18" i="71"/>
  <c r="D19" i="71"/>
  <c r="AC17" i="37"/>
  <c r="W17" i="37"/>
  <c r="W30" i="40"/>
  <c r="AC30" i="40"/>
  <c r="AA39" i="33"/>
  <c r="S39" i="33"/>
  <c r="AZ560" i="3"/>
  <c r="S43" i="39"/>
  <c r="AA43" i="39"/>
  <c r="AA43" i="21"/>
  <c r="S43" i="21"/>
  <c r="AC23" i="35"/>
  <c r="W23" i="35"/>
  <c r="S8" i="40"/>
  <c r="AA8" i="40"/>
  <c r="U34" i="40"/>
  <c r="AB34" i="40"/>
  <c r="F38" i="40"/>
  <c r="J38" i="40"/>
  <c r="D126" i="9"/>
  <c r="D19" i="53"/>
  <c r="B38" i="72" s="1"/>
  <c r="W23" i="21"/>
  <c r="AC9" i="21"/>
  <c r="S29" i="21"/>
  <c r="AA29" i="21"/>
  <c r="S35" i="21"/>
  <c r="AA25" i="36"/>
  <c r="F48" i="9"/>
  <c r="O52" i="9" s="1"/>
  <c r="F30" i="68"/>
  <c r="F48" i="68" s="1"/>
  <c r="F52" i="9"/>
  <c r="F32" i="15"/>
  <c r="F60" i="15" s="1"/>
  <c r="F54" i="9"/>
  <c r="F30" i="11"/>
  <c r="C48" i="11" s="1"/>
  <c r="M18" i="67"/>
  <c r="M18" i="15"/>
  <c r="AB23" i="35"/>
  <c r="G29" i="6"/>
  <c r="S12" i="39"/>
  <c r="AA12" i="39"/>
  <c r="AZ559" i="3"/>
  <c r="AZ566" i="3"/>
  <c r="S28" i="37"/>
  <c r="AA28" i="37"/>
  <c r="U40" i="37"/>
  <c r="AB40" i="37"/>
  <c r="W45" i="33"/>
  <c r="AC45" i="33"/>
  <c r="AB28" i="33"/>
  <c r="U28" i="33"/>
  <c r="AC46" i="21"/>
  <c r="W46" i="21"/>
  <c r="AA14" i="21"/>
  <c r="S14" i="21"/>
  <c r="AB15" i="33"/>
  <c r="U15" i="33"/>
  <c r="AB39" i="33"/>
  <c r="U39" i="33"/>
  <c r="W28" i="35"/>
  <c r="AB43" i="21"/>
  <c r="U43" i="21"/>
  <c r="BL587" i="3"/>
  <c r="AZ587" i="3" s="1"/>
  <c r="AB40" i="21"/>
  <c r="U40" i="21"/>
  <c r="W35" i="21"/>
  <c r="AC35" i="21"/>
  <c r="AA40" i="21"/>
  <c r="S40" i="21"/>
  <c r="B99" i="43"/>
  <c r="B76" i="43"/>
  <c r="B56" i="43"/>
  <c r="B67" i="43"/>
  <c r="C27" i="39"/>
  <c r="AB9" i="33"/>
  <c r="U9" i="33"/>
  <c r="AC33" i="33"/>
  <c r="W33" i="33"/>
  <c r="AB38" i="33"/>
  <c r="U38" i="33"/>
  <c r="J9" i="33"/>
  <c r="F9" i="33"/>
  <c r="AA9" i="33" s="1"/>
  <c r="AC23" i="39"/>
  <c r="W23" i="39"/>
  <c r="H44" i="39"/>
  <c r="J44" i="39"/>
  <c r="F44" i="39"/>
  <c r="AA38" i="39"/>
  <c r="S38" i="39"/>
  <c r="H38" i="40"/>
  <c r="T20" i="71"/>
  <c r="E15" i="71"/>
  <c r="E14" i="71" s="1"/>
  <c r="E13" i="71" s="1"/>
  <c r="E12" i="71" s="1"/>
  <c r="V16" i="71"/>
  <c r="M49" i="9"/>
  <c r="D16" i="53"/>
  <c r="B34" i="72" s="1"/>
  <c r="D21" i="71"/>
  <c r="U20" i="71" s="1"/>
  <c r="D22" i="71"/>
  <c r="AA23" i="33"/>
  <c r="AB36" i="33"/>
  <c r="D6" i="52"/>
  <c r="W36" i="37"/>
  <c r="AA23" i="21"/>
  <c r="S23" i="21"/>
  <c r="U12" i="39"/>
  <c r="AB12" i="39"/>
  <c r="AZ17" i="3"/>
  <c r="AZ372" i="3"/>
  <c r="AZ343" i="3"/>
  <c r="S22" i="36"/>
  <c r="AA22" i="36"/>
  <c r="BL495" i="3"/>
  <c r="BQ5" i="3"/>
  <c r="F28" i="6" s="1"/>
  <c r="E28" i="6" s="1"/>
  <c r="K14" i="1" s="1"/>
  <c r="AZ579" i="3"/>
  <c r="AZ568" i="3"/>
  <c r="AZ576" i="3"/>
  <c r="U13" i="40"/>
  <c r="AB13" i="40"/>
  <c r="S15" i="40"/>
  <c r="AA15" i="40"/>
  <c r="AA11" i="33"/>
  <c r="S11" i="33"/>
  <c r="W8" i="40"/>
  <c r="AA36" i="21"/>
  <c r="S36" i="21"/>
  <c r="G587" i="3"/>
  <c r="AB29" i="37"/>
  <c r="U29" i="37"/>
  <c r="AB30" i="37"/>
  <c r="U30" i="37"/>
  <c r="U9" i="40"/>
  <c r="AB9" i="40"/>
  <c r="S38" i="34"/>
  <c r="AA38" i="34"/>
  <c r="AA42" i="34"/>
  <c r="S42" i="34"/>
  <c r="AZ495" i="3"/>
  <c r="AZ567" i="3"/>
  <c r="W11" i="35"/>
  <c r="AC11" i="35"/>
  <c r="BA586" i="3"/>
  <c r="AZ586" i="3" s="1"/>
  <c r="BL585" i="3"/>
  <c r="AZ585" i="3" s="1"/>
  <c r="AA11" i="36"/>
  <c r="S11" i="36"/>
  <c r="J32" i="36"/>
  <c r="W32" i="36" s="1"/>
  <c r="F32" i="36"/>
  <c r="J27" i="37"/>
  <c r="H27" i="37"/>
  <c r="F27" i="37"/>
  <c r="S40" i="33"/>
  <c r="AA40" i="33"/>
  <c r="BL572" i="3"/>
  <c r="AZ572" i="3" s="1"/>
  <c r="BL554" i="3"/>
  <c r="AZ554" i="3" s="1"/>
  <c r="BA551" i="3"/>
  <c r="AZ551" i="3" s="1"/>
  <c r="BA549" i="3"/>
  <c r="AZ549" i="3" s="1"/>
  <c r="BL547" i="3"/>
  <c r="AZ547" i="3" s="1"/>
  <c r="BA541" i="3"/>
  <c r="AZ541" i="3" s="1"/>
  <c r="BA540" i="3"/>
  <c r="AZ540" i="3" s="1"/>
  <c r="BL536" i="3"/>
  <c r="BA536" i="3"/>
  <c r="AZ536" i="3" s="1"/>
  <c r="BL534" i="3"/>
  <c r="AZ534" i="3" s="1"/>
  <c r="BA533" i="3"/>
  <c r="AZ533" i="3" s="1"/>
  <c r="BA532" i="3"/>
  <c r="AZ532" i="3" s="1"/>
  <c r="BL528" i="3"/>
  <c r="AZ528" i="3" s="1"/>
  <c r="BL523" i="3"/>
  <c r="AZ523" i="3" s="1"/>
  <c r="BL520" i="3"/>
  <c r="AZ520" i="3" s="1"/>
  <c r="BL519" i="3"/>
  <c r="AZ519" i="3" s="1"/>
  <c r="BL516" i="3"/>
  <c r="AZ516" i="3" s="1"/>
  <c r="BA515" i="3"/>
  <c r="AZ515" i="3" s="1"/>
  <c r="BA512" i="3"/>
  <c r="AZ512" i="3" s="1"/>
  <c r="BL511" i="3"/>
  <c r="AZ511" i="3" s="1"/>
  <c r="BA508" i="3"/>
  <c r="AZ508" i="3" s="1"/>
  <c r="BL507" i="3"/>
  <c r="AZ507" i="3" s="1"/>
  <c r="BA502" i="3"/>
  <c r="AZ502" i="3" s="1"/>
  <c r="BL498" i="3"/>
  <c r="AZ498" i="3" s="1"/>
  <c r="BL496" i="3"/>
  <c r="AA27" i="40"/>
  <c r="AB27" i="40"/>
  <c r="AZ537" i="3"/>
  <c r="AZ524" i="3"/>
  <c r="AZ548" i="3"/>
  <c r="AC14" i="37"/>
  <c r="AB33" i="35"/>
  <c r="U33" i="35"/>
  <c r="S39" i="37"/>
  <c r="AA39" i="37"/>
  <c r="B94" i="43"/>
  <c r="C21" i="39"/>
  <c r="B73" i="43"/>
  <c r="U12" i="33"/>
  <c r="AB12" i="33"/>
  <c r="H29" i="33"/>
  <c r="F29" i="33"/>
  <c r="H45" i="33"/>
  <c r="F45" i="33"/>
  <c r="AA14" i="34"/>
  <c r="S14" i="34"/>
  <c r="H32" i="34"/>
  <c r="J32" i="34"/>
  <c r="H12" i="35"/>
  <c r="J12" i="35"/>
  <c r="F12" i="35"/>
  <c r="J25" i="36"/>
  <c r="H25" i="36"/>
  <c r="W31" i="35"/>
  <c r="AC31" i="35"/>
  <c r="AC30" i="36"/>
  <c r="W30" i="36"/>
  <c r="BL583" i="3"/>
  <c r="BA583" i="3"/>
  <c r="AZ583" i="3" s="1"/>
  <c r="S41" i="34"/>
  <c r="AA41" i="34"/>
  <c r="AB43" i="33"/>
  <c r="U43" i="33"/>
  <c r="AZ517" i="3"/>
  <c r="AZ529" i="3"/>
  <c r="H12" i="21"/>
  <c r="F12" i="21"/>
  <c r="J12" i="21"/>
  <c r="F26" i="33"/>
  <c r="J26" i="33"/>
  <c r="H26" i="33"/>
  <c r="AC26" i="37"/>
  <c r="W26" i="37"/>
  <c r="W32" i="40"/>
  <c r="AC32" i="40"/>
  <c r="AB34" i="37"/>
  <c r="U34" i="37"/>
  <c r="BA544" i="3"/>
  <c r="AZ544" i="3" s="1"/>
  <c r="BL539" i="3"/>
  <c r="AZ539" i="3" s="1"/>
  <c r="BL531" i="3"/>
  <c r="AZ531" i="3" s="1"/>
  <c r="BA525" i="3"/>
  <c r="AZ525" i="3" s="1"/>
  <c r="BL514" i="3"/>
  <c r="AZ514" i="3" s="1"/>
  <c r="BA505" i="3"/>
  <c r="AZ505" i="3" s="1"/>
  <c r="BA497" i="3"/>
  <c r="AZ497" i="3" s="1"/>
  <c r="BA496" i="3"/>
  <c r="AZ496" i="3" s="1"/>
  <c r="AZ399" i="3"/>
  <c r="AZ403" i="3"/>
  <c r="AZ413" i="3"/>
  <c r="W12" i="34"/>
  <c r="AC12" i="34"/>
  <c r="AC9" i="34"/>
  <c r="W9" i="34"/>
  <c r="AB9" i="36"/>
  <c r="U9" i="36"/>
  <c r="AC28" i="36"/>
  <c r="W28" i="36"/>
  <c r="J23" i="36"/>
  <c r="F23" i="36"/>
  <c r="H45" i="39"/>
  <c r="F45" i="39"/>
  <c r="U39" i="40"/>
  <c r="AB39" i="40"/>
  <c r="AZ421" i="3"/>
  <c r="J14" i="21"/>
  <c r="H14" i="21"/>
  <c r="H30" i="21"/>
  <c r="J30" i="21"/>
  <c r="S35" i="34"/>
  <c r="AA35" i="34"/>
  <c r="S34" i="35"/>
  <c r="AA34" i="35"/>
  <c r="J31" i="34"/>
  <c r="F31" i="34"/>
  <c r="H47" i="34"/>
  <c r="J47" i="34"/>
  <c r="H24" i="36"/>
  <c r="J24" i="36"/>
  <c r="F24" i="36"/>
  <c r="H25" i="37"/>
  <c r="F25" i="37"/>
  <c r="AC40" i="39"/>
  <c r="W40" i="39"/>
  <c r="AB41" i="21"/>
  <c r="U41" i="21"/>
  <c r="G570" i="3"/>
  <c r="BL550" i="3"/>
  <c r="AZ550" i="3" s="1"/>
  <c r="AZ402" i="3"/>
  <c r="AZ406" i="3"/>
  <c r="BA412" i="3"/>
  <c r="AZ412" i="3" s="1"/>
  <c r="BA416" i="3"/>
  <c r="AZ416" i="3" s="1"/>
  <c r="BL418" i="3"/>
  <c r="BA420" i="3"/>
  <c r="AZ420" i="3" s="1"/>
  <c r="BL422" i="3"/>
  <c r="G424" i="3"/>
  <c r="AZ426" i="3"/>
  <c r="G431" i="3"/>
  <c r="AZ446" i="3"/>
  <c r="AZ458" i="3"/>
  <c r="AZ461" i="3"/>
  <c r="AZ462" i="3"/>
  <c r="AZ486" i="3"/>
  <c r="AZ488" i="3"/>
  <c r="AZ316" i="3"/>
  <c r="AZ211" i="3"/>
  <c r="AZ239" i="3"/>
  <c r="AZ247" i="3"/>
  <c r="AZ276" i="3"/>
  <c r="AZ415" i="3"/>
  <c r="AZ418" i="3"/>
  <c r="AZ422" i="3"/>
  <c r="AZ423" i="3"/>
  <c r="AZ430" i="3"/>
  <c r="AZ432" i="3"/>
  <c r="AZ434" i="3"/>
  <c r="AZ449" i="3"/>
  <c r="AZ464" i="3"/>
  <c r="AZ467" i="3"/>
  <c r="AZ492" i="3"/>
  <c r="AZ221" i="3"/>
  <c r="AZ282" i="3"/>
  <c r="A15" i="62"/>
  <c r="B61" i="72" s="1"/>
  <c r="G413" i="3"/>
  <c r="G417" i="3"/>
  <c r="BA419" i="3"/>
  <c r="AZ419" i="3" s="1"/>
  <c r="BA424" i="3"/>
  <c r="AZ424" i="3" s="1"/>
  <c r="BA427" i="3"/>
  <c r="AZ427" i="3" s="1"/>
  <c r="AZ429" i="3"/>
  <c r="BA431" i="3"/>
  <c r="AZ431" i="3" s="1"/>
  <c r="BA433" i="3"/>
  <c r="AZ433" i="3" s="1"/>
  <c r="AZ435" i="3"/>
  <c r="AZ436" i="3"/>
  <c r="AZ445" i="3"/>
  <c r="AZ447" i="3"/>
  <c r="AZ450" i="3"/>
  <c r="AZ451" i="3"/>
  <c r="AZ460" i="3"/>
  <c r="AZ468" i="3"/>
  <c r="AZ469" i="3"/>
  <c r="AZ226" i="3"/>
  <c r="AZ236" i="3"/>
  <c r="AZ244" i="3"/>
  <c r="AZ246" i="3"/>
  <c r="AZ258" i="3"/>
  <c r="AZ264" i="3"/>
  <c r="AZ267" i="3"/>
  <c r="AZ277" i="3"/>
  <c r="G280" i="3"/>
  <c r="BA285" i="3"/>
  <c r="AZ285" i="3" s="1"/>
  <c r="BA287" i="3"/>
  <c r="AZ287" i="3" s="1"/>
  <c r="G290" i="3"/>
  <c r="BL291" i="3"/>
  <c r="AZ291" i="3" s="1"/>
  <c r="AZ294" i="3"/>
  <c r="AZ302" i="3"/>
  <c r="AZ126" i="3"/>
  <c r="AZ145" i="3"/>
  <c r="AZ153" i="3"/>
  <c r="AZ36" i="3"/>
  <c r="BA279" i="3"/>
  <c r="AZ279" i="3" s="1"/>
  <c r="BL283" i="3"/>
  <c r="AZ283" i="3" s="1"/>
  <c r="G285" i="3"/>
  <c r="BL289" i="3"/>
  <c r="AZ289" i="3" s="1"/>
  <c r="BA281" i="3"/>
  <c r="AZ281" i="3" s="1"/>
  <c r="AZ284" i="3"/>
  <c r="AZ125" i="3"/>
  <c r="AZ129" i="3"/>
  <c r="AZ137" i="3"/>
  <c r="BL163" i="3"/>
  <c r="AZ163" i="3" s="1"/>
  <c r="BL169" i="3"/>
  <c r="AZ169" i="3" s="1"/>
  <c r="BL175" i="3"/>
  <c r="AZ175" i="3" s="1"/>
  <c r="BL198" i="3"/>
  <c r="AZ198" i="3" s="1"/>
  <c r="AZ207" i="3"/>
  <c r="BA18" i="3"/>
  <c r="AZ18" i="3" s="1"/>
  <c r="G21" i="3"/>
  <c r="BL21" i="3"/>
  <c r="AZ21" i="3" s="1"/>
  <c r="BL22" i="3"/>
  <c r="AZ27" i="3"/>
  <c r="BL30" i="3"/>
  <c r="AZ40" i="3"/>
  <c r="G163" i="3"/>
  <c r="G175" i="3"/>
  <c r="BL181" i="3"/>
  <c r="AZ181" i="3" s="1"/>
  <c r="BA189" i="3"/>
  <c r="AZ189" i="3" s="1"/>
  <c r="BL195" i="3"/>
  <c r="AZ195" i="3" s="1"/>
  <c r="BA201" i="3"/>
  <c r="G204" i="3"/>
  <c r="G205" i="3"/>
  <c r="BA20" i="3"/>
  <c r="AZ20" i="3" s="1"/>
  <c r="G24" i="3"/>
  <c r="BL24" i="3"/>
  <c r="AZ24" i="3" s="1"/>
  <c r="BL25" i="3"/>
  <c r="G26" i="3"/>
  <c r="BA28" i="3"/>
  <c r="AZ28" i="3" s="1"/>
  <c r="BL32" i="3"/>
  <c r="G33" i="3"/>
  <c r="BA35" i="3"/>
  <c r="AZ35" i="3" s="1"/>
  <c r="BA45" i="3"/>
  <c r="AZ45" i="3" s="1"/>
  <c r="BA48" i="3"/>
  <c r="AZ48" i="3" s="1"/>
  <c r="G54" i="3"/>
  <c r="AZ22" i="3"/>
  <c r="AZ30" i="3"/>
  <c r="BL166" i="3"/>
  <c r="AZ166" i="3" s="1"/>
  <c r="G172" i="3"/>
  <c r="BA177" i="3"/>
  <c r="AZ177" i="3" s="1"/>
  <c r="BL186" i="3"/>
  <c r="AZ186" i="3" s="1"/>
  <c r="BA194" i="3"/>
  <c r="AZ194" i="3" s="1"/>
  <c r="BL201" i="3"/>
  <c r="G202" i="3"/>
  <c r="BA205" i="3"/>
  <c r="AZ205" i="3" s="1"/>
  <c r="G19" i="3"/>
  <c r="G5" i="3" s="1"/>
  <c r="B3" i="3" s="1"/>
  <c r="BL19" i="3"/>
  <c r="AZ19" i="3" s="1"/>
  <c r="BA25" i="3"/>
  <c r="BL27" i="3"/>
  <c r="BA32" i="3"/>
  <c r="AZ32" i="3" s="1"/>
  <c r="BL34" i="3"/>
  <c r="AZ34" i="3" s="1"/>
  <c r="G46" i="3"/>
  <c r="G49" i="3"/>
  <c r="BA53" i="3"/>
  <c r="AZ53" i="3" s="1"/>
  <c r="BA56" i="3"/>
  <c r="AZ56" i="3" s="1"/>
  <c r="AZ60" i="3"/>
  <c r="AZ68" i="3"/>
  <c r="AZ91" i="3"/>
  <c r="BL89" i="3"/>
  <c r="AZ89" i="3" s="1"/>
  <c r="G94" i="3"/>
  <c r="G97" i="3"/>
  <c r="BL108" i="3"/>
  <c r="T44" i="71"/>
  <c r="D44" i="71"/>
  <c r="BA99" i="3"/>
  <c r="AZ99" i="3" s="1"/>
  <c r="AZ108" i="3"/>
  <c r="AC21" i="34"/>
  <c r="N67" i="71"/>
  <c r="B66" i="71"/>
  <c r="U21" i="34"/>
  <c r="BA90" i="3"/>
  <c r="AZ90" i="3" s="1"/>
  <c r="BL102" i="3"/>
  <c r="AZ102" i="3" s="1"/>
  <c r="AB21" i="21"/>
  <c r="C26" i="71"/>
  <c r="D26" i="71" s="1"/>
  <c r="D27" i="71"/>
  <c r="AB18" i="35"/>
  <c r="AB25" i="40"/>
  <c r="S21" i="21"/>
  <c r="Y31" i="71"/>
  <c r="Z31" i="71" s="1"/>
  <c r="Y33" i="71"/>
  <c r="Z33" i="71" s="1"/>
  <c r="X18" i="71"/>
  <c r="AA24" i="71"/>
  <c r="AA18" i="71"/>
  <c r="X17" i="71"/>
  <c r="AA14" i="71"/>
  <c r="AA11" i="71"/>
  <c r="Y32" i="71"/>
  <c r="Z32" i="71" s="1"/>
  <c r="AB30" i="71"/>
  <c r="E34" i="71"/>
  <c r="E35" i="71" s="1"/>
  <c r="E36" i="71" s="1"/>
  <c r="U36" i="71" s="1"/>
  <c r="AA33" i="71"/>
  <c r="X34" i="71"/>
  <c r="X36" i="71"/>
  <c r="X32" i="71"/>
  <c r="AB36" i="71"/>
  <c r="AB37" i="71"/>
  <c r="AB24" i="71"/>
  <c r="Y14" i="71"/>
  <c r="Z14" i="71" s="1"/>
  <c r="Y17" i="71"/>
  <c r="Z17" i="71" s="1"/>
  <c r="D64" i="71"/>
  <c r="D56" i="71"/>
  <c r="O65" i="71"/>
  <c r="C86" i="71"/>
  <c r="D86" i="71" s="1"/>
  <c r="D67" i="71"/>
  <c r="D28" i="71"/>
  <c r="U28" i="71" s="1"/>
  <c r="AA25" i="71"/>
  <c r="E28" i="71"/>
  <c r="AB25" i="71"/>
  <c r="C79" i="71"/>
  <c r="C75" i="71"/>
  <c r="D42" i="71"/>
  <c r="X25" i="71"/>
  <c r="Y26" i="71"/>
  <c r="Z26" i="71" s="1"/>
  <c r="AA30" i="71"/>
  <c r="AA29" i="71"/>
  <c r="B31" i="71"/>
  <c r="B32" i="71" s="1"/>
  <c r="S32" i="71" s="1"/>
  <c r="AB29" i="71"/>
  <c r="Y30" i="71"/>
  <c r="Z30" i="71" s="1"/>
  <c r="AB34" i="71"/>
  <c r="Y36" i="71"/>
  <c r="Z36" i="71" s="1"/>
  <c r="B38" i="71"/>
  <c r="B39" i="71" s="1"/>
  <c r="B40" i="71" s="1"/>
  <c r="S40" i="71" s="1"/>
  <c r="X37" i="71"/>
  <c r="X9" i="71"/>
  <c r="X10" i="71"/>
  <c r="AB10" i="71"/>
  <c r="E43" i="71"/>
  <c r="E44" i="71" s="1"/>
  <c r="U44" i="71" s="1"/>
  <c r="B47" i="71"/>
  <c r="B48" i="71" s="1"/>
  <c r="S48" i="71" s="1"/>
  <c r="F75" i="71"/>
  <c r="F74" i="71" s="1"/>
  <c r="X24" i="71"/>
  <c r="AA22" i="71"/>
  <c r="AA21" i="71"/>
  <c r="Y18" i="71"/>
  <c r="Z18" i="71" s="1"/>
  <c r="AB18" i="71"/>
  <c r="AA10" i="71"/>
  <c r="AA17" i="71"/>
  <c r="AA28" i="71"/>
  <c r="AA3" i="71"/>
  <c r="D76" i="71"/>
  <c r="Y28" i="71"/>
  <c r="Z28" i="71" s="1"/>
  <c r="C34" i="71"/>
  <c r="X26" i="71"/>
  <c r="AA34" i="71"/>
  <c r="AA36" i="71"/>
  <c r="F38" i="71"/>
  <c r="F39" i="71" s="1"/>
  <c r="F40" i="71" s="1"/>
  <c r="V40" i="71" s="1"/>
  <c r="Y10" i="71"/>
  <c r="Z10" i="71" s="1"/>
  <c r="Y39" i="71"/>
  <c r="Z39" i="71" s="1"/>
  <c r="Y9" i="71"/>
  <c r="Z9" i="71" s="1"/>
  <c r="Y25" i="71"/>
  <c r="Z25" i="71" s="1"/>
  <c r="Y27" i="71"/>
  <c r="Z27" i="71" s="1"/>
  <c r="Y21" i="71"/>
  <c r="Z21" i="71" s="1"/>
  <c r="Y22" i="71"/>
  <c r="Z22" i="71" s="1"/>
  <c r="Y24" i="71"/>
  <c r="Z24" i="71" s="1"/>
  <c r="Y23" i="71"/>
  <c r="Z23" i="71" s="1"/>
  <c r="AB12" i="71"/>
  <c r="AB17" i="71"/>
  <c r="AB23" i="71"/>
  <c r="AB21" i="71"/>
  <c r="X21" i="71"/>
  <c r="X15" i="71"/>
  <c r="AB9" i="71"/>
  <c r="X13" i="71"/>
  <c r="Y11" i="71"/>
  <c r="Z11" i="71" s="1"/>
  <c r="AB11" i="71"/>
  <c r="X12" i="71"/>
  <c r="X14" i="71"/>
  <c r="Y12" i="71"/>
  <c r="Z12" i="71" s="1"/>
  <c r="AA9" i="71"/>
  <c r="K56" i="9"/>
  <c r="AA23" i="71"/>
  <c r="X22" i="71"/>
  <c r="AA15" i="71"/>
  <c r="AB13" i="71"/>
  <c r="AA13" i="71"/>
  <c r="X11" i="71"/>
  <c r="Y13" i="71"/>
  <c r="Z13" i="71" s="1"/>
  <c r="N56" i="9"/>
  <c r="AB15" i="71"/>
  <c r="AB14" i="71"/>
  <c r="AA12"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G30" i="6"/>
  <c r="G31" i="6"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T36" i="36" s="1"/>
  <c r="S27" i="36"/>
  <c r="AC27" i="36"/>
  <c r="V36" i="36" s="1"/>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12" i="6"/>
  <c r="E57" i="40" s="1"/>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D103" i="9"/>
  <c r="C27" i="67"/>
  <c r="F71" i="67"/>
  <c r="C27" i="15"/>
  <c r="F65" i="15"/>
  <c r="G20" i="9"/>
  <c r="C103" i="9"/>
  <c r="B13" i="70"/>
  <c r="F68" i="67"/>
  <c r="F68" i="15"/>
  <c r="C36" i="68"/>
  <c r="D9" i="68"/>
  <c r="D5" i="73"/>
  <c r="C16" i="15"/>
  <c r="M24" i="67"/>
  <c r="F7" i="67"/>
  <c r="M6" i="67"/>
  <c r="L47" i="67"/>
  <c r="D9" i="69"/>
  <c r="F27" i="69"/>
  <c r="C36" i="69"/>
  <c r="D7" i="73"/>
  <c r="D3" i="73"/>
  <c r="F9" i="67"/>
  <c r="F38" i="67"/>
  <c r="L48" i="67"/>
  <c r="C16" i="67"/>
  <c r="C76" i="67"/>
  <c r="F8" i="67"/>
  <c r="F37" i="67"/>
  <c r="M9" i="67"/>
  <c r="F36" i="67"/>
  <c r="M23" i="67"/>
  <c r="J15" i="67"/>
  <c r="M8" i="67"/>
  <c r="E10" i="6" l="1"/>
  <c r="E11" i="6"/>
  <c r="E60" i="39" s="1"/>
  <c r="E14" i="6"/>
  <c r="E63" i="39" s="1"/>
  <c r="E8" i="6"/>
  <c r="F27" i="6" s="1"/>
  <c r="N94" i="46"/>
  <c r="AC26" i="36"/>
  <c r="S14" i="36"/>
  <c r="U14" i="36"/>
  <c r="AB14" i="36"/>
  <c r="J26" i="43"/>
  <c r="N370" i="46"/>
  <c r="F26" i="43"/>
  <c r="E26" i="43"/>
  <c r="H26" i="43"/>
  <c r="P6" i="1"/>
  <c r="C13" i="12" s="1"/>
  <c r="E59" i="40"/>
  <c r="F51" i="67"/>
  <c r="C6" i="67"/>
  <c r="C32" i="67" s="1"/>
  <c r="J57" i="67"/>
  <c r="J55" i="67" s="1"/>
  <c r="J58" i="67" s="1"/>
  <c r="Q50" i="67" s="1"/>
  <c r="L56" i="67"/>
  <c r="I54" i="67"/>
  <c r="J53" i="67"/>
  <c r="F1" i="67" s="1"/>
  <c r="F64" i="67"/>
  <c r="L58" i="67"/>
  <c r="Q60" i="67" s="1"/>
  <c r="M59" i="67"/>
  <c r="N59" i="67"/>
  <c r="L59" i="67"/>
  <c r="Q74" i="67" s="1"/>
  <c r="F65" i="67"/>
  <c r="K1" i="73"/>
  <c r="F31" i="67"/>
  <c r="F50" i="67"/>
  <c r="M7" i="67"/>
  <c r="J6" i="67" s="1"/>
  <c r="J18" i="67" s="1"/>
  <c r="F66" i="67"/>
  <c r="Q71" i="67"/>
  <c r="E510" i="3"/>
  <c r="E539" i="3"/>
  <c r="E536" i="3"/>
  <c r="E148" i="3"/>
  <c r="E212" i="3"/>
  <c r="E199" i="3"/>
  <c r="E286" i="3"/>
  <c r="E499" i="3"/>
  <c r="R6" i="3"/>
  <c r="E502" i="3"/>
  <c r="E442" i="3"/>
  <c r="E466" i="3"/>
  <c r="E541" i="3"/>
  <c r="E430" i="3"/>
  <c r="E449" i="3"/>
  <c r="E255" i="3"/>
  <c r="I3" i="6"/>
  <c r="AP6" i="3"/>
  <c r="E554" i="3"/>
  <c r="E517" i="3"/>
  <c r="E435" i="3"/>
  <c r="E491" i="3"/>
  <c r="E479" i="3"/>
  <c r="E56" i="3"/>
  <c r="E37" i="3"/>
  <c r="E95" i="3"/>
  <c r="E152" i="3"/>
  <c r="E132" i="3"/>
  <c r="E192" i="3"/>
  <c r="E258" i="3"/>
  <c r="E241" i="3"/>
  <c r="E292" i="3"/>
  <c r="E349" i="3"/>
  <c r="E389" i="3"/>
  <c r="E544" i="3"/>
  <c r="E76" i="3"/>
  <c r="E59" i="3"/>
  <c r="E409" i="3"/>
  <c r="E484" i="3"/>
  <c r="E425" i="3"/>
  <c r="E467" i="3"/>
  <c r="E64" i="3"/>
  <c r="E103" i="3"/>
  <c r="E160" i="3"/>
  <c r="E142" i="3"/>
  <c r="E200" i="3"/>
  <c r="E267" i="3"/>
  <c r="E249" i="3"/>
  <c r="E300" i="3"/>
  <c r="E371" i="3"/>
  <c r="E492" i="3"/>
  <c r="E23" i="3"/>
  <c r="E84" i="3"/>
  <c r="E67" i="3"/>
  <c r="E144" i="3"/>
  <c r="E184" i="3"/>
  <c r="E233" i="3"/>
  <c r="E355" i="3"/>
  <c r="E381" i="3"/>
  <c r="E68" i="3"/>
  <c r="E63" i="3"/>
  <c r="E81" i="3"/>
  <c r="E118" i="3"/>
  <c r="E264" i="3"/>
  <c r="E283" i="3"/>
  <c r="E16" i="3"/>
  <c r="E140" i="3"/>
  <c r="E167" i="3"/>
  <c r="E105" i="3"/>
  <c r="E525" i="3"/>
  <c r="E542" i="3"/>
  <c r="E543" i="3"/>
  <c r="E456" i="3"/>
  <c r="E487" i="3"/>
  <c r="E422" i="3"/>
  <c r="E451" i="3"/>
  <c r="E374" i="3"/>
  <c r="AH6" i="3"/>
  <c r="E13" i="3"/>
  <c r="E483" i="3"/>
  <c r="E420" i="3"/>
  <c r="E39" i="3"/>
  <c r="E25" i="3"/>
  <c r="E115" i="3"/>
  <c r="E187" i="3"/>
  <c r="E281" i="3"/>
  <c r="E259" i="3"/>
  <c r="E346" i="3"/>
  <c r="E356" i="3"/>
  <c r="E504" i="3"/>
  <c r="E60" i="3"/>
  <c r="E75" i="3"/>
  <c r="E462" i="3"/>
  <c r="E15" i="3"/>
  <c r="E18" i="3"/>
  <c r="E98" i="3"/>
  <c r="E100" i="3"/>
  <c r="E190" i="3"/>
  <c r="E234" i="3"/>
  <c r="E235" i="3"/>
  <c r="E307" i="3"/>
  <c r="E325" i="3"/>
  <c r="E522" i="3"/>
  <c r="E66" i="3"/>
  <c r="E36" i="3"/>
  <c r="E127" i="3"/>
  <c r="E289" i="3"/>
  <c r="E370" i="3"/>
  <c r="Y6" i="3"/>
  <c r="E20" i="3"/>
  <c r="E113" i="3"/>
  <c r="E179" i="3"/>
  <c r="E265" i="3"/>
  <c r="E326" i="3"/>
  <c r="E82" i="3"/>
  <c r="E244" i="3"/>
  <c r="E223" i="3"/>
  <c r="E173" i="3"/>
  <c r="E312" i="3"/>
  <c r="E493" i="3"/>
  <c r="T6" i="3"/>
  <c r="E421" i="3"/>
  <c r="E486" i="3"/>
  <c r="E512" i="3"/>
  <c r="E416" i="3"/>
  <c r="E490" i="3"/>
  <c r="E556" i="3"/>
  <c r="E500" i="3"/>
  <c r="E498" i="3"/>
  <c r="E452" i="3"/>
  <c r="E520" i="3"/>
  <c r="E463" i="3"/>
  <c r="E104" i="3"/>
  <c r="E57" i="3"/>
  <c r="E178" i="3"/>
  <c r="E139" i="3"/>
  <c r="E240" i="3"/>
  <c r="E226" i="3"/>
  <c r="E332" i="3"/>
  <c r="E378" i="3"/>
  <c r="E372" i="3"/>
  <c r="E42" i="3"/>
  <c r="E110" i="3"/>
  <c r="E540" i="3"/>
  <c r="E482" i="3"/>
  <c r="E446" i="3"/>
  <c r="E79" i="3"/>
  <c r="E78" i="3"/>
  <c r="E138" i="3"/>
  <c r="E137" i="3"/>
  <c r="E220" i="3"/>
  <c r="E209" i="3"/>
  <c r="E299" i="3"/>
  <c r="E383" i="3"/>
  <c r="E354" i="3"/>
  <c r="AQ6" i="3"/>
  <c r="E86" i="3"/>
  <c r="E48" i="3"/>
  <c r="E123" i="3"/>
  <c r="E232" i="3"/>
  <c r="E284" i="3"/>
  <c r="E364" i="3"/>
  <c r="E102" i="3"/>
  <c r="E176" i="3"/>
  <c r="E287" i="3"/>
  <c r="E323" i="3"/>
  <c r="E524" i="3"/>
  <c r="E329" i="3"/>
  <c r="E296" i="3"/>
  <c r="E149" i="3"/>
  <c r="E116" i="3"/>
  <c r="E369" i="3"/>
  <c r="AD6" i="3"/>
  <c r="E564" i="3"/>
  <c r="E405" i="3"/>
  <c r="E464" i="3"/>
  <c r="E507" i="3"/>
  <c r="E408" i="3"/>
  <c r="E459" i="3"/>
  <c r="E376" i="3"/>
  <c r="E497" i="3"/>
  <c r="E582" i="3"/>
  <c r="E419" i="3"/>
  <c r="E470" i="3"/>
  <c r="E436" i="3"/>
  <c r="E40" i="3"/>
  <c r="E41" i="3"/>
  <c r="E131" i="3"/>
  <c r="E119" i="3"/>
  <c r="E225" i="3"/>
  <c r="E297" i="3"/>
  <c r="E276" i="3"/>
  <c r="E391" i="3"/>
  <c r="E375" i="3"/>
  <c r="L6" i="3"/>
  <c r="E488" i="3"/>
  <c r="E473" i="3"/>
  <c r="E412" i="3"/>
  <c r="E47" i="3"/>
  <c r="E38" i="3"/>
  <c r="E195" i="3"/>
  <c r="E194" i="3"/>
  <c r="E275" i="3"/>
  <c r="E266" i="3"/>
  <c r="E339" i="3"/>
  <c r="E342" i="3"/>
  <c r="E584" i="3"/>
  <c r="E52" i="3"/>
  <c r="E34" i="3"/>
  <c r="E87" i="3"/>
  <c r="E147" i="3"/>
  <c r="E251" i="3"/>
  <c r="E50" i="3"/>
  <c r="E80" i="3"/>
  <c r="E154" i="3"/>
  <c r="E218" i="3"/>
  <c r="E308" i="3"/>
  <c r="E373" i="3"/>
  <c r="E101" i="3"/>
  <c r="E83" i="3"/>
  <c r="E427" i="3"/>
  <c r="E401" i="3"/>
  <c r="E198" i="3"/>
  <c r="E242" i="3"/>
  <c r="E333" i="3"/>
  <c r="E58" i="3"/>
  <c r="E165" i="3"/>
  <c r="E188" i="3"/>
  <c r="E197" i="3"/>
  <c r="E141" i="3"/>
  <c r="E393" i="3"/>
  <c r="E534" i="3"/>
  <c r="E552" i="3"/>
  <c r="E469" i="3"/>
  <c r="E398" i="3"/>
  <c r="E440" i="3"/>
  <c r="E360" i="3"/>
  <c r="E566" i="3"/>
  <c r="J6" i="3"/>
  <c r="E494" i="3"/>
  <c r="E460" i="3"/>
  <c r="E90" i="3"/>
  <c r="E108" i="3"/>
  <c r="E155" i="3"/>
  <c r="E243" i="3"/>
  <c r="E348" i="3"/>
  <c r="AL6" i="3"/>
  <c r="E43" i="3"/>
  <c r="E428" i="3"/>
  <c r="E521" i="3"/>
  <c r="E455" i="3"/>
  <c r="E96" i="3"/>
  <c r="E65" i="3"/>
  <c r="E170" i="3"/>
  <c r="E174" i="3"/>
  <c r="E248" i="3"/>
  <c r="E219" i="3"/>
  <c r="E324" i="3"/>
  <c r="E386" i="3"/>
  <c r="E392" i="3"/>
  <c r="E35" i="3"/>
  <c r="E112" i="3"/>
  <c r="E206" i="3"/>
  <c r="E250" i="3"/>
  <c r="E340" i="3"/>
  <c r="AF6" i="3"/>
  <c r="E51" i="3"/>
  <c r="E62" i="3"/>
  <c r="E158" i="3"/>
  <c r="E222" i="3"/>
  <c r="E365" i="3"/>
  <c r="E22" i="3"/>
  <c r="E575" i="3"/>
  <c r="E31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29" i="3"/>
  <c r="E36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09" i="3"/>
  <c r="E51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H6" i="3" s="1"/>
  <c r="E523" i="3"/>
  <c r="E506" i="3"/>
  <c r="E418" i="3"/>
  <c r="E338" i="3"/>
  <c r="E321" i="3"/>
  <c r="E298" i="3"/>
  <c r="E169" i="3"/>
  <c r="E237" i="3"/>
  <c r="E304" i="3"/>
  <c r="E565" i="3"/>
  <c r="E213" i="3"/>
  <c r="E17" i="3"/>
  <c r="E302" i="3"/>
  <c r="E221" i="3"/>
  <c r="E254" i="3"/>
  <c r="E159" i="3"/>
  <c r="E303" i="3"/>
  <c r="E402" i="3"/>
  <c r="AN6" i="3"/>
  <c r="E353" i="3"/>
  <c r="E280" i="3"/>
  <c r="AA6" i="3"/>
  <c r="B15" i="71"/>
  <c r="B14" i="71" s="1"/>
  <c r="B13" i="71" s="1"/>
  <c r="B12" i="71" s="1"/>
  <c r="S16" i="71"/>
  <c r="C74" i="71"/>
  <c r="D74" i="71" s="1"/>
  <c r="D75" i="71"/>
  <c r="N65" i="71"/>
  <c r="N66" i="71"/>
  <c r="E49" i="3"/>
  <c r="E24" i="3"/>
  <c r="AZ201" i="3"/>
  <c r="E21" i="3"/>
  <c r="E417" i="3"/>
  <c r="U25" i="37"/>
  <c r="AB25" i="37"/>
  <c r="AC47" i="34"/>
  <c r="W47" i="34"/>
  <c r="AC30" i="21"/>
  <c r="W30" i="21"/>
  <c r="U45" i="39"/>
  <c r="AB45" i="39"/>
  <c r="U26" i="33"/>
  <c r="AB26" i="33"/>
  <c r="S12" i="21"/>
  <c r="AA12" i="21"/>
  <c r="AB25" i="36"/>
  <c r="U25" i="36"/>
  <c r="U12" i="35"/>
  <c r="AB12" i="35"/>
  <c r="U29" i="33"/>
  <c r="AB29" i="33"/>
  <c r="BA5" i="3"/>
  <c r="E27" i="6" s="1"/>
  <c r="K26" i="6" s="1"/>
  <c r="M26" i="6" s="1"/>
  <c r="I26" i="6" s="1"/>
  <c r="S26" i="6" s="1"/>
  <c r="AA27" i="37"/>
  <c r="S27" i="37"/>
  <c r="AA44" i="39"/>
  <c r="S44" i="39"/>
  <c r="AC38" i="40"/>
  <c r="W38" i="40"/>
  <c r="AZ561" i="3"/>
  <c r="AZ563" i="3"/>
  <c r="AZ575" i="3"/>
  <c r="AZ580" i="3"/>
  <c r="C78" i="71"/>
  <c r="D78" i="71" s="1"/>
  <c r="D79" i="71"/>
  <c r="E94" i="3"/>
  <c r="E46" i="3"/>
  <c r="AZ25" i="3"/>
  <c r="AZ5" i="3" s="1"/>
  <c r="E202" i="3"/>
  <c r="E26" i="3"/>
  <c r="E163" i="3"/>
  <c r="E413" i="3"/>
  <c r="AA24" i="36"/>
  <c r="S24" i="36"/>
  <c r="U47" i="34"/>
  <c r="AB47" i="34"/>
  <c r="AB30" i="21"/>
  <c r="U30" i="21"/>
  <c r="AA23" i="36"/>
  <c r="S23" i="36"/>
  <c r="AC26" i="33"/>
  <c r="W26" i="33"/>
  <c r="AB12" i="21"/>
  <c r="U12" i="21"/>
  <c r="BL5" i="3"/>
  <c r="W25" i="36"/>
  <c r="AC25" i="36"/>
  <c r="W32" i="34"/>
  <c r="AC32" i="34"/>
  <c r="AA45" i="33"/>
  <c r="S45" i="33"/>
  <c r="U27" i="37"/>
  <c r="AB27" i="37"/>
  <c r="E11" i="71"/>
  <c r="E10" i="71" s="1"/>
  <c r="E9" i="71" s="1"/>
  <c r="E8" i="71" s="1"/>
  <c r="E7" i="71" s="1"/>
  <c r="E6" i="71" s="1"/>
  <c r="E5" i="71" s="1"/>
  <c r="V12" i="71"/>
  <c r="U38" i="40"/>
  <c r="AB38" i="40"/>
  <c r="AC44" i="39"/>
  <c r="W44" i="39"/>
  <c r="AA38" i="40"/>
  <c r="S38" i="40"/>
  <c r="J7" i="37"/>
  <c r="AC7" i="37" s="1"/>
  <c r="V42" i="37" s="1"/>
  <c r="I42" i="37" s="1"/>
  <c r="C35" i="71"/>
  <c r="D34" i="71"/>
  <c r="E33" i="3"/>
  <c r="E205" i="3"/>
  <c r="AC24" i="36"/>
  <c r="W24" i="36"/>
  <c r="S31" i="34"/>
  <c r="AA31" i="34"/>
  <c r="U14" i="21"/>
  <c r="AB14" i="21"/>
  <c r="AC23" i="36"/>
  <c r="W23" i="36"/>
  <c r="S26" i="33"/>
  <c r="AA26" i="33"/>
  <c r="S12" i="35"/>
  <c r="AA12" i="35"/>
  <c r="U32" i="34"/>
  <c r="AB32" i="34"/>
  <c r="AB45" i="33"/>
  <c r="U45" i="33"/>
  <c r="AC27" i="37"/>
  <c r="W27" i="37"/>
  <c r="U44" i="39"/>
  <c r="AB44" i="39"/>
  <c r="AC9" i="33"/>
  <c r="W9" i="33"/>
  <c r="C17" i="71"/>
  <c r="D18" i="71"/>
  <c r="AZ557" i="3"/>
  <c r="AZ562" i="3"/>
  <c r="AZ564" i="3"/>
  <c r="V28" i="71"/>
  <c r="E27" i="71"/>
  <c r="E26" i="71" s="1"/>
  <c r="E19" i="3"/>
  <c r="AA25" i="37"/>
  <c r="S25" i="37"/>
  <c r="AB24" i="36"/>
  <c r="U24" i="36"/>
  <c r="AC31" i="34"/>
  <c r="W31" i="34"/>
  <c r="W14" i="21"/>
  <c r="AC14" i="21"/>
  <c r="S45" i="39"/>
  <c r="AA45" i="39"/>
  <c r="AC12" i="21"/>
  <c r="W12" i="21"/>
  <c r="W12" i="35"/>
  <c r="AC12" i="35"/>
  <c r="S29" i="33"/>
  <c r="AA29" i="33"/>
  <c r="S32" i="36"/>
  <c r="AA32" i="36"/>
  <c r="F29" i="6"/>
  <c r="E61" i="43"/>
  <c r="B59" i="43" s="1"/>
  <c r="C28" i="43" s="1"/>
  <c r="B116" i="43"/>
  <c r="Z7" i="43"/>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W7" i="37"/>
  <c r="AB7" i="36"/>
  <c r="G36" i="36" s="1"/>
  <c r="U7" i="36"/>
  <c r="F7" i="33"/>
  <c r="E58" i="21"/>
  <c r="AC7" i="36"/>
  <c r="I36" i="36" s="1"/>
  <c r="W7" i="36"/>
  <c r="F7" i="37"/>
  <c r="M17" i="15"/>
  <c r="F59" i="15"/>
  <c r="P28" i="43"/>
  <c r="B66" i="40" s="1"/>
  <c r="P25" i="43"/>
  <c r="P29" i="43"/>
  <c r="P27" i="43"/>
  <c r="B70" i="39" s="1"/>
  <c r="C49" i="15"/>
  <c r="J18" i="15"/>
  <c r="C32" i="9"/>
  <c r="M11" i="67"/>
  <c r="J10" i="67" s="1"/>
  <c r="F11" i="15"/>
  <c r="M11" i="15"/>
  <c r="J10" i="15" s="1"/>
  <c r="J5" i="15" s="1"/>
  <c r="J24" i="15" s="1"/>
  <c r="F11" i="67"/>
  <c r="F1" i="15"/>
  <c r="Q52" i="15"/>
  <c r="C32" i="15"/>
  <c r="Q60" i="15"/>
  <c r="Q73" i="15"/>
  <c r="Q74" i="15"/>
  <c r="Q61" i="15"/>
  <c r="AE11" i="1"/>
  <c r="AE6" i="1"/>
  <c r="AE9" i="1"/>
  <c r="F27" i="68"/>
  <c r="AE7" i="1"/>
  <c r="AE8" i="1"/>
  <c r="AE12" i="1"/>
  <c r="AE10" i="1"/>
  <c r="G1" i="73"/>
  <c r="F41" i="67"/>
  <c r="E51" i="40" l="1"/>
  <c r="E56" i="39"/>
  <c r="D26" i="43"/>
  <c r="C25" i="43" s="1"/>
  <c r="C33" i="43" s="1"/>
  <c r="AC6" i="3"/>
  <c r="E6" i="3" s="1"/>
  <c r="C49" i="67"/>
  <c r="Q52" i="67"/>
  <c r="J5" i="67"/>
  <c r="J24" i="67" s="1"/>
  <c r="Q73" i="67"/>
  <c r="M17" i="67"/>
  <c r="Q61" i="67"/>
  <c r="B40" i="1"/>
  <c r="I18" i="82" s="1"/>
  <c r="AY6" i="3"/>
  <c r="E3" i="6"/>
  <c r="E29" i="6"/>
  <c r="F30" i="6"/>
  <c r="F31" i="6" s="1"/>
  <c r="C36" i="71"/>
  <c r="D35" i="71"/>
  <c r="B11" i="71"/>
  <c r="B10" i="71" s="1"/>
  <c r="B9" i="71" s="1"/>
  <c r="B8" i="71" s="1"/>
  <c r="B7" i="71" s="1"/>
  <c r="B6" i="71" s="1"/>
  <c r="B5" i="71" s="1"/>
  <c r="S12" i="71"/>
  <c r="E65" i="39"/>
  <c r="C16" i="71"/>
  <c r="D17"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K24" i="6"/>
  <c r="K19" i="6"/>
  <c r="S6" i="1" s="1"/>
  <c r="O14" i="1"/>
  <c r="O16" i="1" s="1"/>
  <c r="M16" i="1"/>
  <c r="AY183" i="3"/>
  <c r="AY463" i="3"/>
  <c r="AY185" i="3"/>
  <c r="AY109" i="3"/>
  <c r="AY475" i="3"/>
  <c r="AY90" i="3"/>
  <c r="AY25" i="3"/>
  <c r="AY325" i="3"/>
  <c r="AY191" i="3"/>
  <c r="AY343" i="3"/>
  <c r="AY193" i="3"/>
  <c r="AY88" i="3"/>
  <c r="AY438" i="3"/>
  <c r="AY96" i="3"/>
  <c r="AY223" i="3"/>
  <c r="AY442" i="3"/>
  <c r="BR6" i="3"/>
  <c r="AY127" i="3"/>
  <c r="AY424" i="3"/>
  <c r="AY179" i="3"/>
  <c r="AY306"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I48" i="33" s="1"/>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G48" i="33" s="1"/>
  <c r="C53" i="67"/>
  <c r="C10" i="67"/>
  <c r="C5" i="67" s="1"/>
  <c r="C38" i="67" s="1"/>
  <c r="C53" i="15"/>
  <c r="C48" i="15" s="1"/>
  <c r="C66" i="15" s="1"/>
  <c r="C10" i="15"/>
  <c r="C5" i="15" s="1"/>
  <c r="C38" i="15" s="1"/>
  <c r="C35" i="9"/>
  <c r="F41" i="15"/>
  <c r="M27" i="15"/>
  <c r="M27" i="67"/>
  <c r="AY51" i="3" l="1"/>
  <c r="AY87" i="3"/>
  <c r="AY115" i="3"/>
  <c r="AY58" i="3"/>
  <c r="AY303" i="3"/>
  <c r="AY261" i="3"/>
  <c r="AY460" i="3"/>
  <c r="AY300" i="3"/>
  <c r="AY358" i="3"/>
  <c r="AY420" i="3"/>
  <c r="AY533" i="3"/>
  <c r="AY92" i="3"/>
  <c r="AY28" i="3"/>
  <c r="AY138" i="3"/>
  <c r="AY283" i="3"/>
  <c r="AY262" i="3"/>
  <c r="AY374" i="3"/>
  <c r="AY104" i="3"/>
  <c r="AY166" i="3"/>
  <c r="AY242" i="3"/>
  <c r="AY333" i="3"/>
  <c r="AY488" i="3"/>
  <c r="AY427" i="3"/>
  <c r="AY534" i="3"/>
  <c r="BG6" i="3"/>
  <c r="AY75" i="3"/>
  <c r="AY526" i="3"/>
  <c r="AY481" i="3"/>
  <c r="AY89" i="3"/>
  <c r="AY182" i="3"/>
  <c r="AY271" i="3"/>
  <c r="BI6" i="3"/>
  <c r="AY279" i="3"/>
  <c r="AY340" i="3"/>
  <c r="AY525" i="3"/>
  <c r="AY532"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34" i="3"/>
  <c r="AY188" i="3"/>
  <c r="AY268" i="3"/>
  <c r="AY196" i="3"/>
  <c r="AY209" i="3"/>
  <c r="AY409" i="3"/>
  <c r="AY260" i="3"/>
  <c r="AY327" i="3"/>
  <c r="AY401" i="3"/>
  <c r="AY541" i="3"/>
  <c r="AY61" i="3"/>
  <c r="AY190" i="3"/>
  <c r="AY165" i="3"/>
  <c r="AY294" i="3"/>
  <c r="AY214" i="3"/>
  <c r="AY360" i="3"/>
  <c r="AY73" i="3"/>
  <c r="AY145" i="3"/>
  <c r="AY210" i="3"/>
  <c r="AY348" i="3"/>
  <c r="AY462" i="3"/>
  <c r="AY411" i="3"/>
  <c r="BF6" i="3"/>
  <c r="AY98" i="3"/>
  <c r="AY387" i="3"/>
  <c r="AY199" i="3"/>
  <c r="AY404" i="3"/>
  <c r="AY85" i="3"/>
  <c r="AY146" i="3"/>
  <c r="AY222" i="3"/>
  <c r="AY93" i="3"/>
  <c r="AY243" i="3"/>
  <c r="AY464" i="3"/>
  <c r="BN6" i="3"/>
  <c r="AY556"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23" i="3"/>
  <c r="AY152" i="3"/>
  <c r="AY225" i="3"/>
  <c r="AY160" i="3"/>
  <c r="AY363" i="3"/>
  <c r="AY529" i="3"/>
  <c r="AY228" i="3"/>
  <c r="AY465" i="3"/>
  <c r="AY549" i="3"/>
  <c r="BE6" i="3"/>
  <c r="AY76" i="3"/>
  <c r="AY201" i="3"/>
  <c r="AY133" i="3"/>
  <c r="AY247" i="3"/>
  <c r="AY219" i="3"/>
  <c r="AY554" i="3"/>
  <c r="AY24" i="3"/>
  <c r="AY295" i="3"/>
  <c r="AY388" i="3"/>
  <c r="AY316" i="3"/>
  <c r="AY446" i="3"/>
  <c r="BQ6" i="3"/>
  <c r="AY495" i="3"/>
  <c r="AY18" i="3"/>
  <c r="AY334" i="3"/>
  <c r="AY390" i="3"/>
  <c r="AY562" i="3"/>
  <c r="AY53" i="3"/>
  <c r="AY126" i="3"/>
  <c r="AY211" i="3"/>
  <c r="AY40" i="3"/>
  <c r="AY356" i="3"/>
  <c r="AY454" i="3"/>
  <c r="AY527"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367" i="3"/>
  <c r="AY70" i="3"/>
  <c r="AY314" i="3"/>
  <c r="AY187" i="3"/>
  <c r="AY502" i="3"/>
  <c r="AY484" i="3"/>
  <c r="AY282" i="3"/>
  <c r="AY514" i="3"/>
  <c r="AY324" i="3"/>
  <c r="AY373" i="3"/>
  <c r="AY84" i="3"/>
  <c r="AY116" i="3"/>
  <c r="AY112" i="3"/>
  <c r="AY150" i="3"/>
  <c r="AY574" i="3"/>
  <c r="AY510" i="3"/>
  <c r="AY349" i="3"/>
  <c r="AY397" i="3"/>
  <c r="AY44" i="3"/>
  <c r="AY372" i="3"/>
  <c r="AY335"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256" i="3"/>
  <c r="AY587" i="3"/>
  <c r="AY376" i="3"/>
  <c r="AY78" i="3"/>
  <c r="AY499" i="3"/>
  <c r="AY328" i="3"/>
  <c r="AY169" i="3"/>
  <c r="AY552" i="3"/>
  <c r="AY215" i="3"/>
  <c r="AY270" i="3"/>
  <c r="AY539" i="3"/>
  <c r="AY455" i="3"/>
  <c r="AY508" i="3"/>
  <c r="AY389" i="3"/>
  <c r="AY355" i="3"/>
  <c r="AY585" i="3"/>
  <c r="AY290" i="3"/>
  <c r="AY231" i="3"/>
  <c r="AY108" i="3"/>
  <c r="AY26" i="3"/>
  <c r="AY111"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119" i="3"/>
  <c r="AY517" i="3"/>
  <c r="AY264" i="3"/>
  <c r="BA6" i="3"/>
  <c r="AY423" i="3"/>
  <c r="AY345" i="3"/>
  <c r="AY37" i="3"/>
  <c r="AY580" i="3"/>
  <c r="AY161" i="3"/>
  <c r="AY134" i="3"/>
  <c r="AY417" i="3"/>
  <c r="AY147" i="3"/>
  <c r="AY435" i="3"/>
  <c r="AY302" i="3"/>
  <c r="AY425" i="3"/>
  <c r="AY430" i="3"/>
  <c r="AY202" i="3"/>
  <c r="AY125" i="3"/>
  <c r="BK6" i="3"/>
  <c r="AY470" i="3"/>
  <c r="AY155" i="3"/>
  <c r="AY577" i="3"/>
  <c r="AY518" i="3"/>
  <c r="AY403" i="3"/>
  <c r="AY467" i="3"/>
  <c r="AY226" i="3"/>
  <c r="AY186" i="3"/>
  <c r="BS6" i="3"/>
  <c r="AY239" i="3"/>
  <c r="AY157" i="3"/>
  <c r="AY36" i="3"/>
  <c r="BO6" i="3"/>
  <c r="AY447" i="3"/>
  <c r="AY244" i="3"/>
  <c r="AY486" i="3"/>
  <c r="AY163" i="3"/>
  <c r="AY501" i="3"/>
  <c r="AY571" i="3"/>
  <c r="BM6" i="3"/>
  <c r="AY398" i="3"/>
  <c r="AY472" i="3"/>
  <c r="AY332" i="3"/>
  <c r="AY353" i="3"/>
  <c r="AY259" i="3"/>
  <c r="AY177" i="3"/>
  <c r="AY56" i="3"/>
  <c r="BH6" i="3"/>
  <c r="AY381" i="3"/>
  <c r="AY230" i="3"/>
  <c r="AY278" i="3"/>
  <c r="AY118" i="3"/>
  <c r="AY154" i="3"/>
  <c r="AY33" i="3"/>
  <c r="AY45" i="3"/>
  <c r="AY97" i="3"/>
  <c r="AY544" i="3"/>
  <c r="AY433" i="3"/>
  <c r="AY310" i="3"/>
  <c r="AY217" i="3"/>
  <c r="AY180" i="3"/>
  <c r="AY441" i="3"/>
  <c r="AY319" i="3"/>
  <c r="AY204" i="3"/>
  <c r="AY289" i="3"/>
  <c r="AY103" i="3"/>
  <c r="AY382" i="3"/>
  <c r="AY297" i="3"/>
  <c r="AY131" i="3"/>
  <c r="AY95" i="3"/>
  <c r="AY176" i="3"/>
  <c r="AY83" i="3"/>
  <c r="AY473" i="3"/>
  <c r="AY284" i="3"/>
  <c r="AY74" i="3"/>
  <c r="AY50" i="3"/>
  <c r="AY371" i="3"/>
  <c r="AY253" i="3"/>
  <c r="AY276" i="3"/>
  <c r="AY59" i="3"/>
  <c r="AY144" i="3"/>
  <c r="AY66"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C6" i="69"/>
  <c r="C7" i="69" s="1"/>
  <c r="L36" i="85"/>
  <c r="F22" i="84"/>
  <c r="L36" i="43"/>
  <c r="Q36" i="43" s="1"/>
  <c r="I18" i="81"/>
  <c r="C48" i="67"/>
  <c r="C66" i="67" s="1"/>
  <c r="F24" i="15"/>
  <c r="C24" i="15" s="1"/>
  <c r="F24" i="67"/>
  <c r="C24" i="67" s="1"/>
  <c r="F22" i="69"/>
  <c r="F41" i="69" s="1"/>
  <c r="F22" i="68"/>
  <c r="F41" i="68" s="1"/>
  <c r="F25" i="12"/>
  <c r="C26" i="12" s="1"/>
  <c r="D25" i="12" s="1"/>
  <c r="F22" i="11"/>
  <c r="D116" i="43"/>
  <c r="K15" i="1"/>
  <c r="K16" i="1" s="1"/>
  <c r="E30" i="6"/>
  <c r="E31" i="6" s="1"/>
  <c r="C15" i="71"/>
  <c r="T16" i="71"/>
  <c r="D16" i="71"/>
  <c r="U16" i="71" s="1"/>
  <c r="T36" i="71"/>
  <c r="D36"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F50" i="84"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D35" i="82" s="1"/>
  <c r="J8" i="82" s="1"/>
  <c r="G58" i="21"/>
  <c r="C60" i="15"/>
  <c r="C34" i="9"/>
  <c r="D10" i="68"/>
  <c r="D10" i="69"/>
  <c r="D10" i="84"/>
  <c r="C34" i="69"/>
  <c r="C34" i="84"/>
  <c r="C17" i="67"/>
  <c r="C17" i="15"/>
  <c r="C14" i="67"/>
  <c r="C35" i="84" l="1"/>
  <c r="C38" i="84"/>
  <c r="D19" i="84"/>
  <c r="D37" i="84" s="1"/>
  <c r="C37" i="84" s="1"/>
  <c r="C10" i="84"/>
  <c r="C8" i="84" s="1"/>
  <c r="C5" i="84" s="1"/>
  <c r="C23" i="84" s="1"/>
  <c r="E7" i="70"/>
  <c r="L37" i="43"/>
  <c r="O37" i="43" s="1"/>
  <c r="Q36" i="85"/>
  <c r="M36" i="85"/>
  <c r="L37" i="85"/>
  <c r="N36" i="85"/>
  <c r="P36" i="85"/>
  <c r="O36" i="85"/>
  <c r="F41" i="84"/>
  <c r="C24" i="84"/>
  <c r="C44" i="84"/>
  <c r="D41" i="84" s="1"/>
  <c r="C26" i="84"/>
  <c r="D22" i="84" s="1"/>
  <c r="P36" i="43"/>
  <c r="M36" i="43"/>
  <c r="O36" i="43"/>
  <c r="N36" i="43"/>
  <c r="C25" i="11"/>
  <c r="C60" i="67"/>
  <c r="C24" i="11"/>
  <c r="C23" i="11"/>
  <c r="C44" i="69"/>
  <c r="D41" i="69" s="1"/>
  <c r="M37" i="43"/>
  <c r="C26" i="11"/>
  <c r="D22" i="11" s="1"/>
  <c r="C44" i="11"/>
  <c r="D41" i="11" s="1"/>
  <c r="C26" i="69"/>
  <c r="D22" i="69" s="1"/>
  <c r="C26" i="68"/>
  <c r="D22" i="68" s="1"/>
  <c r="C23" i="68"/>
  <c r="C44" i="68"/>
  <c r="D41" i="68" s="1"/>
  <c r="D15" i="71"/>
  <c r="C14"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B6" i="76"/>
  <c r="E6" i="76"/>
  <c r="C33" i="84" l="1"/>
  <c r="C39" i="84" s="1"/>
  <c r="E2" i="70"/>
  <c r="C20" i="84"/>
  <c r="C25" i="84" s="1"/>
  <c r="C22" i="84" s="1"/>
  <c r="N37" i="43"/>
  <c r="P37" i="43"/>
  <c r="Q37" i="43"/>
  <c r="Q37" i="85"/>
  <c r="M37" i="85"/>
  <c r="P37" i="85"/>
  <c r="O37" i="85"/>
  <c r="N37" i="85"/>
  <c r="C22" i="11"/>
  <c r="C31" i="11" s="1"/>
  <c r="C13" i="71"/>
  <c r="D14"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8" i="84" l="1"/>
  <c r="C27" i="84" s="1"/>
  <c r="C31" i="84" s="1"/>
  <c r="C42" i="84"/>
  <c r="C46" i="84"/>
  <c r="C45" i="84" s="1"/>
  <c r="C43" i="84"/>
  <c r="D13" i="71"/>
  <c r="C12"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C41" i="84" l="1"/>
  <c r="C49" i="84" s="1"/>
  <c r="C51" i="84" s="1"/>
  <c r="C7" i="82" s="1"/>
  <c r="AA7" i="21"/>
  <c r="R48" i="21" s="1"/>
  <c r="R49" i="21" s="1"/>
  <c r="C11" i="71"/>
  <c r="T12" i="71"/>
  <c r="D12" i="71"/>
  <c r="U12" i="7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E48" i="21"/>
  <c r="G52" i="21"/>
  <c r="H52" i="21" s="1"/>
  <c r="G53" i="21"/>
  <c r="H53" i="21" s="1"/>
  <c r="F7" i="35"/>
  <c r="F35" i="67"/>
  <c r="M21" i="15"/>
  <c r="F35" i="15"/>
  <c r="M21" i="67"/>
  <c r="C52" i="84" l="1"/>
  <c r="B2" i="84" s="1"/>
  <c r="D11" i="71"/>
  <c r="C10"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L69" i="39"/>
  <c r="M67" i="39"/>
  <c r="S7" i="35"/>
  <c r="AA7" i="35"/>
  <c r="R38" i="35" s="1"/>
  <c r="C49" i="21"/>
  <c r="C48" i="21"/>
  <c r="E52" i="21"/>
  <c r="F52" i="21" s="1"/>
  <c r="E53" i="21"/>
  <c r="F53" i="21" s="1"/>
  <c r="G42" i="35"/>
  <c r="H42" i="35" s="1"/>
  <c r="G43" i="35"/>
  <c r="H43" i="35" s="1"/>
  <c r="I53" i="21"/>
  <c r="J53" i="21" s="1"/>
  <c r="K65" i="40"/>
  <c r="L63" i="40"/>
  <c r="I42" i="35"/>
  <c r="J42" i="35" s="1"/>
  <c r="B3" i="84"/>
  <c r="C3" i="82" l="1"/>
  <c r="C57" i="84"/>
  <c r="C56" i="84" s="1"/>
  <c r="C51" i="69"/>
  <c r="C23" i="81"/>
  <c r="D10" i="71"/>
  <c r="C9"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52" i="69" l="1"/>
  <c r="B2" i="69" s="1"/>
  <c r="C7" i="81"/>
  <c r="C8" i="71"/>
  <c r="D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B3" i="69"/>
  <c r="C3" i="81" l="1"/>
  <c r="C4" i="81" s="1"/>
  <c r="C57" i="69"/>
  <c r="C56" i="69" s="1"/>
  <c r="D8" i="71"/>
  <c r="C7"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L51" i="15"/>
  <c r="D2" i="37"/>
  <c r="D7" i="71" l="1"/>
  <c r="C6"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1" i="1"/>
  <c r="AO12" i="1"/>
  <c r="AO9" i="1"/>
  <c r="AO6" i="1"/>
  <c r="AO7" i="1"/>
  <c r="AO8" i="1"/>
  <c r="D6" i="71" l="1"/>
  <c r="C5" i="71"/>
  <c r="D5" i="71" s="1"/>
  <c r="M24" i="43"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2" l="1"/>
  <c r="E16" i="82" s="1"/>
  <c r="C17" i="82"/>
  <c r="C16" i="82" l="1"/>
  <c r="C23" i="82"/>
  <c r="C18" i="81"/>
  <c r="E16" i="81" s="1"/>
  <c r="C17" i="81"/>
  <c r="C26" i="82" l="1"/>
  <c r="C27" i="82"/>
  <c r="C16" i="81"/>
  <c r="C24" i="82" l="1"/>
  <c r="C26" i="81"/>
  <c r="C27" i="81"/>
  <c r="C24" i="81" l="1"/>
  <c r="C29" i="81" s="1"/>
  <c r="C30" i="81" s="1"/>
  <c r="D36" i="81" s="1"/>
  <c r="G35" i="81" l="1"/>
  <c r="D37" i="81"/>
  <c r="J9" i="81"/>
  <c r="O2" i="80" l="1"/>
  <c r="G37" i="81"/>
  <c r="E38" i="81"/>
  <c r="E39" i="81" s="1"/>
  <c r="J10" i="81"/>
  <c r="C38" i="81"/>
  <c r="C39" i="81" s="1"/>
  <c r="O24" i="80" l="1"/>
  <c r="O28" i="80"/>
  <c r="P28" i="80" s="1"/>
  <c r="O32" i="80"/>
  <c r="P32" i="80" s="1"/>
  <c r="O36" i="80"/>
  <c r="P36" i="80" s="1"/>
  <c r="O25" i="80"/>
  <c r="P25" i="80" s="1"/>
  <c r="O29" i="80"/>
  <c r="P29" i="80" s="1"/>
  <c r="O33" i="80"/>
  <c r="P33" i="80" s="1"/>
  <c r="O37" i="80"/>
  <c r="P37" i="80" s="1"/>
  <c r="O22" i="80"/>
  <c r="P22" i="80" s="1"/>
  <c r="O26" i="80"/>
  <c r="O30" i="80"/>
  <c r="P30" i="80" s="1"/>
  <c r="O34" i="80"/>
  <c r="P34" i="80" s="1"/>
  <c r="O38" i="80"/>
  <c r="P38" i="80" s="1"/>
  <c r="O23" i="80"/>
  <c r="P23" i="80" s="1"/>
  <c r="O27" i="80"/>
  <c r="P27" i="80" s="1"/>
  <c r="O31" i="80"/>
  <c r="P31" i="80" s="1"/>
  <c r="O35" i="80"/>
  <c r="P35" i="80" s="1"/>
  <c r="O3" i="80"/>
  <c r="P3" i="80" s="1"/>
  <c r="O6" i="80"/>
  <c r="P6" i="80" s="1"/>
  <c r="O10" i="80"/>
  <c r="P10" i="80" s="1"/>
  <c r="O14" i="80"/>
  <c r="P14" i="80" s="1"/>
  <c r="O18" i="80"/>
  <c r="P18" i="80" s="1"/>
  <c r="O7" i="80"/>
  <c r="P7" i="80" s="1"/>
  <c r="O11" i="80"/>
  <c r="P11" i="80" s="1"/>
  <c r="O15" i="80"/>
  <c r="P15" i="80" s="1"/>
  <c r="O19" i="80"/>
  <c r="P19" i="80" s="1"/>
  <c r="O4" i="80"/>
  <c r="O8" i="80"/>
  <c r="P8" i="80" s="1"/>
  <c r="O12" i="80"/>
  <c r="P12" i="80" s="1"/>
  <c r="O16" i="80"/>
  <c r="P16" i="80" s="1"/>
  <c r="O20" i="80"/>
  <c r="P20" i="80" s="1"/>
  <c r="O5" i="80"/>
  <c r="P5" i="80" s="1"/>
  <c r="O9" i="80"/>
  <c r="P9" i="80" s="1"/>
  <c r="O13" i="80"/>
  <c r="P13" i="80" s="1"/>
  <c r="O17" i="80"/>
  <c r="P17" i="80" s="1"/>
  <c r="O21" i="80"/>
  <c r="P21" i="80" s="1"/>
  <c r="P24" i="80"/>
  <c r="P26" i="80"/>
  <c r="C4" i="82"/>
  <c r="C29" i="82" s="1"/>
  <c r="C30" i="82" s="1"/>
  <c r="D36" i="82" s="1"/>
  <c r="D37" i="82" s="1"/>
  <c r="P2" i="80"/>
  <c r="U25" i="80" l="1"/>
  <c r="V25" i="80" s="1"/>
  <c r="J9" i="82"/>
  <c r="G35" i="82"/>
  <c r="O39" i="80"/>
  <c r="U27" i="80"/>
  <c r="V27" i="80" s="1"/>
  <c r="U28" i="80"/>
  <c r="V28" i="80" s="1"/>
  <c r="U26" i="80"/>
  <c r="V26" i="80" s="1"/>
  <c r="U31" i="80"/>
  <c r="V31" i="80" s="1"/>
  <c r="U30" i="80"/>
  <c r="V30" i="80" s="1"/>
  <c r="U24" i="80"/>
  <c r="V24" i="80" s="1"/>
  <c r="U22" i="80"/>
  <c r="V22" i="80" s="1"/>
  <c r="U23" i="80"/>
  <c r="V23" i="80" s="1"/>
  <c r="P4" i="80"/>
  <c r="O40" i="80" l="1"/>
  <c r="O43" i="80"/>
  <c r="O47" i="80"/>
  <c r="O51" i="80"/>
  <c r="O44" i="80"/>
  <c r="O48" i="80"/>
  <c r="O52" i="80"/>
  <c r="O41" i="80"/>
  <c r="O45" i="80"/>
  <c r="O49" i="80"/>
  <c r="O53" i="80"/>
  <c r="O42" i="80"/>
  <c r="O46" i="80"/>
  <c r="O50" i="80"/>
  <c r="G37" i="82"/>
  <c r="J10" i="82"/>
  <c r="E38" i="82"/>
  <c r="E39" i="82" s="1"/>
  <c r="C38" i="82"/>
  <c r="C39" i="82" s="1"/>
  <c r="P53" i="80" l="1"/>
  <c r="P49" i="80"/>
  <c r="P45" i="80"/>
  <c r="P41" i="80"/>
  <c r="P44" i="80"/>
  <c r="P50" i="80"/>
  <c r="P46" i="80"/>
  <c r="P42" i="80"/>
  <c r="P39" i="80"/>
  <c r="P52" i="80"/>
  <c r="P40" i="80"/>
  <c r="P51" i="80"/>
  <c r="P47" i="80"/>
  <c r="P43" i="80"/>
  <c r="P48" i="80"/>
  <c r="U29" i="80" l="1"/>
  <c r="V29" i="80" s="1"/>
  <c r="V32" i="80" s="1"/>
  <c r="U32" i="80" s="1"/>
  <c r="P54" i="80"/>
  <c r="O54" i="80" s="1"/>
  <c r="E10" i="74" l="1"/>
  <c r="B10" i="74" s="1"/>
  <c r="D14" i="74" s="1"/>
  <c r="F14" i="74" l="1"/>
  <c r="E14" i="74"/>
  <c r="B5" i="74"/>
  <c r="D5" i="74" s="1"/>
  <c r="C73" i="9"/>
  <c r="C78" i="9"/>
  <c r="B21" i="72"/>
  <c r="D7" i="53"/>
  <c r="B51" i="72"/>
  <c r="F4" i="52"/>
  <c r="D54" i="9"/>
  <c r="C68" i="9"/>
  <c r="C6" i="74"/>
  <c r="B49" i="72"/>
  <c r="D5" i="52"/>
  <c r="D119" i="9"/>
  <c r="C81" i="9"/>
  <c r="H108" i="9"/>
  <c r="D15" i="53"/>
  <c r="B31" i="72"/>
  <c r="B20" i="72"/>
  <c r="B53" i="72"/>
  <c r="F5" i="52"/>
  <c r="F119" i="9"/>
  <c r="B32" i="72"/>
  <c r="D14" i="53"/>
  <c r="D8" i="52"/>
  <c r="E97" i="9"/>
  <c r="C96" i="9"/>
  <c r="E96" i="9"/>
  <c r="P57" i="9"/>
  <c r="N58" i="9"/>
  <c r="B48" i="72"/>
  <c r="E4" i="52"/>
  <c r="N61" i="9"/>
  <c r="D55" i="9"/>
  <c r="M53" i="9"/>
  <c r="N57" i="9"/>
  <c r="N59" i="9"/>
  <c r="N60" i="9"/>
  <c r="M54" i="9"/>
  <c r="C85" i="9"/>
  <c r="C95" i="9"/>
  <c r="C97" i="9"/>
  <c r="D58" i="9"/>
  <c r="D56" i="9"/>
  <c r="D122" i="9"/>
  <c r="D123" i="9"/>
  <c r="D9" i="52"/>
  <c r="F118" i="9"/>
  <c r="G118" i="9"/>
  <c r="G4" i="52"/>
  <c r="B52" i="72"/>
  <c r="C64" i="9"/>
  <c r="C63" i="9"/>
  <c r="C67" i="9"/>
  <c r="D59" i="9"/>
  <c r="M55" i="9"/>
  <c r="M48" i="9"/>
  <c r="D53" i="9"/>
  <c r="D52" i="9"/>
  <c r="C104" i="9"/>
  <c r="H4" i="52"/>
  <c r="D5" i="53"/>
  <c r="D6" i="53"/>
  <c r="B22" i="72"/>
  <c r="C93" i="9"/>
  <c r="C86" i="9"/>
  <c r="C105" i="9"/>
  <c r="I4" i="52"/>
  <c r="H119" i="9"/>
  <c r="H5" i="52"/>
  <c r="D45" i="9"/>
  <c r="C72" i="9"/>
  <c r="C79" i="9"/>
  <c r="C80" i="9"/>
  <c r="E80" i="9"/>
  <c r="E81" i="9"/>
  <c r="E118" i="9"/>
  <c r="D118" i="9"/>
  <c r="D4" i="52"/>
  <c r="B47" i="72"/>
  <c r="H102" i="9"/>
  <c r="C5" i="74"/>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C7B3F4AE-6DA4-4054-A9EA-168FF14F7C9D}">
      <text>
        <r>
          <rPr>
            <b/>
            <sz val="9"/>
            <color indexed="81"/>
            <rFont val="宋体"/>
            <family val="3"/>
            <charset val="134"/>
          </rPr>
          <t>对应区片地价表</t>
        </r>
        <r>
          <rPr>
            <sz val="9"/>
            <color indexed="81"/>
            <rFont val="宋体"/>
            <family val="3"/>
            <charset val="134"/>
          </rPr>
          <t xml:space="preserve">
</t>
        </r>
      </text>
    </comment>
    <comment ref="Y9" authorId="1" shapeId="0" xr:uid="{C529EAD2-0A6E-4552-B9E3-4843FDE47FB3}">
      <text>
        <r>
          <rPr>
            <sz val="11"/>
            <color indexed="81"/>
            <rFont val="宋体"/>
            <family val="3"/>
            <charset val="134"/>
          </rPr>
          <t xml:space="preserve">录入层数，将对应的结果录入至左侧相应层的楼层修正系数单元格中
</t>
        </r>
      </text>
    </comment>
    <comment ref="C16" authorId="1" shapeId="0" xr:uid="{B7DBDCB2-AFF1-4F0F-B4CF-5553D49865AB}">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AE413699-111B-4DBA-906A-0A596C1DBD8D}">
      <text>
        <r>
          <rPr>
            <sz val="12"/>
            <color indexed="81"/>
            <rFont val="宋体"/>
            <family val="3"/>
            <charset val="134"/>
          </rPr>
          <t>1.05~1.1</t>
        </r>
        <r>
          <rPr>
            <sz val="9"/>
            <color indexed="81"/>
            <rFont val="宋体"/>
            <family val="3"/>
            <charset val="134"/>
          </rPr>
          <t xml:space="preserve">
</t>
        </r>
      </text>
    </comment>
    <comment ref="E16" authorId="1" shapeId="0" xr:uid="{DA8B01B2-440C-46B2-AC09-2B08C62B79DB}">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ACDEE397-0560-4CDB-84EB-1EE43A909619}">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1ECA68BF-8FC7-4094-A75F-1EE5375E6ED2}">
      <text>
        <r>
          <rPr>
            <b/>
            <sz val="14"/>
            <color indexed="81"/>
            <rFont val="宋体"/>
            <family val="3"/>
            <charset val="134"/>
          </rPr>
          <t>工业选“中心城区”</t>
        </r>
        <r>
          <rPr>
            <sz val="9"/>
            <color indexed="81"/>
            <rFont val="宋体"/>
            <family val="3"/>
            <charset val="134"/>
          </rPr>
          <t xml:space="preserve">
</t>
        </r>
      </text>
    </comment>
    <comment ref="B35" authorId="4" shapeId="0" xr:uid="{30B283CA-E892-4666-85A0-4F22A355AFDB}">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AE730159-50A9-4BA6-9CD9-5DF44D030048}">
      <text>
        <r>
          <rPr>
            <sz val="9"/>
            <color indexed="81"/>
            <rFont val="宋体"/>
            <family val="3"/>
            <charset val="134"/>
          </rPr>
          <t xml:space="preserve">需在此处填写剩余土地年限
</t>
        </r>
      </text>
    </comment>
    <comment ref="C111" authorId="0" shapeId="0" xr:uid="{BAFA71DC-E72B-4B6B-9B8D-4071F83D0114}">
      <text>
        <r>
          <rPr>
            <b/>
            <sz val="9"/>
            <color indexed="81"/>
            <rFont val="宋体"/>
            <family val="3"/>
            <charset val="134"/>
          </rPr>
          <t xml:space="preserve">所在楼层
</t>
        </r>
        <r>
          <rPr>
            <sz val="9"/>
            <color indexed="81"/>
            <rFont val="宋体"/>
            <family val="3"/>
            <charset val="134"/>
          </rPr>
          <t xml:space="preserve">
</t>
        </r>
      </text>
    </comment>
    <comment ref="D111" authorId="0" shapeId="0" xr:uid="{77B214EF-69B3-4035-9C13-DDECD96332DD}">
      <text>
        <r>
          <rPr>
            <b/>
            <sz val="9"/>
            <color indexed="81"/>
            <rFont val="宋体"/>
            <family val="3"/>
            <charset val="134"/>
          </rPr>
          <t xml:space="preserve">所在楼层
</t>
        </r>
        <r>
          <rPr>
            <sz val="9"/>
            <color indexed="81"/>
            <rFont val="宋体"/>
            <family val="3"/>
            <charset val="134"/>
          </rPr>
          <t xml:space="preserve">
</t>
        </r>
      </text>
    </comment>
    <comment ref="E111" authorId="0" shapeId="0" xr:uid="{DC2AB940-8FE1-4419-857D-D49E6F0CB622}">
      <text>
        <r>
          <rPr>
            <b/>
            <sz val="9"/>
            <color indexed="81"/>
            <rFont val="宋体"/>
            <family val="3"/>
            <charset val="134"/>
          </rPr>
          <t xml:space="preserve">所在楼层
</t>
        </r>
        <r>
          <rPr>
            <sz val="9"/>
            <color indexed="81"/>
            <rFont val="宋体"/>
            <family val="3"/>
            <charset val="134"/>
          </rPr>
          <t xml:space="preserve">
</t>
        </r>
      </text>
    </comment>
    <comment ref="F111" authorId="0" shapeId="0" xr:uid="{03941D03-90D3-41AA-95B8-55FB8E753FDE}">
      <text>
        <r>
          <rPr>
            <b/>
            <sz val="9"/>
            <color indexed="81"/>
            <rFont val="宋体"/>
            <family val="3"/>
            <charset val="134"/>
          </rPr>
          <t xml:space="preserve">所在楼层
</t>
        </r>
        <r>
          <rPr>
            <sz val="9"/>
            <color indexed="81"/>
            <rFont val="宋体"/>
            <family val="3"/>
            <charset val="134"/>
          </rPr>
          <t xml:space="preserve">
</t>
        </r>
      </text>
    </comment>
    <comment ref="G111" authorId="0" shapeId="0" xr:uid="{E1EC3C71-87B2-41E7-B5C9-FB82D4943231}">
      <text>
        <r>
          <rPr>
            <b/>
            <sz val="9"/>
            <color indexed="81"/>
            <rFont val="宋体"/>
            <family val="3"/>
            <charset val="134"/>
          </rPr>
          <t xml:space="preserve">所在楼层
</t>
        </r>
        <r>
          <rPr>
            <sz val="9"/>
            <color indexed="81"/>
            <rFont val="宋体"/>
            <family val="3"/>
            <charset val="134"/>
          </rPr>
          <t xml:space="preserve">
</t>
        </r>
      </text>
    </comment>
    <comment ref="H111" authorId="0" shapeId="0" xr:uid="{6893FDB0-CE14-408E-AC91-29FD958073EE}">
      <text>
        <r>
          <rPr>
            <b/>
            <sz val="9"/>
            <color indexed="81"/>
            <rFont val="宋体"/>
            <family val="3"/>
            <charset val="134"/>
          </rPr>
          <t xml:space="preserve">所在楼层
</t>
        </r>
        <r>
          <rPr>
            <sz val="9"/>
            <color indexed="81"/>
            <rFont val="宋体"/>
            <family val="3"/>
            <charset val="134"/>
          </rPr>
          <t xml:space="preserve">
</t>
        </r>
      </text>
    </comment>
    <comment ref="I111" authorId="0" shapeId="0" xr:uid="{D8A169EB-C966-4DDB-B6A2-42EF834ABA13}">
      <text>
        <r>
          <rPr>
            <b/>
            <sz val="9"/>
            <color indexed="81"/>
            <rFont val="宋体"/>
            <family val="3"/>
            <charset val="134"/>
          </rPr>
          <t xml:space="preserve">所在楼层
</t>
        </r>
        <r>
          <rPr>
            <sz val="9"/>
            <color indexed="81"/>
            <rFont val="宋体"/>
            <family val="3"/>
            <charset val="134"/>
          </rPr>
          <t xml:space="preserve">
</t>
        </r>
      </text>
    </comment>
    <comment ref="J111" authorId="0" shapeId="0" xr:uid="{E021B961-3F17-45C6-BC2C-B88232624D56}">
      <text>
        <r>
          <rPr>
            <b/>
            <sz val="9"/>
            <color indexed="81"/>
            <rFont val="宋体"/>
            <family val="3"/>
            <charset val="134"/>
          </rPr>
          <t xml:space="preserve">所在楼层
</t>
        </r>
        <r>
          <rPr>
            <sz val="9"/>
            <color indexed="81"/>
            <rFont val="宋体"/>
            <family val="3"/>
            <charset val="134"/>
          </rPr>
          <t xml:space="preserve">
</t>
        </r>
      </text>
    </comment>
    <comment ref="K111" authorId="0" shapeId="0" xr:uid="{8F8AA0C6-D283-48C4-AA37-9DAD903F2BAB}">
      <text>
        <r>
          <rPr>
            <b/>
            <sz val="9"/>
            <color indexed="81"/>
            <rFont val="宋体"/>
            <family val="3"/>
            <charset val="134"/>
          </rPr>
          <t xml:space="preserve">所在楼层
</t>
        </r>
        <r>
          <rPr>
            <sz val="9"/>
            <color indexed="81"/>
            <rFont val="宋体"/>
            <family val="3"/>
            <charset val="134"/>
          </rPr>
          <t xml:space="preserve">
</t>
        </r>
      </text>
    </comment>
    <comment ref="L111" authorId="0" shapeId="0" xr:uid="{E451953E-B2A6-4A09-9B69-986007E6740F}">
      <text>
        <r>
          <rPr>
            <b/>
            <sz val="9"/>
            <color indexed="81"/>
            <rFont val="宋体"/>
            <family val="3"/>
            <charset val="134"/>
          </rPr>
          <t xml:space="preserve">所在楼层
</t>
        </r>
        <r>
          <rPr>
            <sz val="9"/>
            <color indexed="81"/>
            <rFont val="宋体"/>
            <family val="3"/>
            <charset val="134"/>
          </rPr>
          <t xml:space="preserve">
</t>
        </r>
      </text>
    </comment>
    <comment ref="M111" authorId="0" shapeId="0" xr:uid="{AC17CAEE-500F-4CA0-96AA-0CF72CB96D34}">
      <text>
        <r>
          <rPr>
            <b/>
            <sz val="9"/>
            <color indexed="81"/>
            <rFont val="宋体"/>
            <family val="3"/>
            <charset val="134"/>
          </rPr>
          <t xml:space="preserve">所在楼层
</t>
        </r>
        <r>
          <rPr>
            <sz val="9"/>
            <color indexed="81"/>
            <rFont val="宋体"/>
            <family val="3"/>
            <charset val="134"/>
          </rPr>
          <t xml:space="preserve">
</t>
        </r>
      </text>
    </comment>
    <comment ref="N111" authorId="0" shapeId="0" xr:uid="{C1204699-CB41-4A20-8BE3-ACE679B49D06}">
      <text>
        <r>
          <rPr>
            <b/>
            <sz val="9"/>
            <color indexed="81"/>
            <rFont val="宋体"/>
            <family val="3"/>
            <charset val="134"/>
          </rPr>
          <t xml:space="preserve">所在楼层
</t>
        </r>
        <r>
          <rPr>
            <sz val="9"/>
            <color indexed="81"/>
            <rFont val="宋体"/>
            <family val="3"/>
            <charset val="134"/>
          </rPr>
          <t xml:space="preserve">
</t>
        </r>
      </text>
    </comment>
    <comment ref="D116" authorId="0" shapeId="0" xr:uid="{53325515-77C4-447F-8652-FBA1E8C170B1}">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<sst xmlns="http://schemas.openxmlformats.org/spreadsheetml/2006/main" count="9065" uniqueCount="3735">
  <si>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</si>
  <si>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</si>
  <si>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</si>
  <si>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</si>
  <si>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</si>
  <si>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</si>
  <si>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</si>
  <si>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</si>
  <si>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</si>
  <si>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</si>
  <si>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</si>
  <si>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</si>
  <si>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</si>
  <si>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</si>
  <si>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</si>
  <si>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</si>
  <si>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</si>
  <si>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</si>
  <si>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</si>
  <si>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</si>
  <si>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</si>
  <si>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</si>
  <si>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</si>
  <si>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</si>
  <si>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</si>
  <si>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</si>
  <si>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</si>
  <si>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</si>
  <si>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</si>
  <si>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</si>
  <si>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</si>
  <si>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</si>
  <si>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</si>
  <si>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</si>
  <si>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</si>
  <si>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</si>
  <si>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</si>
  <si>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</si>
  <si>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</si>
  <si>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</si>
  <si>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</si>
  <si>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</si>
  <si>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</si>
  <si>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</si>
  <si>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</si>
  <si>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</si>
  <si>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</si>
  <si>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</si>
  <si>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</si>
  <si>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</si>
  <si>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</si>
  <si>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</si>
  <si>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</si>
  <si>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</si>
  <si>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</si>
  <si>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</si>
  <si>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</si>
  <si>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</si>
  <si>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</si>
  <si>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</si>
  <si>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</si>
  <si>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</si>
  <si>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</si>
  <si>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</si>
  <si>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</si>
  <si>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</si>
  <si>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</si>
  <si>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</si>
  <si>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</si>
  <si>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</si>
  <si>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</si>
  <si>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</si>
  <si>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</si>
  <si>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</si>
  <si>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</si>
  <si>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</si>
  <si>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</si>
  <si>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</si>
  <si>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</si>
  <si>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</si>
  <si>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</si>
  <si>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</si>
  <si>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</si>
  <si>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</si>
  <si>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</si>
  <si>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</si>
  <si>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</si>
  <si>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</si>
  <si>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</si>
  <si>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</si>
  <si>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</si>
  <si>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</si>
  <si>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</si>
  <si>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</si>
  <si>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</si>
  <si>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</si>
  <si>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</si>
  <si>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</si>
  <si>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</si>
  <si>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</si>
  <si>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</si>
  <si>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</si>
  <si>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</si>
  <si>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</si>
  <si>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</si>
  <si>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</si>
  <si>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</si>
  <si>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</si>
  <si>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</si>
  <si>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</si>
  <si>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</si>
  <si>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</si>
  <si>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</si>
  <si>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</si>
  <si>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</si>
  <si>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</si>
  <si>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</si>
  <si>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</si>
  <si>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</si>
  <si>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</si>
  <si>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</si>
  <si>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</si>
  <si>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</si>
  <si>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</si>
  <si>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</si>
  <si>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</si>
  <si>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</si>
  <si>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</si>
  <si>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</si>
  <si>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</si>
  <si>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</si>
  <si>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</si>
  <si>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</si>
  <si>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</si>
  <si>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</si>
  <si>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</si>
  <si>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</si>
  <si>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</si>
  <si>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</si>
  <si>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</si>
  <si>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</si>
  <si>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</si>
  <si>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</si>
  <si>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</si>
  <si>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</si>
  <si>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</si>
  <si>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</si>
  <si>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</si>
  <si>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</si>
  <si>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</si>
  <si>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</si>
  <si>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</si>
  <si>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</si>
  <si>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</si>
  <si>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</si>
  <si>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</si>
  <si>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</si>
  <si>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</si>
  <si>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</si>
  <si>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</si>
  <si>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</si>
  <si>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</si>
  <si>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</si>
  <si>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</si>
  <si>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</si>
  <si>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</si>
  <si>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</si>
  <si>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</si>
  <si>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</si>
  <si>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</si>
  <si>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</si>
  <si>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</si>
  <si>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</si>
  <si>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</si>
  <si>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</si>
  <si>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</si>
  <si>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</si>
  <si>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</si>
  <si>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</si>
  <si>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</si>
  <si>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</si>
  <si>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</si>
  <si>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</si>
  <si>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</si>
  <si>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</si>
  <si>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</si>
  <si>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</si>
  <si>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</si>
  <si>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</si>
  <si>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</si>
  <si>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</si>
  <si>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</si>
  <si>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</si>
  <si>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</si>
  <si>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</si>
  <si>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</si>
  <si>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</si>
  <si>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</si>
  <si>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</si>
  <si>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</si>
  <si>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</si>
  <si>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</si>
  <si>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</si>
  <si>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</si>
  <si>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</si>
  <si>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</si>
  <si>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</si>
  <si>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</si>
  <si>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</si>
  <si>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</si>
  <si>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</si>
  <si>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</si>
  <si>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</si>
  <si>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</si>
  <si>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</si>
  <si>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</si>
  <si>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</si>
  <si>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</si>
  <si>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</si>
  <si>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</si>
  <si>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</si>
  <si>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</si>
  <si>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</si>
  <si>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</si>
  <si>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</si>
  <si>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</si>
  <si>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</si>
  <si>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</si>
  <si>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</si>
  <si>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</si>
  <si>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</si>
  <si>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</si>
  <si>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</si>
  <si>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</si>
  <si>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</si>
  <si>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</si>
  <si>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</si>
  <si>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</si>
  <si>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</si>
  <si>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</si>
  <si>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</si>
  <si>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</si>
  <si>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</si>
  <si>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</si>
  <si>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</si>
  <si>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</si>
  <si>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</si>
  <si>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</si>
  <si>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</si>
  <si>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</si>
  <si>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</si>
  <si>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</si>
  <si>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</si>
  <si>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</si>
  <si>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</si>
  <si>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</si>
  <si>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</si>
  <si>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</si>
  <si>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</si>
  <si>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</si>
  <si>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</si>
  <si>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</si>
  <si>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</si>
  <si>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</si>
  <si>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</si>
  <si>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</si>
  <si>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</si>
  <si>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</si>
  <si>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</si>
  <si>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</si>
  <si>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</si>
  <si>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</si>
  <si>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</si>
  <si>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</si>
  <si>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</si>
  <si>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</si>
  <si>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</si>
  <si>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</si>
  <si>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</si>
  <si>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</si>
  <si>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</si>
  <si>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</si>
  <si>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</si>
  <si>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</si>
  <si>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</si>
  <si>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</si>
  <si>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</si>
  <si>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</si>
  <si>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</si>
  <si>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</si>
  <si>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</si>
  <si>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</si>
  <si>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</si>
  <si>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</si>
  <si>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</si>
  <si>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</si>
  <si>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</si>
  <si>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</si>
  <si>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</si>
  <si>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</si>
  <si>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</si>
  <si>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</si>
  <si>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</si>
  <si>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</si>
  <si>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</si>
  <si>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</si>
  <si>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</si>
  <si>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</si>
  <si>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</si>
  <si>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</si>
  <si>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</si>
  <si>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</si>
  <si>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</si>
  <si>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</si>
  <si>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</si>
  <si>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</si>
  <si>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</si>
  <si>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</si>
  <si>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</si>
  <si>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</si>
  <si>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</si>
  <si>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</si>
  <si>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</si>
  <si>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</si>
  <si>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</si>
  <si>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</si>
  <si>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</si>
  <si>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</si>
  <si>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</si>
  <si>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</si>
  <si>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</si>
  <si>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</si>
  <si>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</si>
  <si>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</si>
  <si>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</si>
  <si>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</si>
  <si>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</si>
  <si>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</si>
  <si>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</si>
  <si>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</si>
  <si>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</si>
  <si>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</si>
  <si>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</si>
  <si>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</si>
  <si>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</si>
  <si>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</si>
  <si>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</si>
  <si>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</si>
  <si>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</si>
  <si>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</si>
  <si>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</si>
  <si>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</si>
  <si>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</si>
  <si>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</si>
  <si>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</si>
  <si>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</si>
  <si>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</si>
  <si>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</si>
  <si>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</si>
  <si>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</si>
  <si>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</si>
  <si>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</si>
  <si>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</si>
  <si>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</si>
  <si>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</si>
  <si>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</si>
  <si>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</si>
  <si>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</si>
  <si>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</si>
  <si>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</si>
  <si>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</si>
  <si>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</si>
  <si>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</si>
  <si>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</si>
  <si>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</si>
  <si>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</si>
  <si>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</si>
  <si>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</si>
  <si>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</si>
  <si>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</si>
  <si>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</si>
  <si>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</si>
  <si>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</si>
  <si>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</si>
  <si>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</si>
  <si>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</si>
  <si>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</si>
  <si>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</si>
  <si>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</si>
  <si>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</si>
  <si>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</si>
  <si>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</si>
  <si>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</si>
  <si>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</si>
  <si>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</si>
  <si>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</si>
  <si>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</si>
  <si>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</si>
  <si>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</si>
  <si>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</si>
  <si>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</si>
  <si>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</si>
  <si>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</si>
  <si>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</si>
  <si>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</si>
  <si>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</si>
  <si>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</si>
  <si>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</si>
  <si>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</si>
  <si>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</si>
  <si>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</si>
  <si>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</si>
  <si>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</si>
  <si>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</si>
  <si>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</si>
  <si>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</si>
  <si>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</si>
  <si>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</si>
  <si>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</si>
  <si>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</si>
  <si>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</si>
  <si>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</si>
  <si>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</si>
  <si>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</si>
  <si>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</si>
  <si>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</si>
  <si>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</si>
  <si>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</si>
  <si>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</si>
  <si>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</si>
  <si>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</si>
  <si>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</si>
  <si>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</si>
  <si>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</si>
  <si>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</si>
  <si>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</si>
  <si>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</si>
  <si>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</si>
  <si>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</si>
  <si>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</si>
  <si>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</si>
  <si>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</si>
  <si>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</si>
  <si>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</si>
  <si>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</si>
  <si>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</si>
  <si>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</si>
  <si>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</si>
  <si>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</si>
  <si>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</si>
  <si>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</si>
  <si>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</si>
  <si>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</si>
  <si>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</si>
  <si>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</si>
  <si>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</si>
  <si>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</si>
  <si>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</si>
  <si>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</si>
  <si>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</si>
  <si>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</si>
  <si>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</si>
  <si>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</si>
  <si>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</si>
  <si>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</si>
  <si>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</si>
  <si>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</si>
  <si>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</si>
  <si>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</si>
  <si>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</si>
  <si>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</si>
  <si>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</si>
  <si>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</si>
  <si>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</si>
  <si>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</si>
  <si>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</si>
  <si>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</si>
  <si>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</si>
  <si>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</si>
  <si>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</si>
  <si>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</si>
  <si>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</si>
  <si>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</si>
  <si>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</si>
  <si>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</si>
  <si>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</si>
  <si>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</si>
  <si>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</si>
  <si>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</si>
  <si>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</si>
  <si>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</si>
  <si>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</si>
  <si>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</si>
  <si>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</si>
  <si>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</si>
  <si>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</si>
  <si>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</si>
  <si>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</si>
  <si>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</si>
  <si>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</si>
  <si>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</si>
  <si>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</si>
  <si>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</si>
  <si>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</si>
  <si>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</si>
  <si>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</si>
  <si>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</si>
  <si>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</si>
  <si>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</si>
  <si>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</si>
  <si>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</si>
  <si>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</si>
  <si>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</si>
  <si>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</si>
  <si>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</si>
  <si>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</si>
  <si>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</si>
  <si>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</si>
  <si>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</si>
  <si>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</si>
  <si>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</si>
  <si>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</si>
  <si>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</si>
  <si>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</si>
  <si>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</si>
  <si>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</si>
  <si>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</si>
  <si>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</si>
  <si>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</si>
  <si>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</si>
  <si>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</si>
  <si>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</si>
  <si>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</si>
  <si>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</si>
  <si>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</si>
  <si>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</si>
  <si>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</si>
  <si>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</si>
  <si>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</si>
  <si>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</si>
  <si>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</si>
  <si>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</si>
  <si>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</si>
  <si>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</si>
  <si>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</si>
  <si>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</si>
  <si>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</si>
  <si>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</si>
  <si>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</si>
  <si>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</si>
  <si>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</si>
  <si>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</si>
  <si>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</si>
  <si>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</si>
  <si>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</si>
  <si>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</si>
  <si>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</si>
  <si>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</si>
  <si>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</si>
  <si>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</si>
  <si>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</si>
  <si>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</si>
  <si>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</si>
  <si>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</si>
  <si>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</si>
  <si>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</si>
  <si>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</si>
  <si>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</si>
  <si>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</si>
  <si>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</si>
  <si>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</si>
  <si>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</si>
  <si>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</si>
  <si>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</si>
  <si>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</si>
  <si>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</si>
  <si>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</si>
  <si>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</si>
  <si>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</si>
  <si>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</si>
  <si>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</si>
  <si>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</si>
  <si>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</si>
  <si>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</si>
  <si>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</si>
  <si>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</si>
  <si>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</si>
  <si>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</si>
  <si>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</si>
  <si>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</si>
  <si>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</si>
  <si>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</si>
  <si>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</si>
  <si>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</si>
  <si>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</si>
  <si>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</si>
  <si>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</si>
  <si>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</si>
  <si>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</si>
  <si>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</si>
  <si>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</si>
  <si>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</si>
  <si>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</si>
  <si>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</si>
  <si>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</si>
  <si>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</si>
  <si>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</si>
  <si>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</si>
  <si>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</si>
  <si>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</si>
  <si>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</si>
  <si>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</si>
  <si>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</si>
  <si>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</si>
  <si>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</si>
  <si>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</si>
  <si>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</si>
  <si>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</si>
  <si>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</si>
  <si>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</si>
  <si>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</si>
  <si>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</si>
  <si>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</si>
  <si>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</si>
  <si>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</si>
  <si>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</si>
  <si>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</si>
  <si>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</si>
  <si>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</si>
  <si>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</si>
  <si>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</si>
  <si>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</si>
  <si>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</si>
  <si>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</si>
  <si>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</si>
  <si>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</si>
  <si>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</si>
  <si>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</si>
  <si>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</si>
  <si>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</si>
  <si>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</si>
  <si>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</si>
  <si>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</si>
  <si>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</si>
  <si>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</si>
  <si>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</si>
  <si>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</si>
  <si>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</si>
  <si>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</si>
  <si>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</si>
  <si>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</si>
  <si>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</si>
  <si>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</si>
  <si>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</si>
  <si>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</si>
  <si>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</si>
  <si>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</si>
  <si>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</si>
  <si>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</si>
  <si>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</si>
  <si>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</si>
  <si>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</si>
  <si>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</si>
  <si>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</si>
  <si>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</si>
  <si>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</si>
  <si>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</si>
  <si>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</si>
  <si>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</si>
  <si>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</si>
  <si>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</si>
  <si>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</si>
  <si>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</si>
  <si>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</si>
  <si>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</si>
  <si>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</si>
  <si>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</si>
  <si>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</si>
  <si>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</si>
  <si>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</si>
  <si>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</si>
  <si>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</si>
  <si>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</si>
  <si>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</si>
  <si>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</si>
  <si>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</si>
  <si>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</si>
  <si>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</si>
  <si>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</si>
  <si>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</si>
  <si>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</si>
  <si>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</si>
  <si>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</si>
  <si>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</si>
  <si>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</si>
  <si>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</si>
  <si>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</si>
  <si>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</si>
  <si>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</si>
  <si>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</si>
  <si>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</si>
  <si>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</si>
  <si>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</si>
  <si>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</si>
  <si>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</si>
  <si>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</si>
  <si>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</si>
  <si>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</si>
  <si>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</si>
  <si>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</si>
  <si>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</si>
  <si>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</si>
  <si>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</si>
  <si>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</si>
  <si>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</si>
  <si>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</si>
  <si>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</si>
  <si>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</si>
  <si>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</si>
  <si>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</si>
  <si>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</si>
  <si>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</si>
  <si>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</si>
  <si>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</si>
  <si>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</si>
  <si>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</si>
  <si>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</si>
  <si>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</si>
  <si>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</si>
  <si>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</si>
  <si>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</si>
  <si>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</si>
  <si>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</si>
  <si>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</si>
  <si>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</si>
  <si>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</si>
  <si>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</si>
  <si>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</si>
  <si>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</si>
  <si>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</si>
  <si>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</si>
  <si>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</si>
  <si>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</si>
  <si>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</si>
  <si>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</si>
  <si>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</si>
  <si>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</si>
  <si>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</si>
  <si>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</si>
  <si>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</si>
  <si>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</si>
  <si>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</si>
  <si>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</si>
  <si>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</si>
  <si>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</si>
  <si>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</si>
  <si>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</si>
  <si>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</si>
  <si>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</si>
  <si>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</si>
  <si>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</si>
  <si>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</si>
  <si>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</si>
  <si>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</si>
  <si>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</si>
  <si>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</si>
  <si>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</si>
  <si>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</si>
  <si>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</si>
  <si>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</si>
  <si>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</si>
  <si>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</si>
  <si>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</si>
  <si>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</si>
  <si>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</si>
  <si>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</si>
  <si>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</si>
  <si>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</si>
  <si>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</si>
  <si>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</si>
  <si>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</si>
  <si>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</si>
  <si>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</si>
  <si>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</si>
  <si>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</si>
  <si>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</si>
  <si>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</si>
  <si>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</si>
  <si>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</si>
  <si>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</si>
  <si>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</si>
  <si>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</si>
  <si>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</si>
  <si>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</si>
  <si>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</si>
  <si>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</si>
  <si>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</si>
  <si>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</si>
  <si>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</si>
  <si>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</si>
  <si>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</si>
  <si>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</si>
  <si>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</si>
  <si>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</si>
  <si>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</si>
  <si>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</si>
  <si>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</si>
  <si>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</si>
  <si>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</si>
  <si>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</si>
  <si>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</si>
  <si>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</si>
  <si>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</si>
  <si>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</si>
  <si>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</si>
  <si>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</si>
  <si>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</si>
  <si>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</si>
  <si>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</si>
  <si>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</si>
  <si>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</si>
  <si>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</si>
  <si>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</si>
  <si>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</si>
  <si>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</si>
  <si>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</si>
  <si>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</si>
  <si>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</si>
  <si>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</si>
  <si>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</si>
  <si>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</si>
  <si>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</si>
  <si>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</si>
  <si>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</si>
  <si>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</si>
  <si>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</si>
  <si>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</si>
  <si>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</si>
  <si>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</si>
  <si>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</si>
  <si>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</si>
  <si>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</si>
  <si>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</si>
  <si>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</si>
  <si>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</si>
  <si>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</si>
  <si>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</si>
  <si>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</si>
  <si>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</si>
  <si>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</si>
  <si>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</si>
  <si>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</si>
  <si>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</si>
  <si>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</si>
  <si>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</si>
  <si>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</si>
  <si>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</si>
  <si>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</si>
  <si>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</si>
  <si>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</si>
  <si>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</si>
  <si>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</si>
  <si>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</si>
  <si>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</si>
  <si>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</si>
  <si>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</si>
  <si>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</si>
  <si>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</si>
  <si>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</si>
  <si>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</si>
  <si>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</si>
  <si>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</si>
  <si>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</si>
  <si>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</si>
  <si>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</si>
  <si>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</si>
  <si>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</si>
  <si>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</si>
  <si>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</si>
  <si>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</si>
  <si>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</si>
  <si>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</si>
  <si>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</si>
  <si>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</si>
  <si>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</si>
  <si>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</si>
  <si>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</si>
  <si>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</si>
  <si>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</si>
  <si>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</si>
  <si>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</si>
  <si>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</si>
  <si>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</si>
  <si>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</si>
  <si>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</si>
  <si>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</si>
  <si>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</si>
  <si>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</si>
  <si>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</si>
  <si>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</si>
  <si>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</si>
  <si>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</si>
  <si>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</si>
  <si>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</si>
  <si>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</si>
  <si>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</si>
  <si>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</si>
  <si>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</si>
  <si>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</si>
  <si>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</si>
  <si>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</si>
  <si>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</si>
  <si>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</si>
  <si>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</si>
  <si>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</si>
  <si>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</si>
  <si>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</si>
  <si>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</si>
  <si>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</si>
  <si>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</si>
  <si>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</si>
  <si>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</si>
  <si>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</si>
  <si>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</si>
  <si>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</si>
  <si>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</si>
  <si>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</si>
  <si>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</si>
  <si>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</si>
  <si>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</si>
  <si>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</si>
  <si>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</si>
  <si>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</si>
  <si>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</si>
  <si>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</si>
  <si>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</si>
  <si>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</si>
  <si>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</si>
  <si>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</si>
  <si>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</si>
  <si>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</si>
  <si>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</si>
  <si>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</si>
  <si>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</si>
  <si>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</si>
  <si>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</si>
  <si>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</si>
  <si>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</si>
  <si>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</si>
  <si>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</si>
  <si>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</si>
  <si>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</si>
  <si>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</si>
  <si>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</si>
  <si>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</si>
  <si>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</si>
  <si>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</si>
  <si>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</si>
  <si>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</si>
  <si>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</si>
  <si>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</si>
  <si>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</si>
  <si>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</si>
  <si>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</si>
  <si>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</si>
  <si>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</si>
  <si>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</si>
  <si>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</si>
  <si>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</si>
  <si>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</si>
  <si>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</si>
  <si>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</si>
  <si>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</si>
  <si>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</si>
  <si>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</si>
  <si>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</si>
  <si>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</si>
  <si>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</si>
  <si>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</si>
  <si>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</si>
  <si>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</si>
  <si>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</si>
  <si>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</si>
  <si>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</si>
  <si>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</si>
  <si>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</si>
  <si>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</si>
  <si>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</si>
  <si>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</si>
  <si>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</si>
  <si>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</si>
  <si>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</si>
  <si>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</si>
  <si>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</si>
  <si>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</si>
  <si>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</si>
  <si>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</si>
  <si>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</si>
  <si>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</si>
  <si>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</si>
  <si>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</si>
  <si>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</si>
  <si>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</si>
  <si>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</si>
  <si>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</si>
  <si>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</si>
  <si>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</si>
  <si>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</si>
  <si>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</si>
  <si>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</si>
  <si>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</si>
  <si>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</si>
  <si>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</si>
  <si>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</si>
  <si>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</si>
  <si>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</si>
  <si>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</si>
  <si>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</si>
  <si>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</si>
  <si>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</si>
  <si>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</si>
  <si>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</si>
  <si>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</si>
  <si>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</si>
  <si>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</si>
  <si>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</si>
  <si>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</si>
  <si>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</si>
  <si>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</si>
  <si>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</si>
  <si>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</si>
  <si>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</si>
  <si>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</si>
  <si>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</si>
  <si>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</si>
  <si>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</si>
  <si>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</si>
  <si>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</si>
  <si>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</si>
  <si>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</si>
  <si>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</si>
  <si>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</si>
  <si>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</si>
  <si>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</si>
  <si>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</si>
  <si>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</si>
  <si>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</si>
  <si>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</si>
  <si>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</si>
  <si>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</si>
  <si>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</si>
  <si>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</si>
  <si>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</si>
  <si>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</si>
  <si>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</si>
  <si>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</si>
  <si>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</si>
  <si>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</si>
  <si>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</si>
  <si>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</si>
  <si>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</si>
  <si>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</si>
  <si>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</si>
  <si>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</si>
  <si>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</si>
  <si>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</si>
  <si>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</si>
  <si>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</si>
  <si>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</si>
  <si>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</si>
  <si>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</si>
  <si>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</si>
  <si>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</si>
  <si>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</si>
  <si>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</si>
  <si>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</si>
  <si>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</si>
  <si>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</si>
  <si>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</si>
  <si>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</si>
  <si>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</si>
  <si>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</si>
  <si>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</si>
  <si>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</si>
  <si>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</si>
  <si>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</si>
  <si>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</si>
  <si>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</si>
  <si>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</si>
  <si>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</si>
  <si>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</si>
  <si>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</si>
  <si>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</si>
  <si>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</si>
  <si>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</si>
  <si>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</si>
  <si>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</si>
  <si>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</si>
  <si>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</si>
  <si>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</si>
  <si>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</si>
  <si>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</si>
  <si>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</si>
  <si>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</si>
  <si>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</si>
  <si>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</si>
  <si>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</si>
  <si>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</si>
  <si>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</si>
  <si>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</si>
  <si>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</si>
  <si>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</si>
  <si>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</si>
  <si>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</si>
  <si>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</si>
  <si>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</si>
  <si>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</si>
  <si>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</si>
  <si>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</si>
  <si>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</si>
  <si>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</si>
  <si>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</si>
  <si>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</si>
  <si>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</si>
  <si>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</si>
  <si>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</si>
  <si>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</si>
  <si>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</si>
  <si>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</si>
  <si>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</si>
  <si>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</si>
  <si>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</si>
  <si>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</si>
  <si>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</si>
  <si>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</si>
  <si>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</si>
  <si>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</si>
  <si>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</si>
  <si>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</si>
  <si>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</si>
  <si>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</si>
  <si>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</si>
  <si>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</si>
  <si>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</si>
  <si>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</si>
  <si>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</si>
  <si>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</si>
  <si>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</si>
  <si>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</si>
  <si>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</si>
  <si>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</si>
  <si>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</si>
  <si>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</si>
  <si>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</si>
  <si>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</si>
  <si>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</si>
  <si>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</si>
  <si>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</si>
  <si>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</si>
  <si>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</si>
  <si>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</si>
  <si>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</si>
  <si>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</si>
  <si>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</si>
  <si>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</si>
  <si>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</si>
  <si>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</si>
  <si>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</si>
  <si>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</si>
  <si>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</si>
  <si>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</si>
  <si>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</si>
  <si>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</si>
  <si>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</si>
  <si>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</si>
  <si>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</si>
  <si>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</si>
  <si>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</si>
  <si>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</si>
  <si>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</si>
  <si>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</si>
  <si>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</si>
  <si>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</si>
  <si>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</si>
  <si>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</si>
  <si>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</si>
  <si>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</si>
  <si>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</si>
  <si>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</si>
  <si>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</si>
  <si>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</si>
  <si>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</si>
  <si>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</si>
  <si>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</si>
  <si>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</si>
  <si>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</si>
  <si>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</si>
  <si>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</si>
  <si>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</si>
  <si>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</si>
  <si>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</si>
  <si>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</si>
  <si>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</si>
  <si>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</si>
  <si>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</si>
  <si>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</si>
  <si>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</si>
  <si>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</si>
  <si>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</si>
  <si>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</si>
  <si>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</si>
  <si>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</si>
  <si>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</si>
  <si>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</si>
  <si>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</si>
  <si>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</si>
  <si>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</si>
  <si>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</si>
  <si>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</si>
  <si>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</si>
  <si>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</si>
  <si>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</si>
  <si>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</si>
  <si>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</si>
  <si>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</si>
  <si>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</si>
  <si>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</si>
  <si>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</si>
  <si>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</si>
  <si>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</si>
  <si>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</si>
  <si>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</si>
  <si>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</si>
  <si>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</si>
  <si>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</si>
  <si>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</si>
  <si>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</si>
  <si>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</si>
  <si>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</si>
  <si>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</si>
  <si>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</si>
  <si>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</si>
  <si>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</si>
  <si>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</si>
  <si>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</si>
  <si>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</si>
  <si>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</si>
  <si>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</si>
  <si>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</si>
  <si>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</si>
  <si>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</si>
  <si>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</si>
  <si>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</si>
  <si>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</si>
  <si>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</si>
  <si>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</si>
  <si>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</si>
  <si>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</si>
  <si>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</si>
  <si>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</si>
  <si>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</si>
  <si>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</si>
  <si>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</si>
  <si>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</si>
  <si>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</si>
  <si>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</si>
  <si>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</si>
  <si>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</si>
  <si>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</si>
  <si>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</si>
  <si>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</si>
  <si>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</si>
  <si>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</si>
  <si>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</si>
  <si>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</si>
  <si>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</si>
  <si>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</si>
  <si>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</si>
  <si>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</si>
  <si>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</si>
  <si>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</si>
  <si>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</si>
  <si>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</si>
  <si>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</si>
  <si>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</si>
  <si>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</si>
  <si>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</si>
  <si>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</si>
  <si>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</si>
  <si>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</si>
  <si>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</si>
  <si>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</si>
  <si>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</si>
  <si>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</si>
  <si>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</si>
  <si>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</si>
  <si>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</si>
  <si>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</si>
  <si>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</si>
  <si>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</si>
  <si>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</si>
  <si>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</si>
  <si>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</si>
  <si>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</si>
  <si>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</si>
  <si>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</si>
  <si>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</si>
  <si>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</si>
  <si>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</si>
  <si>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</si>
  <si>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</si>
  <si>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</si>
  <si>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</si>
  <si>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</si>
  <si>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</si>
  <si>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</si>
  <si>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</si>
  <si>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</si>
  <si>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</si>
  <si>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</si>
  <si>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</si>
  <si>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</si>
  <si>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</si>
  <si>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</si>
  <si>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</si>
  <si>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</si>
  <si>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</si>
  <si>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</si>
  <si>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</si>
  <si>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</si>
  <si>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</si>
  <si>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</si>
  <si>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</si>
  <si>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</si>
  <si>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</si>
  <si>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</si>
  <si>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</si>
  <si>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</si>
  <si>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</si>
  <si>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</si>
  <si>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</si>
  <si>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</si>
  <si>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</si>
  <si>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</si>
  <si>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</si>
  <si>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</si>
  <si>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</si>
  <si>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</si>
  <si>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</si>
  <si>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</si>
  <si>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</si>
  <si>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</si>
  <si>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</si>
  <si>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</si>
  <si>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</si>
  <si>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</si>
  <si>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</si>
  <si>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</si>
  <si>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</si>
  <si>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</si>
  <si>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</si>
  <si>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</si>
  <si>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</si>
  <si>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</si>
  <si>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</si>
  <si>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</si>
  <si>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</si>
  <si>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</si>
  <si>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</si>
  <si>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</si>
  <si>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</si>
  <si>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</si>
  <si>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</si>
  <si>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</si>
  <si>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</si>
  <si>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</si>
  <si>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</si>
  <si>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</si>
  <si>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</si>
  <si>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</si>
  <si>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</si>
  <si>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</si>
  <si>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</si>
  <si>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</si>
  <si>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</si>
  <si>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</si>
  <si>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</si>
  <si>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</si>
  <si>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</si>
  <si>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</si>
  <si>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</si>
  <si>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</si>
  <si>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</si>
  <si>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</si>
  <si>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</si>
  <si>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</si>
  <si>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</si>
  <si>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</si>
  <si>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</si>
  <si>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</si>
  <si>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</si>
  <si>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</si>
  <si>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</si>
  <si>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</si>
  <si>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</si>
  <si>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</si>
  <si>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</si>
  <si>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</si>
  <si>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</si>
  <si>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</si>
  <si>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</si>
  <si>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</si>
  <si>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</si>
  <si>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</si>
  <si>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</si>
  <si>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</si>
  <si>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</si>
  <si>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</si>
  <si>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</si>
  <si>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</si>
  <si>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</si>
  <si>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</si>
  <si>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</si>
  <si>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</si>
  <si>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</si>
  <si>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</si>
  <si>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</si>
  <si>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</si>
  <si>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</si>
  <si>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</si>
  <si>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</si>
  <si>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</si>
  <si>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</si>
  <si>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</si>
  <si>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</si>
  <si>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</si>
  <si>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</si>
  <si>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</si>
  <si>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</si>
  <si>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</si>
  <si>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</si>
  <si>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</si>
  <si>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</si>
  <si>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</si>
  <si>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</si>
  <si>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</si>
  <si>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</si>
  <si>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</si>
  <si>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</si>
  <si>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</si>
  <si>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</si>
  <si>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</si>
  <si>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</si>
  <si>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</si>
  <si>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</si>
  <si>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</si>
  <si>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</si>
  <si>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</si>
  <si>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</si>
  <si>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</si>
  <si>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</si>
  <si>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</si>
  <si>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</si>
  <si>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</si>
  <si>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</si>
  <si>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</si>
  <si>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</si>
  <si>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</si>
  <si>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</si>
  <si>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</si>
  <si>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</si>
  <si>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</si>
  <si>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</si>
  <si>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</si>
  <si>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</si>
  <si>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</si>
  <si>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</si>
  <si>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</si>
  <si>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</si>
  <si>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</si>
  <si>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</si>
  <si>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</si>
  <si>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</si>
  <si>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</si>
  <si>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</si>
  <si>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</si>
  <si>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</si>
  <si>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</si>
  <si>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</si>
  <si>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</si>
  <si>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</si>
  <si>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</si>
  <si>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</si>
  <si>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</si>
  <si>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</si>
  <si>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</si>
  <si>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</si>
  <si>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</si>
  <si>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</si>
  <si>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</si>
  <si>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</si>
  <si>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</si>
  <si>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</si>
  <si>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</si>
  <si>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</si>
  <si>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</si>
  <si>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</si>
  <si>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</si>
  <si>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</si>
  <si>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</si>
  <si>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</si>
  <si>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</si>
  <si>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</si>
  <si>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</si>
  <si>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</si>
  <si>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</si>
  <si>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</si>
  <si>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</si>
  <si>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</si>
  <si>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</si>
  <si>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</si>
  <si>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</si>
  <si>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</si>
  <si>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</si>
  <si>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</si>
  <si>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</si>
  <si>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</si>
  <si>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</si>
  <si>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</si>
  <si>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</si>
  <si>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</si>
  <si>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</si>
  <si>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</si>
  <si>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</si>
  <si>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</si>
  <si>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</si>
  <si>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</si>
  <si>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</si>
  <si>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</si>
  <si>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</si>
  <si>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</si>
  <si>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</si>
  <si>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</si>
  <si>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</si>
  <si>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</si>
  <si>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</si>
  <si>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</si>
  <si>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</si>
  <si>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</si>
  <si>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</si>
  <si>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</si>
  <si>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</si>
  <si>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</si>
  <si>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</si>
  <si>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</si>
  <si>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</si>
  <si>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</si>
  <si>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</si>
  <si>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</si>
  <si>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</si>
  <si>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</si>
  <si>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</si>
  <si>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</si>
  <si>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</si>
  <si>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</si>
  <si>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</si>
  <si>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</si>
  <si>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</si>
  <si>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</si>
  <si>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</si>
  <si>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</si>
  <si>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</si>
  <si>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</si>
  <si>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</si>
  <si>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</si>
  <si>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</si>
  <si>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</si>
  <si>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</si>
  <si>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</si>
  <si>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</si>
  <si>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</si>
  <si>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</si>
  <si>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</si>
  <si>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</si>
  <si>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</si>
  <si>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</si>
  <si>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</si>
  <si>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</si>
  <si>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</si>
  <si>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</si>
  <si>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</si>
  <si>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</si>
  <si>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</si>
  <si>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</si>
  <si>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</si>
  <si>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</si>
  <si>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</si>
  <si>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</si>
  <si>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</si>
  <si>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</si>
  <si>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</si>
  <si>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</si>
  <si>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</si>
  <si>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</si>
  <si>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</si>
  <si>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</si>
  <si>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</si>
  <si>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</si>
  <si>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</si>
  <si>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</si>
  <si>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</si>
  <si>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</si>
  <si>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</si>
  <si>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</si>
  <si>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</si>
  <si>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</si>
  <si>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</si>
  <si>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</si>
  <si>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</si>
  <si>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</si>
  <si>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</si>
  <si>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</si>
  <si>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</si>
  <si>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</si>
  <si>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</si>
  <si>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</si>
  <si>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</si>
  <si>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</si>
  <si>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</si>
  <si>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</si>
  <si>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</si>
  <si>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</si>
  <si>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</si>
  <si>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</si>
  <si>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</si>
  <si>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</si>
  <si>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</si>
  <si>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</si>
  <si>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</si>
  <si>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</si>
  <si>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</si>
  <si>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</si>
  <si>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</si>
  <si>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</si>
  <si>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</si>
  <si>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</si>
  <si>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</si>
  <si>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</si>
  <si>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</si>
  <si>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</si>
  <si>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</si>
  <si>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</si>
  <si>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</si>
  <si>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</si>
  <si>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</si>
  <si>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</si>
  <si>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</si>
  <si>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</si>
  <si>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</si>
  <si>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</si>
  <si>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</si>
  <si>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</si>
  <si>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</si>
  <si>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</si>
  <si>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</si>
  <si>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</si>
  <si>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</si>
  <si>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</si>
  <si>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</si>
  <si>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</si>
  <si>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</si>
  <si>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</si>
  <si>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</si>
  <si>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</si>
  <si>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</si>
  <si>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</si>
  <si>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</si>
  <si>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</si>
  <si>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</si>
  <si>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</si>
  <si>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</si>
  <si>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</si>
  <si>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</si>
  <si>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</si>
  <si>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</si>
  <si>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</si>
  <si>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</si>
  <si>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</si>
  <si>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</si>
  <si>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</si>
  <si>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</si>
  <si>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</si>
  <si>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</si>
  <si>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</si>
  <si>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</si>
  <si>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</si>
  <si>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</si>
  <si>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</si>
  <si>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</si>
  <si>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</si>
  <si>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</si>
  <si>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</si>
  <si>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</si>
  <si>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</si>
  <si>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</si>
  <si>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</si>
  <si>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</si>
  <si>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</si>
  <si>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</si>
  <si>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</si>
  <si>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</si>
  <si>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</si>
  <si>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</si>
  <si>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</si>
  <si>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</si>
  <si>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</si>
  <si>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</si>
  <si>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</si>
  <si>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</si>
  <si>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</si>
  <si>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</si>
  <si>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</si>
  <si>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</si>
  <si>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</si>
  <si>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</si>
  <si>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</si>
  <si>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</si>
  <si>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</si>
  <si>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</si>
  <si>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</si>
  <si>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</si>
  <si>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</si>
  <si>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</si>
  <si>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</si>
  <si>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</si>
  <si>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</si>
  <si>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</si>
  <si>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</si>
  <si>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</si>
  <si>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</si>
  <si>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</si>
  <si>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</si>
  <si>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</si>
  <si>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</si>
  <si>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</si>
  <si>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</si>
  <si>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</si>
  <si>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</si>
  <si>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</si>
  <si>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</si>
  <si>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</si>
  <si>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</si>
  <si>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</si>
  <si>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</si>
  <si>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</si>
  <si>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</si>
  <si>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</si>
  <si>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</si>
  <si>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</si>
  <si>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</si>
  <si>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</si>
  <si>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</si>
  <si>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</si>
  <si>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</si>
  <si>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</si>
  <si>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</si>
  <si>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</si>
  <si>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</si>
  <si>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</si>
  <si>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</si>
  <si>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</si>
  <si>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</si>
  <si>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</si>
  <si>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</si>
  <si>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</si>
  <si>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</si>
  <si>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</si>
  <si>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</si>
  <si>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</si>
  <si>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</si>
  <si>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</si>
  <si>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</si>
  <si>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</si>
  <si>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</si>
  <si>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</si>
  <si>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</si>
  <si>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</si>
  <si>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</si>
  <si>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</si>
  <si>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</si>
  <si>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</si>
  <si>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</si>
  <si>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</si>
  <si>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</si>
  <si>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</si>
  <si>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</si>
  <si>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</si>
  <si>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</si>
  <si>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</si>
  <si>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</si>
  <si>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</si>
  <si>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</si>
  <si>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</si>
  <si>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</si>
  <si>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</si>
  <si>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</si>
  <si>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</si>
  <si>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</si>
  <si>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</si>
  <si>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</si>
  <si>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</si>
  <si>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</si>
  <si>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</si>
  <si>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</si>
  <si>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</si>
  <si>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</si>
  <si>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</si>
  <si>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</si>
  <si>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</si>
  <si>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</si>
  <si>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</si>
  <si>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</si>
  <si>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</si>
  <si>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</si>
  <si>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</si>
  <si>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</si>
  <si>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</si>
  <si>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</si>
  <si>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</si>
  <si>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</si>
  <si>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</si>
  <si>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</si>
  <si>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</si>
  <si>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</si>
  <si>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</si>
  <si>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</si>
  <si>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</si>
  <si>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</si>
  <si>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</si>
  <si>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</si>
  <si>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</si>
  <si>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</si>
  <si>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</si>
  <si>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</si>
  <si>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</si>
  <si>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</si>
  <si>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</si>
  <si>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</si>
  <si>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</si>
  <si>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</si>
  <si>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</si>
  <si>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</si>
  <si>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</si>
  <si>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</si>
  <si>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</si>
  <si>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</si>
  <si>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</si>
  <si>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</si>
  <si>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</si>
  <si>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</si>
  <si>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</si>
  <si>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</si>
  <si>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</si>
  <si>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</si>
  <si>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</si>
  <si>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</si>
  <si>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</si>
  <si>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</si>
  <si>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</si>
  <si>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</si>
  <si>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</si>
  <si>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</si>
  <si>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</si>
  <si>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</si>
  <si>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</si>
  <si>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</si>
  <si>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</si>
  <si>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</si>
  <si>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</si>
  <si>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</si>
  <si>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</si>
  <si>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</si>
  <si>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</si>
  <si>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</si>
  <si>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</si>
  <si>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</si>
  <si>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</si>
  <si>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</si>
  <si>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</si>
  <si>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</si>
  <si>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</si>
  <si>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</si>
  <si>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</si>
  <si>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</si>
  <si>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</si>
  <si>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</si>
  <si>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</si>
  <si>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</si>
  <si>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</si>
  <si>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</si>
  <si>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</si>
  <si>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</si>
  <si>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</si>
  <si>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</si>
  <si>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</si>
  <si>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</si>
  <si>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</si>
  <si>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</si>
  <si>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</si>
  <si>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</si>
  <si>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</si>
  <si>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</si>
  <si>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</si>
  <si>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</si>
  <si>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</si>
  <si>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</si>
  <si>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</si>
  <si>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</si>
  <si>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</si>
  <si>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</si>
  <si>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</si>
  <si>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</si>
  <si>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</si>
  <si>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</si>
  <si>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</si>
  <si>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</si>
  <si>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</si>
  <si>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</si>
  <si>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</si>
  <si>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</si>
  <si>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</si>
  <si>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</si>
  <si>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</si>
  <si>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</si>
  <si>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</si>
  <si>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</si>
  <si>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</si>
  <si>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</si>
  <si>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</si>
  <si>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</si>
  <si>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</si>
  <si>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</si>
  <si>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</si>
  <si>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</si>
  <si>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</si>
  <si>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</si>
  <si>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</si>
  <si>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</si>
  <si>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</si>
  <si>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</si>
  <si>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</si>
  <si>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</si>
  <si>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</si>
  <si>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</si>
  <si>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</si>
  <si>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</si>
  <si>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</si>
  <si>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</si>
  <si>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</si>
  <si>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</si>
  <si>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</si>
  <si>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</si>
  <si>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</si>
  <si>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</si>
  <si>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</si>
  <si>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</si>
  <si>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</si>
  <si>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</si>
  <si>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</si>
  <si>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</si>
  <si>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</si>
  <si>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</si>
  <si>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</si>
  <si>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</si>
  <si>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</si>
  <si>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</si>
  <si>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</si>
  <si>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</si>
  <si>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</si>
  <si>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</si>
  <si>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</si>
  <si>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</si>
  <si>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</si>
  <si>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</si>
  <si>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</si>
  <si>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</si>
  <si>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</si>
  <si>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</si>
  <si>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</si>
  <si>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</si>
  <si>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</si>
  <si>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</si>
  <si>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</si>
  <si>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</si>
  <si>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</si>
  <si>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</si>
  <si>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</si>
  <si>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</si>
  <si>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</si>
  <si>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</si>
  <si>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</si>
  <si>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</si>
  <si>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</si>
  <si>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</si>
  <si>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</si>
  <si>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</si>
  <si>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</si>
  <si>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</si>
  <si>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</si>
  <si>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</si>
  <si>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</si>
  <si>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</si>
  <si>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</si>
  <si>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</si>
  <si>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</si>
  <si>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</si>
  <si>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</si>
  <si>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</si>
  <si>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</si>
  <si>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</si>
  <si>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</si>
  <si>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</si>
  <si>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</si>
  <si>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</si>
  <si>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</si>
  <si>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</si>
  <si>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</si>
  <si>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</si>
  <si>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</si>
  <si>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</si>
  <si>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</si>
  <si>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</si>
  <si>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</si>
  <si>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</si>
  <si>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</si>
  <si>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</si>
  <si>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</si>
  <si>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</si>
  <si>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</si>
  <si>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</si>
  <si>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</si>
  <si>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</si>
  <si>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</si>
  <si>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</si>
  <si>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</si>
  <si>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</si>
  <si>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</si>
  <si>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</si>
  <si>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</si>
  <si>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</si>
  <si>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</si>
  <si>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</si>
  <si>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</si>
  <si>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</si>
  <si>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</si>
  <si>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</si>
  <si>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</si>
  <si>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</si>
  <si>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</si>
  <si>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</si>
  <si>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</si>
  <si>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</si>
  <si>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</si>
  <si>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</si>
  <si>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</si>
  <si>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</si>
  <si>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</si>
  <si>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</si>
  <si>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</si>
  <si>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</si>
  <si>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</si>
  <si>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</si>
  <si>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</si>
  <si>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</si>
  <si>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</si>
  <si>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</si>
  <si>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</si>
  <si>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</si>
  <si>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</si>
  <si>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</si>
  <si>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</si>
  <si>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</si>
  <si>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</si>
  <si>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</si>
  <si>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</si>
  <si>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</si>
  <si>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</si>
  <si>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</si>
  <si>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</si>
  <si>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</si>
  <si>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</si>
  <si>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</si>
  <si>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</si>
  <si>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</si>
  <si>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</si>
  <si>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</si>
  <si>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</si>
  <si>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</si>
  <si>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</si>
  <si>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</si>
  <si>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</si>
  <si>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</si>
  <si>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</si>
  <si>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</si>
  <si>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</si>
  <si>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</si>
  <si>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</si>
  <si>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</si>
  <si>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</si>
  <si>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</si>
  <si>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</si>
  <si>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</si>
  <si>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</si>
  <si>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</si>
  <si>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</si>
  <si>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</si>
  <si>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</si>
  <si>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</si>
  <si>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</si>
  <si>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</si>
  <si>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</si>
  <si>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</si>
  <si>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</si>
  <si>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</si>
  <si>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</si>
  <si>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</si>
  <si>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</si>
  <si>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</si>
  <si>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</si>
  <si>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</si>
  <si>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</si>
  <si>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</si>
  <si>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</si>
  <si>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</si>
  <si>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</si>
  <si>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</si>
  <si>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</si>
  <si>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</si>
  <si>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</si>
  <si>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</si>
  <si>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</si>
  <si>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</si>
  <si>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</si>
  <si>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</si>
  <si>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</si>
  <si>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</si>
  <si>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</si>
  <si>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</si>
  <si>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</si>
  <si>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</si>
  <si>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</si>
  <si>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</si>
  <si>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</si>
  <si>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</si>
  <si>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</si>
  <si>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</si>
  <si>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</si>
  <si>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</si>
  <si>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</si>
  <si>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</si>
  <si>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</si>
  <si>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</si>
  <si>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</si>
  <si>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</si>
  <si>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</si>
  <si>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</si>
  <si>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</si>
  <si>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</si>
  <si>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</si>
  <si>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</si>
  <si>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</si>
  <si>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</si>
  <si>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</si>
  <si>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</si>
  <si>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</si>
  <si>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</si>
  <si>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</si>
  <si>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</si>
  <si>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</si>
  <si>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</si>
  <si>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</si>
  <si>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</si>
  <si>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</si>
  <si>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</si>
  <si>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</si>
  <si>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</si>
  <si>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</si>
  <si>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</si>
  <si>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</si>
  <si>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</si>
  <si>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</si>
  <si>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</si>
  <si>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</si>
  <si>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</si>
  <si>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</si>
  <si>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</si>
  <si>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</si>
  <si>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</si>
  <si>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</si>
  <si>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</si>
  <si>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</si>
  <si>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</si>
  <si>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</si>
  <si>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</si>
  <si>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</si>
  <si>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</si>
  <si>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</si>
  <si>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</si>
  <si>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</si>
  <si>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</si>
  <si>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</si>
  <si>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</si>
  <si>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</si>
  <si>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</si>
  <si>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</si>
  <si>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</si>
  <si>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</si>
  <si>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</si>
  <si>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</si>
  <si>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</si>
  <si>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</si>
  <si>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</si>
  <si>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</si>
  <si>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</si>
  <si>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</si>
  <si>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</si>
  <si>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</si>
  <si>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</si>
  <si>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</si>
  <si>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</si>
  <si>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</si>
  <si>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</si>
  <si>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</si>
  <si>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</si>
  <si>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</si>
  <si>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</si>
  <si>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</si>
  <si>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</si>
  <si>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</si>
  <si>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</si>
  <si>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</si>
  <si>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</si>
  <si>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</si>
  <si>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</si>
  <si>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</si>
  <si>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</si>
  <si>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</si>
  <si>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</si>
  <si>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</si>
  <si>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</si>
  <si>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</si>
  <si>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</si>
  <si>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</si>
  <si>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</si>
  <si>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</si>
  <si>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</si>
  <si>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</si>
  <si>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</si>
  <si>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</si>
  <si>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</si>
  <si>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</si>
  <si>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</si>
  <si>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</si>
  <si>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</si>
  <si>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</si>
  <si>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</si>
  <si>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</si>
  <si>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</si>
  <si>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</si>
  <si>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</si>
  <si>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</si>
  <si>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</si>
  <si>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</si>
  <si>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</si>
  <si>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</si>
  <si>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</si>
  <si>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</si>
  <si>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</si>
  <si>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</si>
  <si>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</si>
  <si>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</si>
  <si>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</si>
  <si>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</si>
  <si>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</si>
  <si>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</si>
  <si>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</si>
  <si>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</si>
  <si>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</si>
  <si>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</si>
  <si>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</si>
  <si>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</si>
  <si>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</si>
  <si>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</si>
  <si>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</si>
  <si>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</si>
  <si>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</si>
  <si>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</si>
  <si>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</si>
  <si>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</si>
  <si>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</si>
  <si>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</si>
  <si>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</si>
  <si>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</si>
  <si>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</si>
  <si>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</si>
  <si>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</si>
  <si>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</si>
  <si>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</si>
  <si>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</si>
  <si>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</si>
  <si>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</si>
  <si>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</si>
  <si>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</si>
  <si>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</si>
  <si>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</si>
  <si>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</si>
  <si>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</si>
  <si>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</si>
  <si>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</si>
  <si>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</si>
  <si>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</si>
  <si>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</si>
  <si>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</si>
  <si>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</si>
  <si>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</si>
  <si>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</si>
  <si>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</si>
  <si>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</si>
  <si>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</si>
  <si>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</si>
  <si>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</si>
  <si>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</si>
  <si>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</si>
  <si>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</si>
  <si>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</si>
  <si>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</si>
  <si>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</si>
  <si>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</si>
  <si>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</si>
  <si>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</si>
  <si>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</si>
  <si>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</si>
  <si>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</si>
  <si>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</si>
  <si>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</si>
  <si>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</si>
  <si>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</si>
  <si>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</si>
  <si>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</si>
  <si>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</si>
  <si>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</si>
  <si>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</si>
  <si>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</si>
  <si>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</si>
  <si>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</si>
  <si>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</si>
  <si>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</si>
  <si>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</si>
  <si>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</si>
  <si>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</si>
  <si>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</si>
  <si>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</si>
  <si>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</si>
  <si>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</si>
  <si>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</si>
  <si>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</si>
  <si>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</si>
  <si>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</si>
  <si>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</si>
  <si>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</si>
  <si>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</si>
  <si>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</si>
  <si>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</si>
  <si>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</si>
  <si>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</si>
  <si>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</si>
  <si>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</si>
  <si>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</si>
  <si>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</si>
  <si>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</si>
  <si>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</si>
  <si>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</si>
  <si>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</si>
  <si>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</si>
  <si>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</si>
  <si>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</si>
  <si>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</si>
  <si>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</si>
  <si>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</si>
  <si>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</si>
  <si>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</si>
  <si>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</si>
  <si>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</si>
  <si>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</si>
  <si>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</si>
  <si>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</si>
  <si>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</si>
  <si>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</si>
  <si>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</si>
  <si>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</si>
  <si>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</si>
  <si>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</si>
  <si>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</si>
  <si>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</si>
  <si>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</si>
  <si>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</si>
  <si>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</si>
  <si>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</si>
  <si>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</si>
  <si>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</si>
  <si>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</si>
  <si>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</si>
  <si>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</si>
  <si>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</si>
  <si>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</si>
  <si>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</si>
  <si>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</si>
  <si>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</si>
  <si>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</si>
  <si>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</si>
  <si>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</si>
  <si>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</si>
  <si>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</si>
  <si>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</si>
  <si>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</si>
  <si>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</si>
  <si>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</si>
  <si>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</si>
  <si>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</si>
  <si>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</si>
  <si>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</si>
  <si>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</si>
  <si>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</si>
  <si>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</si>
  <si>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</si>
  <si>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</si>
  <si>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</si>
  <si>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</si>
  <si>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</si>
  <si>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</si>
  <si>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</si>
  <si>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</si>
  <si>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</si>
  <si>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</si>
  <si>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</si>
  <si>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</si>
  <si>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</si>
  <si>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</si>
  <si>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</si>
  <si>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</si>
  <si>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</si>
  <si>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</si>
  <si>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</si>
  <si>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</si>
  <si>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</si>
  <si>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</si>
  <si>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</si>
  <si>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</si>
  <si>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</si>
  <si>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</si>
  <si>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</si>
  <si>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</si>
  <si>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</si>
  <si>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</si>
  <si>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</si>
  <si>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</si>
  <si>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</si>
  <si>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</si>
  <si>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</si>
  <si>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</si>
  <si>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</si>
  <si>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</si>
  <si>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</si>
  <si>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</si>
  <si>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</si>
  <si>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</si>
  <si>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</si>
  <si>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</si>
  <si>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</si>
  <si>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</si>
  <si>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</si>
  <si>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</si>
  <si>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</si>
  <si>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</si>
  <si>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</si>
  <si>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</si>
  <si>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</si>
  <si>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</si>
  <si>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</si>
  <si>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</si>
  <si>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</si>
  <si>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</si>
  <si>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</si>
  <si>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</si>
  <si>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</si>
  <si>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</si>
  <si>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</si>
  <si>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</si>
  <si>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</si>
  <si>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</si>
  <si>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</si>
  <si>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</si>
  <si>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</si>
  <si>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</si>
  <si>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</si>
  <si>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</si>
  <si>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</si>
  <si>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</si>
  <si>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</si>
  <si>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</si>
  <si>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</si>
  <si>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</si>
  <si>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</si>
  <si>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</si>
  <si>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</si>
  <si>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</si>
  <si>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</si>
  <si>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</si>
  <si>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</si>
  <si>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</si>
  <si>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</si>
  <si>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</si>
  <si>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</si>
  <si>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</si>
  <si>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</si>
  <si>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</si>
  <si>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</si>
  <si>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</si>
  <si>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</si>
  <si>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</si>
  <si>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</si>
  <si>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</si>
  <si>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</si>
  <si>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</si>
  <si>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</si>
  <si>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</si>
  <si>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</si>
  <si>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</si>
  <si>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</si>
  <si>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</si>
  <si>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</si>
  <si>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</si>
  <si>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</si>
  <si>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</si>
  <si>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</si>
  <si>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</si>
  <si>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</si>
  <si>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</si>
  <si>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</si>
  <si>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</si>
  <si>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</si>
  <si>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</si>
  <si>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</si>
  <si>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</si>
  <si>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</si>
  <si>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</si>
  <si>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</si>
  <si>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</si>
  <si>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</si>
  <si>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</si>
  <si>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</si>
  <si>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</si>
  <si>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</si>
  <si>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</si>
  <si>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</si>
  <si>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</si>
  <si>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</si>
  <si>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</si>
  <si>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</si>
  <si>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</si>
  <si>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</si>
  <si>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</si>
  <si>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</si>
  <si>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</si>
  <si>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</si>
  <si>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</si>
  <si>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</si>
  <si>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</si>
  <si>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</si>
  <si>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</si>
  <si>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</si>
  <si>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</si>
  <si>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</si>
  <si>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</si>
  <si>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</si>
  <si>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</si>
  <si>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</si>
  <si>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</si>
  <si>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</si>
  <si>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</si>
  <si>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</si>
  <si>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</si>
  <si>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</si>
  <si>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</si>
  <si>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</si>
  <si>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</si>
  <si>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</si>
  <si>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</si>
  <si>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</si>
  <si>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</si>
  <si>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</si>
  <si>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</si>
  <si>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</si>
  <si>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</si>
  <si>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</si>
  <si>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</si>
  <si>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</si>
  <si>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</si>
  <si>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</si>
  <si>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</si>
  <si>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</si>
  <si>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</si>
  <si>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</si>
  <si>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</si>
  <si>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</si>
  <si>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</si>
  <si>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</si>
  <si>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</si>
  <si>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</si>
  <si>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</si>
  <si>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</si>
  <si>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</si>
  <si>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</si>
  <si>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</si>
  <si>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</si>
  <si>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</si>
  <si>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</si>
  <si>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</si>
  <si>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</si>
  <si>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</si>
  <si>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</si>
  <si>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</si>
  <si>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</si>
  <si>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</si>
  <si>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</si>
  <si>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</si>
  <si>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</si>
  <si>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</si>
  <si>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</si>
  <si>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</si>
  <si>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</si>
  <si>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</si>
  <si>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</si>
  <si>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</si>
  <si>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</si>
  <si>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</si>
  <si>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</si>
  <si>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</si>
  <si>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</si>
  <si>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</si>
  <si>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</si>
  <si>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</si>
  <si>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</si>
  <si>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</si>
  <si>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</si>
  <si>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</si>
  <si>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</si>
  <si>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</si>
  <si>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</si>
  <si>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</si>
  <si>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</si>
  <si>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</si>
  <si>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</si>
  <si>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</si>
  <si>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</si>
  <si>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</si>
  <si>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</si>
  <si>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</si>
  <si>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</si>
  <si>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</si>
  <si>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</si>
  <si>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</si>
  <si>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</si>
  <si>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</si>
  <si>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</si>
  <si>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</si>
  <si>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</si>
  <si>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</si>
  <si>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</si>
  <si>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</si>
  <si>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</si>
  <si>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</si>
  <si>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</si>
  <si>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</si>
  <si>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</si>
  <si>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</si>
  <si>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</si>
  <si>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</si>
  <si>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</si>
  <si>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</si>
  <si>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</si>
  <si>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</si>
  <si>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</si>
  <si>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</si>
  <si>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</si>
  <si>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</si>
  <si>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</si>
  <si>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</si>
  <si>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</si>
  <si>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</si>
  <si>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</si>
  <si>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</si>
  <si>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</si>
  <si>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</si>
  <si>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</si>
  <si>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</si>
  <si>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</si>
  <si>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</si>
  <si>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</si>
  <si>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</si>
  <si>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</si>
  <si>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</si>
  <si>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</si>
  <si>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</si>
  <si>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</si>
  <si>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</si>
  <si>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</si>
  <si>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</si>
  <si>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</si>
  <si>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</si>
  <si>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</si>
  <si>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</si>
  <si>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</si>
  <si>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</si>
  <si>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</si>
  <si>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</si>
  <si>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</si>
  <si>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</si>
  <si>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</si>
  <si>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</si>
  <si>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</si>
  <si>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</si>
  <si>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</si>
  <si>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</si>
  <si>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</si>
  <si>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</si>
  <si>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</si>
  <si>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</si>
  <si>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</si>
  <si>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</si>
  <si>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</si>
  <si>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</si>
  <si>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</si>
  <si>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</si>
  <si>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</si>
  <si>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</si>
  <si>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</si>
  <si>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</si>
  <si>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</si>
  <si>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</si>
  <si>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</si>
  <si>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</si>
  <si>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</si>
  <si>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</si>
  <si>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</si>
  <si>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</si>
  <si>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</si>
  <si>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</si>
  <si>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</si>
  <si>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</si>
  <si>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</si>
  <si>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</si>
  <si>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</si>
  <si>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</si>
  <si>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</si>
  <si>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</si>
  <si>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</si>
  <si>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</si>
  <si>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</si>
  <si>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</si>
  <si>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</si>
  <si>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</si>
  <si>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</si>
  <si>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</si>
  <si>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</si>
  <si>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</si>
  <si>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</si>
  <si>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</si>
  <si>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</si>
  <si>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</si>
  <si>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</si>
  <si>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</si>
  <si>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</si>
  <si>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</si>
  <si>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</si>
  <si>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</si>
  <si>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</si>
  <si>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</si>
  <si>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</si>
  <si>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</si>
  <si>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</si>
  <si>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</si>
  <si>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</si>
  <si>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</si>
  <si>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</si>
  <si>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</si>
  <si>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</si>
  <si>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</si>
  <si>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</si>
  <si>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</si>
  <si>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</si>
  <si>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</si>
  <si>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</si>
  <si>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</si>
  <si>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</si>
  <si>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</si>
  <si>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</si>
  <si>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</si>
  <si>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</si>
  <si>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</si>
  <si>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</si>
  <si>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</si>
  <si>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</si>
  <si>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</si>
  <si>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</si>
  <si>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</si>
  <si>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</si>
  <si>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</si>
  <si>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</si>
  <si>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</si>
  <si>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</si>
  <si>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</si>
  <si>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</si>
  <si>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</si>
  <si>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</si>
  <si>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</si>
  <si>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</si>
  <si>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</si>
  <si>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</si>
  <si>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</si>
  <si>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</si>
  <si>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</si>
  <si>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</si>
  <si>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</si>
  <si>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</si>
  <si>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</si>
  <si>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</si>
  <si>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</si>
  <si>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</si>
  <si>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</si>
  <si>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</si>
  <si>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</si>
  <si>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</si>
  <si>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</si>
  <si>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</si>
  <si>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</si>
  <si>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</si>
  <si>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</si>
  <si>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</si>
  <si>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</si>
  <si>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</si>
  <si>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</si>
  <si>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</si>
  <si>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</si>
  <si>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</si>
  <si>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</si>
  <si>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</si>
  <si>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</si>
  <si>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</si>
  <si>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</si>
  <si>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</si>
  <si>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</si>
  <si>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</si>
  <si>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</si>
  <si>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</si>
  <si>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</si>
  <si>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</si>
  <si>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</si>
  <si>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</si>
  <si>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</si>
  <si>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</si>
  <si>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</si>
  <si>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</si>
  <si>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</si>
  <si>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</si>
  <si>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</si>
  <si>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</si>
  <si>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</si>
  <si>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</si>
  <si>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</si>
  <si>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</si>
  <si>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</si>
  <si>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</si>
  <si>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</si>
  <si>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</si>
  <si>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</si>
  <si>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</si>
  <si>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</si>
  <si>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</si>
  <si>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</si>
  <si>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</si>
  <si>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</si>
  <si>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</si>
  <si>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</si>
  <si>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</si>
  <si>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</si>
  <si>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</si>
  <si>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</si>
  <si>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</si>
  <si>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</si>
  <si>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</si>
  <si>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</si>
  <si>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</si>
  <si>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</si>
  <si>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</si>
  <si>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</si>
  <si>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</si>
  <si>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</si>
  <si>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</si>
  <si>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</si>
  <si>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</si>
  <si>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</si>
  <si>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</si>
  <si>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</si>
  <si>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</si>
  <si>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</si>
  <si>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</si>
  <si>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</si>
  <si>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</si>
  <si>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</si>
  <si>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</si>
  <si>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</si>
  <si>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</si>
  <si>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</si>
  <si>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</si>
  <si>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</si>
  <si>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</si>
  <si>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</si>
  <si>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</si>
  <si>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</si>
  <si>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</si>
  <si>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</si>
  <si>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</si>
  <si>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</si>
  <si>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</si>
  <si>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</si>
  <si>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</si>
  <si>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</si>
  <si>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</si>
  <si>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</si>
  <si>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</si>
  <si>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</si>
  <si>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</si>
  <si>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</si>
  <si>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</si>
  <si>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</si>
  <si>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</si>
  <si>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</si>
  <si>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</si>
  <si>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</si>
  <si>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</si>
  <si>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</si>
  <si>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</si>
  <si>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</si>
  <si>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</si>
  <si>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</si>
  <si>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</si>
  <si>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</si>
  <si>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</si>
  <si>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</si>
  <si>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</si>
  <si>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</si>
  <si>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</si>
  <si>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</si>
  <si>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</si>
  <si>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</si>
  <si>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</si>
  <si>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</si>
  <si>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</si>
  <si>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</si>
  <si>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</si>
  <si>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</si>
  <si>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</si>
  <si>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</si>
  <si>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</si>
  <si>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</si>
  <si>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</si>
  <si>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</si>
  <si>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</si>
  <si>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</si>
  <si>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</si>
  <si>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</si>
  <si>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</si>
  <si>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</si>
  <si>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</si>
  <si>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</si>
  <si>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</si>
  <si>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</si>
  <si>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</si>
  <si>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</si>
  <si>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</si>
  <si>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</si>
  <si>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</si>
  <si>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</si>
  <si>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</si>
  <si>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</si>
  <si>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</si>
  <si>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</si>
  <si>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</si>
  <si>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</si>
  <si>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</si>
  <si>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</si>
  <si>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</si>
  <si>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</si>
  <si>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</si>
  <si>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</si>
  <si>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</si>
  <si>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</si>
  <si>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</si>
  <si>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</si>
  <si>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</si>
  <si>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</si>
  <si>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</si>
  <si>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</si>
  <si>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</si>
  <si>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</si>
  <si>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</si>
  <si>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</si>
  <si>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</si>
  <si>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</si>
  <si>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</si>
  <si>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</si>
  <si>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</si>
  <si>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</si>
  <si>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</si>
  <si>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</si>
  <si>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</si>
  <si>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</si>
  <si>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</si>
  <si>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</si>
  <si>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</si>
  <si>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</si>
  <si>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</si>
  <si>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</si>
  <si>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</si>
  <si>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</si>
  <si>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</si>
  <si>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</si>
  <si>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</si>
  <si>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</si>
  <si>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</si>
  <si>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</si>
  <si>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</si>
  <si>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</si>
  <si>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</si>
  <si>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</si>
  <si>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</si>
  <si>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</si>
  <si>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</si>
  <si>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</si>
  <si>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</si>
  <si>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</si>
  <si>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</si>
  <si>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</si>
  <si>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</si>
  <si>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</si>
  <si>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</si>
  <si>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</si>
  <si>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</si>
  <si>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</si>
  <si>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</si>
  <si>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</si>
  <si>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</si>
  <si>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</si>
  <si>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</si>
  <si>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</si>
  <si>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</si>
  <si>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</si>
  <si>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</si>
  <si>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</si>
  <si>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</si>
  <si>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</si>
  <si>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</si>
  <si>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</si>
  <si>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</si>
  <si>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</si>
  <si>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</si>
  <si>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</si>
  <si>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</si>
  <si>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</si>
  <si>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</si>
  <si>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</si>
  <si>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</si>
  <si>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</si>
  <si>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</si>
  <si>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</si>
  <si>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</si>
  <si>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</si>
  <si>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</si>
  <si>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</si>
  <si>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</si>
  <si>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</si>
  <si>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</si>
  <si>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</si>
  <si>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</si>
  <si>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</si>
  <si>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</si>
  <si>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</si>
  <si>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</si>
  <si>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</si>
  <si>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</si>
  <si>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</si>
  <si>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</si>
  <si>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</si>
  <si>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</si>
  <si>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</si>
  <si>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</si>
  <si>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</si>
  <si>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</si>
  <si>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</si>
  <si>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</si>
  <si>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</si>
  <si>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</si>
  <si>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</si>
  <si>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</si>
  <si>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</si>
  <si>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</si>
  <si>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</si>
  <si>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</si>
  <si>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</si>
  <si>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</si>
  <si>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</si>
  <si>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</si>
  <si>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</si>
  <si>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</si>
  <si>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</si>
  <si>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</si>
  <si>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</si>
  <si>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</si>
  <si>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</si>
  <si>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</si>
  <si>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</si>
  <si>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</si>
  <si>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</si>
  <si>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</si>
  <si>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</si>
  <si>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</si>
  <si>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</si>
  <si>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</si>
  <si>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</si>
  <si>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</si>
  <si>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</si>
  <si>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</si>
  <si>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</si>
  <si>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</si>
  <si>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</si>
  <si>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</si>
  <si>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</si>
  <si>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</si>
  <si>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</si>
  <si>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</si>
  <si>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</si>
  <si>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</si>
  <si>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</si>
  <si>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</si>
  <si>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</si>
  <si>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</si>
  <si>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</si>
  <si>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</si>
  <si>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</si>
  <si>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</si>
  <si>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</si>
  <si>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</si>
  <si>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</si>
  <si>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</si>
  <si>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</si>
  <si>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</si>
  <si>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</si>
  <si>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</si>
  <si>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</si>
  <si>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</si>
  <si>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</si>
  <si>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</si>
  <si>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</si>
  <si>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</si>
  <si>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</si>
  <si>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</si>
  <si>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</si>
  <si>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</si>
  <si>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</si>
  <si>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</si>
  <si>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</si>
  <si>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</si>
  <si>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</si>
  <si>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</si>
  <si>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</si>
  <si>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</si>
  <si>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</si>
  <si>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</si>
  <si>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</si>
  <si>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</si>
  <si>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</si>
  <si>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</si>
  <si>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</si>
  <si>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</si>
  <si>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</si>
  <si>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</si>
  <si>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</si>
  <si>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</si>
  <si>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</si>
  <si>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</si>
  <si>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</si>
  <si>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</si>
  <si>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</si>
  <si>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</si>
  <si>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</si>
  <si>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</si>
  <si>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</si>
  <si>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</si>
  <si>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</si>
  <si>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</si>
  <si>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</si>
  <si>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</si>
  <si>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</si>
  <si>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</si>
  <si>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</si>
  <si>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</si>
  <si>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</si>
  <si>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</si>
  <si>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</si>
  <si>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</si>
  <si>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</si>
  <si>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</si>
  <si>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</si>
  <si>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</si>
  <si>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</si>
  <si>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</si>
  <si>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</si>
  <si>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</si>
  <si>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</si>
  <si>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</si>
  <si>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</si>
  <si>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</si>
  <si>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</si>
  <si>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</si>
  <si>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</si>
  <si>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</si>
  <si>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</si>
  <si>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</si>
  <si>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</si>
  <si>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</si>
  <si>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</si>
  <si>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</si>
  <si>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</si>
  <si>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</si>
  <si>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</si>
  <si>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</si>
  <si>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</si>
  <si>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</si>
  <si>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</si>
  <si>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</si>
  <si>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</si>
  <si>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</si>
  <si>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</si>
  <si>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</si>
  <si>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</si>
  <si>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</si>
  <si>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</si>
  <si>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</si>
  <si>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</si>
  <si>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</si>
  <si>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</si>
  <si>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</si>
  <si>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</si>
  <si>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</si>
  <si>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</si>
  <si>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</si>
  <si>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</si>
  <si>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</si>
  <si>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</si>
  <si>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</si>
  <si>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</si>
  <si>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</si>
  <si>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</si>
  <si>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</si>
  <si>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</si>
  <si>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</si>
  <si>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</si>
  <si>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</si>
  <si>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</si>
  <si>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</si>
  <si>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</si>
  <si>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</si>
  <si>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</si>
  <si>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</si>
  <si>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</si>
  <si>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</si>
  <si>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</si>
  <si>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</si>
  <si>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</si>
  <si>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</si>
  <si>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</si>
  <si>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</si>
  <si>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</si>
  <si>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</si>
  <si>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</si>
  <si>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</si>
  <si>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</si>
  <si>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</si>
  <si>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</si>
  <si>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</si>
  <si>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</si>
  <si>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</si>
  <si>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</si>
  <si>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</si>
  <si>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</si>
  <si>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</si>
  <si>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</si>
  <si>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</si>
  <si>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</si>
  <si>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</si>
  <si>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</si>
  <si>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</si>
  <si>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</si>
  <si>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</si>
  <si>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</si>
  <si>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</si>
  <si>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</si>
  <si>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</si>
  <si>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</si>
  <si>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</si>
  <si>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</si>
  <si>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</si>
  <si>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</si>
  <si>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</si>
  <si>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</si>
  <si>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</si>
  <si>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</si>
  <si>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</si>
  <si>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</si>
  <si>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</si>
  <si>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</si>
  <si>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</si>
  <si>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</si>
  <si>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</si>
  <si>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</si>
  <si>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</si>
  <si>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</si>
  <si>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</si>
  <si>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</si>
  <si>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</si>
  <si>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</si>
  <si>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</si>
  <si>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</si>
  <si>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</si>
  <si>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</si>
  <si>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</si>
  <si>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</si>
  <si>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</si>
  <si>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</si>
  <si>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</si>
  <si>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</si>
  <si>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</si>
  <si>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</si>
  <si>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</si>
  <si>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</si>
  <si>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</si>
  <si>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</si>
  <si>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</si>
  <si>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</si>
  <si>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</si>
  <si>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</si>
  <si>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</si>
  <si>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</si>
  <si>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</si>
  <si>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</si>
  <si>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</si>
  <si>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</si>
  <si>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</si>
  <si>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</si>
  <si>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</si>
  <si>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</si>
  <si>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</si>
  <si>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</si>
  <si>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</si>
  <si>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</si>
  <si>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</si>
  <si>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</si>
  <si>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</si>
  <si>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</si>
  <si>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序号</t>
    <phoneticPr fontId="134" type="noConversion"/>
  </si>
  <si>
    <t>楼号</t>
    <phoneticPr fontId="134" type="noConversion"/>
  </si>
  <si>
    <t>地址</t>
    <phoneticPr fontId="134" type="noConversion"/>
  </si>
  <si>
    <t>房产证号</t>
    <phoneticPr fontId="134" type="noConversion"/>
  </si>
  <si>
    <t>房屋所有权人</t>
    <phoneticPr fontId="134" type="noConversion"/>
  </si>
  <si>
    <t>楼层</t>
    <phoneticPr fontId="134" type="noConversion"/>
  </si>
  <si>
    <t>面积</t>
    <phoneticPr fontId="134" type="noConversion"/>
  </si>
  <si>
    <t>面积修正</t>
    <phoneticPr fontId="134" type="noConversion"/>
  </si>
  <si>
    <t>楼层修正</t>
    <phoneticPr fontId="134" type="noConversion"/>
  </si>
  <si>
    <t>临街情况修正</t>
    <phoneticPr fontId="134" type="noConversion"/>
  </si>
  <si>
    <t>单价</t>
    <phoneticPr fontId="134" type="noConversion"/>
  </si>
  <si>
    <t>总价</t>
    <phoneticPr fontId="134" type="noConversion"/>
  </si>
  <si>
    <t>甲6号楼</t>
    <phoneticPr fontId="134" type="noConversion"/>
  </si>
  <si>
    <t>朝阳区广渠路36号院甲6号楼1层01</t>
    <phoneticPr fontId="134" type="noConversion"/>
  </si>
  <si>
    <t>其他商业服务</t>
    <phoneticPr fontId="134" type="noConversion"/>
  </si>
  <si>
    <t>直接临街</t>
    <phoneticPr fontId="134" type="noConversion"/>
  </si>
  <si>
    <r>
      <t>甲6、</t>
    </r>
    <r>
      <rPr>
        <sz val="11"/>
        <color theme="1"/>
        <rFont val="宋体"/>
        <family val="3"/>
        <charset val="134"/>
        <scheme val="minor"/>
      </rPr>
      <t>7</t>
    </r>
    <phoneticPr fontId="134" type="noConversion"/>
  </si>
  <si>
    <t>朝阳区广渠路36号院甲6号楼1层02</t>
    <phoneticPr fontId="134" type="noConversion"/>
  </si>
  <si>
    <t>间接临街</t>
    <phoneticPr fontId="134" type="noConversion"/>
  </si>
  <si>
    <r>
      <t>5号楼</t>
    </r>
    <r>
      <rPr>
        <sz val="11"/>
        <color theme="1"/>
        <rFont val="宋体"/>
        <family val="3"/>
        <charset val="134"/>
        <scheme val="minor"/>
      </rPr>
      <t>114-118、204、205</t>
    </r>
    <phoneticPr fontId="134" type="noConversion"/>
  </si>
  <si>
    <t>乙6号楼</t>
    <phoneticPr fontId="134" type="noConversion"/>
  </si>
  <si>
    <t>朝阳区广渠路36号院乙6号楼1层18</t>
    <phoneticPr fontId="134" type="noConversion"/>
  </si>
  <si>
    <t>不临街</t>
    <phoneticPr fontId="134" type="noConversion"/>
  </si>
  <si>
    <t>乙6、5号楼110-113、119-123、206-210</t>
    <phoneticPr fontId="134" type="noConversion"/>
  </si>
  <si>
    <t>朝阳区广渠路36号院乙6号楼1至2层17</t>
    <phoneticPr fontId="134" type="noConversion"/>
  </si>
  <si>
    <t>1-2</t>
    <phoneticPr fontId="134" type="noConversion"/>
  </si>
  <si>
    <t>1层</t>
    <phoneticPr fontId="134" type="noConversion"/>
  </si>
  <si>
    <t>朝阳区广渠路36号院乙6号楼1至2层19</t>
    <phoneticPr fontId="134" type="noConversion"/>
  </si>
  <si>
    <t>2层</t>
    <phoneticPr fontId="134" type="noConversion"/>
  </si>
  <si>
    <t>朝阳区广渠路36号院乙6号楼1至2层20</t>
    <phoneticPr fontId="134" type="noConversion"/>
  </si>
  <si>
    <t>-1层</t>
    <phoneticPr fontId="134" type="noConversion"/>
  </si>
  <si>
    <t>朝阳区广渠路36号院乙6号楼1至2层22</t>
    <phoneticPr fontId="134" type="noConversion"/>
  </si>
  <si>
    <t>0-100</t>
    <phoneticPr fontId="134" type="noConversion"/>
  </si>
  <si>
    <t>朝阳区广渠路36号院乙6号楼-1至1层16</t>
    <phoneticPr fontId="134" type="noConversion"/>
  </si>
  <si>
    <t>-1-1</t>
    <phoneticPr fontId="134" type="noConversion"/>
  </si>
  <si>
    <t>朝阳区广渠路36号院乙6号楼-1至1层21</t>
    <phoneticPr fontId="134" type="noConversion"/>
  </si>
  <si>
    <t>朝阳区广渠路36号院乙6号楼-1至1层23</t>
    <phoneticPr fontId="134" type="noConversion"/>
  </si>
  <si>
    <t>5号楼</t>
    <phoneticPr fontId="134" type="noConversion"/>
  </si>
  <si>
    <t>朝阳区广渠路36号院5号楼1层114</t>
    <phoneticPr fontId="134" type="noConversion"/>
  </si>
  <si>
    <t>1</t>
    <phoneticPr fontId="134" type="noConversion"/>
  </si>
  <si>
    <t>商业</t>
    <phoneticPr fontId="134" type="noConversion"/>
  </si>
  <si>
    <t>朝阳区广渠路36号院5号楼1层121</t>
    <phoneticPr fontId="134" type="noConversion"/>
  </si>
  <si>
    <t>朝阳区广渠路36号院5号楼1层122</t>
    <phoneticPr fontId="134" type="noConversion"/>
  </si>
  <si>
    <t>17、19、22（1层1,2层2）</t>
    <phoneticPr fontId="134" type="noConversion"/>
  </si>
  <si>
    <t>朝阳区广渠路36号院5号楼1层123</t>
    <phoneticPr fontId="134" type="noConversion"/>
  </si>
  <si>
    <r>
      <t>2</t>
    </r>
    <r>
      <rPr>
        <sz val="11"/>
        <color theme="1"/>
        <rFont val="宋体"/>
        <family val="3"/>
        <charset val="134"/>
        <scheme val="minor"/>
      </rPr>
      <t>0（1层1,2层3）</t>
    </r>
    <phoneticPr fontId="134" type="noConversion"/>
  </si>
  <si>
    <t>朝阳区广渠路36号院5号楼1至2层110</t>
    <phoneticPr fontId="134" type="noConversion"/>
  </si>
  <si>
    <r>
      <t>1</t>
    </r>
    <r>
      <rPr>
        <sz val="11"/>
        <color theme="1"/>
        <rFont val="宋体"/>
        <family val="3"/>
        <charset val="134"/>
        <scheme val="minor"/>
      </rPr>
      <t>6（1层1，-1层4）</t>
    </r>
    <phoneticPr fontId="134" type="noConversion"/>
  </si>
  <si>
    <t>朝阳区广渠路36号院5号楼1至2层111</t>
    <phoneticPr fontId="134" type="noConversion"/>
  </si>
  <si>
    <t>21（1层2，-1层3）</t>
    <phoneticPr fontId="134" type="noConversion"/>
  </si>
  <si>
    <t>朝阳区广渠路36号院5号楼1至2层112</t>
    <phoneticPr fontId="134" type="noConversion"/>
  </si>
  <si>
    <r>
      <t>23（</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2</t>
    </r>
    <r>
      <rPr>
        <sz val="11"/>
        <color theme="1"/>
        <rFont val="宋体"/>
        <family val="3"/>
        <charset val="134"/>
        <scheme val="minor"/>
      </rPr>
      <t>）</t>
    </r>
    <phoneticPr fontId="134" type="noConversion"/>
  </si>
  <si>
    <t>朝阳区广渠路36号院5号楼1至2层113</t>
    <phoneticPr fontId="134" type="noConversion"/>
  </si>
  <si>
    <t>5号楼1-2层</t>
    <phoneticPr fontId="134" type="noConversion"/>
  </si>
  <si>
    <t>朝阳区广渠路36号院5号楼1至2层115</t>
    <phoneticPr fontId="134" type="noConversion"/>
  </si>
  <si>
    <r>
      <t>7号楼0</t>
    </r>
    <r>
      <rPr>
        <sz val="11"/>
        <color theme="1"/>
        <rFont val="宋体"/>
        <family val="3"/>
        <charset val="134"/>
        <scheme val="minor"/>
      </rPr>
      <t>3、</t>
    </r>
    <r>
      <rPr>
        <sz val="11"/>
        <color theme="1"/>
        <rFont val="宋体"/>
        <family val="3"/>
        <charset val="134"/>
        <scheme val="minor"/>
      </rPr>
      <t>07</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2</t>
    </r>
    <r>
      <rPr>
        <sz val="11"/>
        <color theme="1"/>
        <rFont val="宋体"/>
        <family val="3"/>
        <charset val="134"/>
        <scheme val="minor"/>
      </rPr>
      <t>）</t>
    </r>
    <phoneticPr fontId="134" type="noConversion"/>
  </si>
  <si>
    <t>朝阳区广渠路36号院5号楼1至2层116</t>
    <phoneticPr fontId="134" type="noConversion"/>
  </si>
  <si>
    <t>租金单价</t>
    <phoneticPr fontId="134" type="noConversion"/>
  </si>
  <si>
    <t>朝阳区广渠路36号院5号楼1至2层117</t>
    <phoneticPr fontId="134" type="noConversion"/>
  </si>
  <si>
    <t>地上1层</t>
    <phoneticPr fontId="134" type="noConversion"/>
  </si>
  <si>
    <t>朝阳区广渠路36号院5号楼1至2层118</t>
    <phoneticPr fontId="134" type="noConversion"/>
  </si>
  <si>
    <t>朝阳区广渠路36号院5号楼1至2层119</t>
    <phoneticPr fontId="134" type="noConversion"/>
  </si>
  <si>
    <t>地上1层至2层</t>
    <phoneticPr fontId="134" type="noConversion"/>
  </si>
  <si>
    <t>朝阳区广渠路36号院5号楼1至2层120</t>
    <phoneticPr fontId="134" type="noConversion"/>
  </si>
  <si>
    <t>地下1层至地上1层</t>
    <phoneticPr fontId="134" type="noConversion"/>
  </si>
  <si>
    <t>朝阳区广渠路36号院5号楼2层204</t>
    <phoneticPr fontId="134" type="noConversion"/>
  </si>
  <si>
    <t>2</t>
    <phoneticPr fontId="134" type="noConversion"/>
  </si>
  <si>
    <t>朝阳区广渠路36号院5号楼2层205</t>
    <phoneticPr fontId="134" type="noConversion"/>
  </si>
  <si>
    <t>朝阳区广渠路36号院5号楼2层206</t>
    <phoneticPr fontId="134" type="noConversion"/>
  </si>
  <si>
    <t>地上2层</t>
    <phoneticPr fontId="134" type="noConversion"/>
  </si>
  <si>
    <t>朝阳区广渠路36号院5号楼2层207</t>
    <phoneticPr fontId="134" type="noConversion"/>
  </si>
  <si>
    <t>地下1层</t>
    <phoneticPr fontId="134" type="noConversion"/>
  </si>
  <si>
    <t>7号楼</t>
    <phoneticPr fontId="134" type="noConversion"/>
  </si>
  <si>
    <t>朝阳区广渠路36号院5号楼2层209</t>
    <phoneticPr fontId="134" type="noConversion"/>
  </si>
  <si>
    <t>朝阳区广渠路36号院5号楼2层210</t>
    <phoneticPr fontId="134" type="noConversion"/>
  </si>
  <si>
    <t>朝阳区广渠路36号院7号楼1层05</t>
    <phoneticPr fontId="134" type="noConversion"/>
  </si>
  <si>
    <t>朝阳区广渠路36号院7号楼1层06</t>
    <phoneticPr fontId="134" type="noConversion"/>
  </si>
  <si>
    <t>朝阳区广渠路36号院7号楼1层09</t>
    <phoneticPr fontId="134" type="noConversion"/>
  </si>
  <si>
    <t>朝阳区广渠路36号院7号楼-1至1层03</t>
    <phoneticPr fontId="134" type="noConversion"/>
  </si>
  <si>
    <t>朝阳区广渠路36号院7号楼-1至1层07</t>
    <phoneticPr fontId="134" type="noConversion"/>
  </si>
  <si>
    <t>朝阳区广渠路36号院7号楼-1至1层08</t>
    <phoneticPr fontId="134" type="noConversion"/>
  </si>
  <si>
    <t>朝阳区广渠路36号院5号楼、甲5号楼地下车库-1层-109</t>
    <phoneticPr fontId="134" type="noConversion"/>
  </si>
  <si>
    <t>-1</t>
    <phoneticPr fontId="134" type="noConversion"/>
  </si>
  <si>
    <t>库房</t>
    <phoneticPr fontId="134" type="noConversion"/>
  </si>
  <si>
    <t>朝阳区广渠路36号院5号楼、甲5号楼地下车库-1层-110</t>
  </si>
  <si>
    <t>朝阳区广渠路36号院5号楼、甲5号楼地下车库-1层-111</t>
  </si>
  <si>
    <t>朝阳区广渠路36号院5号楼、甲5号楼地下车库-1层-112</t>
  </si>
  <si>
    <t>X京房权证朝字第1311896号</t>
    <phoneticPr fontId="134" type="noConversion"/>
  </si>
  <si>
    <t>北京首城置业有限公司</t>
    <phoneticPr fontId="134" type="noConversion"/>
  </si>
  <si>
    <t>朝阳区广渠路36号院5号楼、甲5号楼地下车库-1层-113</t>
  </si>
  <si>
    <t>朝阳区广渠路36号院5号楼、甲5号楼地下车库-1层-114</t>
  </si>
  <si>
    <t>朝阳区广渠路36号院5号楼、甲5号楼地下车库-1层-115</t>
  </si>
  <si>
    <t>朝阳区广渠路36号院5号楼、甲5号楼地下车库-1层-116</t>
  </si>
  <si>
    <t>朝阳区广渠路36号院5号楼、甲5号楼地下车库-1层-117</t>
  </si>
  <si>
    <t>朝阳区广渠路36号院5号楼、甲5号楼地下车库-1层-118</t>
  </si>
  <si>
    <t>朝阳区广渠路36号院5号楼、甲5号楼地下车库-1层-119</t>
  </si>
  <si>
    <t>朝阳区广渠路36号院5号楼、甲5号楼地下车库-1层-120</t>
    <phoneticPr fontId="134" type="noConversion"/>
  </si>
  <si>
    <t>朝阳区广渠路36号院5号楼、甲5号楼地下车库-1层-121</t>
  </si>
  <si>
    <t>朝阳区广渠路36号院5号楼、甲5号楼地下车库-1层-122</t>
  </si>
  <si>
    <t>朝阳区广渠路36号院5号楼、甲5号楼地下车库-1层-123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</si>
  <si>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</si>
  <si>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</si>
  <si>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</si>
  <si>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</si>
  <si>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</si>
  <si>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</si>
  <si>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</si>
  <si>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</si>
  <si>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</si>
  <si>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</si>
  <si>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</si>
  <si>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</si>
  <si>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</si>
  <si>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</si>
  <si>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</si>
  <si>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</si>
  <si>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</si>
  <si>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</si>
  <si>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</si>
  <si>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</si>
  <si>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</si>
  <si>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</si>
  <si>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</si>
  <si>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</si>
  <si>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</si>
  <si>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</si>
  <si>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</si>
  <si>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</si>
  <si>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</si>
  <si>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</si>
  <si>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</si>
  <si>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</si>
  <si>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</si>
  <si>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</si>
  <si>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</si>
  <si>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</si>
  <si>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</si>
  <si>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</si>
  <si>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</si>
  <si>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</si>
  <si>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</si>
  <si>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</si>
  <si>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</si>
  <si>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</si>
  <si>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</si>
  <si>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</si>
  <si>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</si>
  <si>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</si>
  <si>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</si>
  <si>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</si>
  <si>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</si>
  <si>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</si>
  <si>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</si>
  <si>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</si>
  <si>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</si>
  <si>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</si>
  <si>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</si>
  <si>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</si>
  <si>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</si>
  <si>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</si>
  <si>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</si>
  <si>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</si>
  <si>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</si>
  <si>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</si>
  <si>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</si>
  <si>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</si>
  <si>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</si>
  <si>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</si>
  <si>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</si>
  <si>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</si>
  <si>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</si>
  <si>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</si>
  <si>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</si>
  <si>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</si>
  <si>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</si>
  <si>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</si>
  <si>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</si>
  <si>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</si>
  <si>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</si>
  <si>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</si>
  <si>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</si>
  <si>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</si>
  <si>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</si>
  <si>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</si>
  <si>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</si>
  <si>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</si>
  <si>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</si>
  <si>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</si>
  <si>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</si>
  <si>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</si>
  <si>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</si>
  <si>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</si>
  <si>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</si>
  <si>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</si>
  <si>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</si>
  <si>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</si>
  <si>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</si>
  <si>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</si>
  <si>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</si>
  <si>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</si>
  <si>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</si>
  <si>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</si>
  <si>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</si>
  <si>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</si>
  <si>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0.2%-0.3%</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</si>
  <si>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</si>
  <si>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</si>
  <si>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</si>
  <si>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</si>
  <si>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</si>
  <si>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</si>
  <si>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</si>
  <si>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</si>
  <si>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</si>
  <si>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</si>
  <si>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</si>
  <si>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</si>
  <si>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</si>
  <si>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</si>
  <si>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</si>
  <si>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</si>
  <si>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</si>
  <si>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</si>
  <si>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</si>
  <si>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10</t>
    <phoneticPr fontId="3" type="noConversion"/>
  </si>
  <si>
    <r>
      <rPr>
        <sz val="10"/>
        <color indexed="8"/>
        <rFont val="宋体"/>
        <family val="3"/>
        <charset val="134"/>
      </rPr>
      <t>0.2%-0.3%</t>
    </r>
    <phoneticPr fontId="3" type="noConversion"/>
  </si>
  <si>
    <t>京(2023)朝不动产权第0016080号</t>
    <phoneticPr fontId="134" type="noConversion"/>
  </si>
  <si>
    <t>北京新弘明成商业管理有限责任公司</t>
    <phoneticPr fontId="134" type="noConversion"/>
  </si>
  <si>
    <t>企业</t>
  </si>
  <si>
    <t>北京市</t>
  </si>
  <si>
    <t>核定资产</t>
  </si>
  <si>
    <t>房地产市场价值</t>
  </si>
  <si>
    <t>京(2023)朝不动产权第0016097号</t>
    <phoneticPr fontId="134" type="noConversion"/>
  </si>
  <si>
    <t>京(2023)朝不动产权第0016081号</t>
    <phoneticPr fontId="134" type="noConversion"/>
  </si>
  <si>
    <t>京(2023)朝不动产权第0016108号</t>
    <phoneticPr fontId="134" type="noConversion"/>
  </si>
  <si>
    <t>京(2023)朝不动产权第0016077号</t>
    <phoneticPr fontId="134" type="noConversion"/>
  </si>
  <si>
    <t>京(2023)朝不动产权第0016078号</t>
    <phoneticPr fontId="134" type="noConversion"/>
  </si>
  <si>
    <t>京(2023)朝不动产权第0016071号</t>
    <phoneticPr fontId="134" type="noConversion"/>
  </si>
  <si>
    <t>京(2023)朝不动产权第0016103号</t>
    <phoneticPr fontId="134" type="noConversion"/>
  </si>
  <si>
    <t>X京(2023)朝不动产权第0016096号</t>
    <phoneticPr fontId="134" type="noConversion"/>
  </si>
  <si>
    <t>京(2023)朝不动产权第0016063号</t>
    <phoneticPr fontId="134" type="noConversion"/>
  </si>
  <si>
    <t>京(2023)朝不动产权第0012154号</t>
    <phoneticPr fontId="134" type="noConversion"/>
  </si>
  <si>
    <t>京(2023)朝不动产权第0012187号</t>
    <phoneticPr fontId="134" type="noConversion"/>
  </si>
  <si>
    <t>京(2023)朝不动产权第0012262号</t>
    <phoneticPr fontId="134" type="noConversion"/>
  </si>
  <si>
    <t>京(2023)朝不动产权第0012272号</t>
    <phoneticPr fontId="134" type="noConversion"/>
  </si>
  <si>
    <t>京(2023)朝不动产权第0012248号</t>
    <phoneticPr fontId="134" type="noConversion"/>
  </si>
  <si>
    <t>京(2023)朝不动产权第0012249号</t>
    <phoneticPr fontId="134" type="noConversion"/>
  </si>
  <si>
    <t>京(2023)朝不动产权第0012251号</t>
    <phoneticPr fontId="134" type="noConversion"/>
  </si>
  <si>
    <t>京(2023)朝不动产权第0012261号</t>
    <phoneticPr fontId="134" type="noConversion"/>
  </si>
  <si>
    <t>京(2023)朝不动产权第0012163号</t>
    <phoneticPr fontId="134" type="noConversion"/>
  </si>
  <si>
    <t>京(2023)朝不动产权第0012172号</t>
    <phoneticPr fontId="134" type="noConversion"/>
  </si>
  <si>
    <t>京(2023)朝不动产权第0012176号</t>
    <phoneticPr fontId="134" type="noConversion"/>
  </si>
  <si>
    <t>京(2023)朝不动产权第0012179号</t>
    <phoneticPr fontId="134" type="noConversion"/>
  </si>
  <si>
    <t>京(2023)朝不动产权第0012181号</t>
    <phoneticPr fontId="134" type="noConversion"/>
  </si>
  <si>
    <t>京(2023)朝不动产权第0012185号</t>
    <phoneticPr fontId="134" type="noConversion"/>
  </si>
  <si>
    <t>京(2023)朝不动产权第0012270号</t>
    <phoneticPr fontId="134" type="noConversion"/>
  </si>
  <si>
    <t>京(2023)朝不动产权第0012274号</t>
    <phoneticPr fontId="134" type="noConversion"/>
  </si>
  <si>
    <t>京(2023)朝不动产权第0012279号</t>
    <phoneticPr fontId="134" type="noConversion"/>
  </si>
  <si>
    <t>京(2023)朝不动产权第0012283号</t>
    <phoneticPr fontId="134" type="noConversion"/>
  </si>
  <si>
    <t>朝阳区广渠路36号院5号楼2层208</t>
    <phoneticPr fontId="134" type="noConversion"/>
  </si>
  <si>
    <t>京(2023)朝不动产权第0012288号</t>
    <phoneticPr fontId="134" type="noConversion"/>
  </si>
  <si>
    <t>京(2023)朝不动产权第0012204号</t>
    <phoneticPr fontId="134" type="noConversion"/>
  </si>
  <si>
    <t>京(2023)朝不动产权第0012255号</t>
    <phoneticPr fontId="134" type="noConversion"/>
  </si>
  <si>
    <t>京(2023)朝不动产权第0016095号</t>
    <phoneticPr fontId="134" type="noConversion"/>
  </si>
  <si>
    <t>京(2023)朝不动产权第0016079号</t>
    <phoneticPr fontId="134" type="noConversion"/>
  </si>
  <si>
    <t>京(2023)朝不动产权第0016070号</t>
    <phoneticPr fontId="134" type="noConversion"/>
  </si>
  <si>
    <t>京(2023)朝不动产权第0016091号</t>
    <phoneticPr fontId="134" type="noConversion"/>
  </si>
  <si>
    <t>京(2023)朝不动产权第0016074号</t>
    <phoneticPr fontId="134" type="noConversion"/>
  </si>
  <si>
    <t>京(2023)朝不动产权第0016099号</t>
    <phoneticPr fontId="134" type="noConversion"/>
  </si>
  <si>
    <t>京(2023)朝不动产权第0012215号</t>
    <phoneticPr fontId="134" type="noConversion"/>
  </si>
  <si>
    <t>京(2023)朝不动产权第0012147号</t>
    <phoneticPr fontId="134" type="noConversion"/>
  </si>
  <si>
    <t>京(2023)朝不动产权第0012219号</t>
    <phoneticPr fontId="134" type="noConversion"/>
  </si>
  <si>
    <t>京(2023)朝不动产权第0012224号</t>
  </si>
  <si>
    <t>京(2023)朝不动产权第0012232号</t>
    <phoneticPr fontId="134" type="noConversion"/>
  </si>
  <si>
    <t>京(2023)朝不动产权第0012240号</t>
    <phoneticPr fontId="134" type="noConversion"/>
  </si>
  <si>
    <t>京(2023)朝不动产权第0012241号</t>
    <phoneticPr fontId="134" type="noConversion"/>
  </si>
  <si>
    <t>双井东院</t>
    <phoneticPr fontId="134" type="noConversion"/>
  </si>
  <si>
    <t>双井地铁站</t>
    <phoneticPr fontId="134" type="noConversion"/>
  </si>
  <si>
    <t>优士阁</t>
    <phoneticPr fontId="134" type="noConversion"/>
  </si>
  <si>
    <t>百环家园</t>
    <phoneticPr fontId="134" type="noConversion"/>
  </si>
  <si>
    <t>家乐福</t>
    <phoneticPr fontId="134" type="noConversion"/>
  </si>
  <si>
    <t>是</t>
  </si>
  <si>
    <t>地上</t>
  </si>
  <si>
    <t>地下</t>
  </si>
  <si>
    <t>商业</t>
    <phoneticPr fontId="7" type="noConversion"/>
  </si>
  <si>
    <t>库房</t>
  </si>
  <si>
    <t>库房</t>
    <phoneticPr fontId="7" type="noConversion"/>
  </si>
  <si>
    <t>不临65条商业街</t>
  </si>
  <si>
    <t>与级别开发程度一致</t>
  </si>
  <si>
    <t>自定义容积率</t>
  </si>
  <si>
    <t>未包含在土地购买价格中</t>
  </si>
  <si>
    <t>已包含在土地取得成本中</t>
  </si>
  <si>
    <t>成新度</t>
  </si>
  <si>
    <t>较好</t>
  </si>
  <si>
    <t>一般</t>
  </si>
  <si>
    <t>好</t>
  </si>
  <si>
    <t>首城国际</t>
    <phoneticPr fontId="3" type="noConversion"/>
  </si>
  <si>
    <t>临路状况</t>
    <phoneticPr fontId="30" type="noConversion"/>
  </si>
  <si>
    <t>租金</t>
  </si>
  <si>
    <t>单套模式</t>
  </si>
  <si>
    <r>
      <rPr>
        <sz val="11"/>
        <rFont val="宋体"/>
        <family val="3"/>
        <charset val="134"/>
      </rPr>
      <t>城市次干道</t>
    </r>
    <r>
      <rPr>
        <sz val="11"/>
        <rFont val="Arial"/>
        <family val="2"/>
      </rPr>
      <t>-</t>
    </r>
    <r>
      <rPr>
        <sz val="11"/>
        <rFont val="宋体"/>
        <family val="3"/>
        <charset val="134"/>
      </rPr>
      <t>八棵杨北街</t>
    </r>
    <phoneticPr fontId="30" type="noConversion"/>
  </si>
  <si>
    <r>
      <rPr>
        <sz val="11"/>
        <rFont val="宋体"/>
        <family val="3"/>
        <charset val="134"/>
      </rPr>
      <t>城市快速路</t>
    </r>
    <r>
      <rPr>
        <sz val="11"/>
        <rFont val="Arial"/>
        <family val="2"/>
      </rPr>
      <t>-</t>
    </r>
    <r>
      <rPr>
        <sz val="11"/>
        <rFont val="宋体"/>
        <family val="3"/>
        <charset val="134"/>
      </rPr>
      <t>东三环南路</t>
    </r>
    <phoneticPr fontId="30" type="noConversion"/>
  </si>
  <si>
    <r>
      <rPr>
        <sz val="11"/>
        <rFont val="宋体"/>
        <family val="3"/>
        <charset val="134"/>
      </rPr>
      <t>城市主干道</t>
    </r>
    <r>
      <rPr>
        <sz val="11"/>
        <rFont val="Arial"/>
        <family val="2"/>
      </rPr>
      <t>-</t>
    </r>
    <r>
      <rPr>
        <sz val="11"/>
        <rFont val="宋体"/>
        <family val="3"/>
        <charset val="134"/>
      </rPr>
      <t>广渠路</t>
    </r>
    <phoneticPr fontId="30" type="noConversion"/>
  </si>
  <si>
    <r>
      <rPr>
        <sz val="11"/>
        <color indexed="8"/>
        <rFont val="宋体"/>
        <family val="3"/>
        <charset val="134"/>
      </rPr>
      <t>城市快速路</t>
    </r>
    <r>
      <rPr>
        <sz val="11"/>
        <color indexed="8"/>
        <rFont val="Arial"/>
        <family val="2"/>
      </rPr>
      <t>-</t>
    </r>
    <r>
      <rPr>
        <sz val="11"/>
        <color indexed="8"/>
        <rFont val="宋体"/>
        <family val="3"/>
        <charset val="134"/>
      </rPr>
      <t>东三环南路</t>
    </r>
    <phoneticPr fontId="30" type="noConversion"/>
  </si>
  <si>
    <r>
      <rPr>
        <sz val="11"/>
        <color indexed="8"/>
        <rFont val="宋体"/>
        <family val="3"/>
        <charset val="134"/>
      </rPr>
      <t>城市主干道</t>
    </r>
    <r>
      <rPr>
        <sz val="11"/>
        <color indexed="8"/>
        <rFont val="Arial"/>
        <family val="2"/>
      </rPr>
      <t>-</t>
    </r>
    <r>
      <rPr>
        <sz val="11"/>
        <color indexed="8"/>
        <rFont val="宋体"/>
        <family val="3"/>
        <charset val="134"/>
      </rPr>
      <t>广渠路</t>
    </r>
    <phoneticPr fontId="30" type="noConversion"/>
  </si>
  <si>
    <r>
      <rPr>
        <sz val="11"/>
        <color indexed="8"/>
        <rFont val="宋体"/>
        <family val="3"/>
        <charset val="134"/>
      </rPr>
      <t>城市次干道</t>
    </r>
    <r>
      <rPr>
        <sz val="11"/>
        <color indexed="8"/>
        <rFont val="Arial"/>
        <family val="2"/>
      </rPr>
      <t>-</t>
    </r>
    <r>
      <rPr>
        <sz val="11"/>
        <color indexed="8"/>
        <rFont val="宋体"/>
        <family val="3"/>
        <charset val="134"/>
      </rPr>
      <t>八棵杨北街</t>
    </r>
    <phoneticPr fontId="30" type="noConversion"/>
  </si>
  <si>
    <t>较大</t>
  </si>
  <si>
    <t>较大</t>
    <phoneticPr fontId="30" type="noConversion"/>
  </si>
  <si>
    <t>商务金融用地</t>
  </si>
  <si>
    <t>七通</t>
  </si>
  <si>
    <t>较好</t>
    <phoneticPr fontId="31" type="noConversion"/>
  </si>
  <si>
    <t>一般</t>
    <phoneticPr fontId="31" type="noConversion"/>
  </si>
  <si>
    <t>物业公司管理</t>
  </si>
  <si>
    <t>物业公司管理</t>
    <phoneticPr fontId="31" type="noConversion"/>
  </si>
  <si>
    <t>有</t>
  </si>
  <si>
    <t>有</t>
    <phoneticPr fontId="31" type="noConversion"/>
  </si>
  <si>
    <t>是</t>
    <phoneticPr fontId="31" type="noConversion"/>
  </si>
  <si>
    <t>广渠路</t>
    <phoneticPr fontId="134" type="noConversion"/>
  </si>
  <si>
    <t>乐城中心</t>
    <phoneticPr fontId="134" type="noConversion"/>
  </si>
  <si>
    <t>潘家园</t>
    <phoneticPr fontId="134" type="noConversion"/>
  </si>
  <si>
    <t>国贸</t>
    <phoneticPr fontId="134" type="noConversion"/>
  </si>
  <si>
    <t>劲松</t>
    <phoneticPr fontId="134" type="noConversion"/>
  </si>
  <si>
    <t>南新园</t>
    <phoneticPr fontId="134" type="noConversion"/>
  </si>
  <si>
    <t>双龙南里</t>
    <phoneticPr fontId="134" type="noConversion"/>
  </si>
  <si>
    <t>临路情况</t>
    <phoneticPr fontId="31" type="noConversion"/>
  </si>
  <si>
    <t>城市次干道</t>
    <phoneticPr fontId="31" type="noConversion"/>
  </si>
  <si>
    <t>城市主干道</t>
    <phoneticPr fontId="31" type="noConversion"/>
  </si>
  <si>
    <t>估价对象周边多为住宅、办公配套商业，人流量较大，商业繁华度较好。</t>
    <phoneticPr fontId="24" type="noConversion"/>
  </si>
  <si>
    <t>估价对象周边有专10路、23路、54路、91路、312路等多条公交线路，距离地铁7、10号线双井站约600米，周边道路网线较密集，通达度较好。综合评价交通便捷度较好。</t>
    <phoneticPr fontId="40" type="noConversion"/>
  </si>
  <si>
    <t>估价对象周边有九龙花园篮球场等自然人文场所，综合评价环境状况一般</t>
    <phoneticPr fontId="40" type="noConversion"/>
  </si>
  <si>
    <t>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t>
    <phoneticPr fontId="40" type="noConversion"/>
  </si>
  <si>
    <t>估价对象所在区域基础设施水平-七通</t>
    <phoneticPr fontId="24" type="noConversion"/>
  </si>
  <si>
    <t>正常</t>
  </si>
  <si>
    <t>挂牌</t>
  </si>
  <si>
    <t>挂牌</t>
    <phoneticPr fontId="30" type="noConversion"/>
  </si>
  <si>
    <t>大</t>
  </si>
  <si>
    <t>大</t>
    <phoneticPr fontId="30" type="noConversion"/>
  </si>
  <si>
    <t>办公底商</t>
  </si>
  <si>
    <t>办公底商</t>
    <phoneticPr fontId="30" type="noConversion"/>
  </si>
  <si>
    <t>住宅配套</t>
  </si>
  <si>
    <t>住宅配套</t>
    <phoneticPr fontId="30" type="noConversion"/>
  </si>
  <si>
    <t>挂牌</t>
    <phoneticPr fontId="31" type="noConversion"/>
  </si>
  <si>
    <t>九龙花园</t>
    <phoneticPr fontId="134" type="noConversion"/>
  </si>
  <si>
    <t>估价对象位于双井商圈，周边办公楼项目较少，办公集聚程度一般</t>
    <phoneticPr fontId="24" type="noConversion"/>
  </si>
  <si>
    <t>建筑面积</t>
    <phoneticPr fontId="134" type="noConversion"/>
  </si>
  <si>
    <t>套内面积</t>
    <phoneticPr fontId="134" type="noConversion"/>
  </si>
  <si>
    <t>使用率</t>
    <phoneticPr fontId="134" type="noConversion"/>
  </si>
  <si>
    <t>使用率修正</t>
    <phoneticPr fontId="134" type="noConversion"/>
  </si>
  <si>
    <t>小于70%</t>
    <phoneticPr fontId="134" type="noConversion"/>
  </si>
  <si>
    <t>70%-85%</t>
    <phoneticPr fontId="134" type="noConversion"/>
  </si>
  <si>
    <t>85%以上</t>
    <phoneticPr fontId="134" type="noConversion"/>
  </si>
  <si>
    <t>100-300</t>
    <phoneticPr fontId="134" type="noConversion"/>
  </si>
  <si>
    <t>300-500</t>
    <phoneticPr fontId="134" type="noConversion"/>
  </si>
  <si>
    <t>500-1000</t>
    <phoneticPr fontId="134" type="noConversion"/>
  </si>
  <si>
    <t>垂杨柳北里</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</si>
</sst>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宋体"/>
      <family val="3"/>
      <charset val="134"/>
      <scheme val="minor"/>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0"/>
      <color theme="1"/>
      <name val="宋体"/>
      <family val="3"/>
      <charset val="134"/>
      <scheme val="major"/>
    </font>
    <font>
      <sz val="11"/>
      <name val="Arial"/>
      <family val="3"/>
      <charset val="134"/>
    </font>
    <font>
      <sz val="11"/>
      <color indexed="8"/>
      <name val="Arial"/>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66CCFF"/>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1" xfId="10" applyBorder="1" applyAlignment="1">
      <alignment horizontal="left" vertical="center"/>
    </xf>
    <xf numFmtId="0" fontId="269" fillId="0" borderId="1" xfId="10" applyFont="1" applyBorder="1" applyAlignment="1">
      <alignment horizontal="left" vertical="center" wrapText="1"/>
    </xf>
    <xf numFmtId="0" fontId="269" fillId="0" borderId="1" xfId="10" applyFont="1" applyBorder="1" applyAlignment="1">
      <alignment horizontal="center" vertical="center"/>
    </xf>
    <xf numFmtId="49" fontId="269" fillId="0" borderId="1" xfId="10" applyNumberFormat="1" applyFont="1" applyBorder="1">
      <alignment vertical="center"/>
    </xf>
    <xf numFmtId="0" fontId="269" fillId="0" borderId="1" xfId="10" applyFont="1" applyBorder="1">
      <alignment vertical="center"/>
    </xf>
    <xf numFmtId="0" fontId="95" fillId="0" borderId="0" xfId="10">
      <alignment vertical="center"/>
    </xf>
    <xf numFmtId="0" fontId="269" fillId="22" borderId="1" xfId="10" applyFont="1" applyFill="1" applyBorder="1" applyAlignment="1">
      <alignment horizontal="left" vertical="center" wrapText="1"/>
    </xf>
    <xf numFmtId="0" fontId="269" fillId="22" borderId="1" xfId="10" applyFont="1" applyFill="1" applyBorder="1" applyAlignment="1">
      <alignment horizontal="center" vertical="center"/>
    </xf>
    <xf numFmtId="49" fontId="269" fillId="22" borderId="1" xfId="10" applyNumberFormat="1" applyFont="1" applyFill="1" applyBorder="1">
      <alignment vertical="center"/>
    </xf>
    <xf numFmtId="0" fontId="269" fillId="22" borderId="1" xfId="10" applyFont="1" applyFill="1" applyBorder="1">
      <alignment vertical="center"/>
    </xf>
    <xf numFmtId="49" fontId="95" fillId="0" borderId="1" xfId="10" applyNumberFormat="1" applyBorder="1" applyAlignment="1">
      <alignment horizontal="center" vertical="center"/>
    </xf>
    <xf numFmtId="0" fontId="95" fillId="0" borderId="1" xfId="10" applyBorder="1" applyAlignment="1">
      <alignment horizontal="center" vertical="center"/>
    </xf>
    <xf numFmtId="0" fontId="95" fillId="0" borderId="0" xfId="10" applyAlignment="1">
      <alignment horizontal="left" vertical="center" wrapText="1"/>
    </xf>
    <xf numFmtId="0" fontId="95" fillId="0" borderId="0" xfId="10" applyAlignment="1">
      <alignment horizontal="left" vertical="center"/>
    </xf>
    <xf numFmtId="0" fontId="95" fillId="23" borderId="1" xfId="10" applyFill="1" applyBorder="1" applyAlignment="1">
      <alignment horizontal="left" vertical="center"/>
    </xf>
    <xf numFmtId="0" fontId="269" fillId="23" borderId="1" xfId="10" applyFont="1" applyFill="1" applyBorder="1" applyAlignment="1">
      <alignment horizontal="left" vertical="center" wrapText="1"/>
    </xf>
    <xf numFmtId="0" fontId="269" fillId="23" borderId="1" xfId="10" applyFont="1" applyFill="1" applyBorder="1" applyAlignment="1">
      <alignment horizontal="center" vertical="center"/>
    </xf>
    <xf numFmtId="49" fontId="269" fillId="23" borderId="1" xfId="10" applyNumberFormat="1" applyFont="1" applyFill="1" applyBorder="1">
      <alignment vertical="center"/>
    </xf>
    <xf numFmtId="0" fontId="269" fillId="23" borderId="1" xfId="10" applyFont="1" applyFill="1" applyBorder="1">
      <alignment vertical="center"/>
    </xf>
    <xf numFmtId="0" fontId="95" fillId="0" borderId="0" xfId="10" applyAlignment="1">
      <alignment horizontal="center" vertical="center"/>
    </xf>
    <xf numFmtId="178" fontId="95" fillId="0" borderId="0" xfId="10" applyNumberFormat="1" applyAlignment="1">
      <alignment horizontal="left" vertical="center"/>
    </xf>
    <xf numFmtId="0" fontId="269" fillId="24" borderId="1" xfId="10" applyFont="1" applyFill="1" applyBorder="1" applyAlignment="1">
      <alignment horizontal="left" vertical="center" wrapText="1"/>
    </xf>
    <xf numFmtId="0" fontId="269" fillId="24" borderId="1" xfId="10" applyFont="1" applyFill="1" applyBorder="1" applyAlignment="1">
      <alignment horizontal="center" vertical="center"/>
    </xf>
    <xf numFmtId="49" fontId="269" fillId="24" borderId="1" xfId="10" applyNumberFormat="1" applyFont="1" applyFill="1" applyBorder="1">
      <alignment vertical="center"/>
    </xf>
    <xf numFmtId="0" fontId="269" fillId="24" borderId="1" xfId="10" applyFont="1" applyFill="1" applyBorder="1">
      <alignment vertical="center"/>
    </xf>
    <xf numFmtId="0" fontId="270" fillId="5" borderId="1" xfId="10" applyFont="1" applyFill="1" applyBorder="1" applyAlignment="1">
      <alignment horizontal="center" vertical="center"/>
    </xf>
    <xf numFmtId="0" fontId="270" fillId="5" borderId="0" xfId="10" applyFont="1" applyFill="1" applyAlignment="1">
      <alignment horizontal="left" vertical="center"/>
    </xf>
    <xf numFmtId="0" fontId="269" fillId="25" borderId="1" xfId="10" applyFont="1" applyFill="1" applyBorder="1" applyAlignment="1">
      <alignment horizontal="left" vertical="center" wrapText="1"/>
    </xf>
    <xf numFmtId="0" fontId="269" fillId="25" borderId="1" xfId="10" applyFont="1" applyFill="1" applyBorder="1" applyAlignment="1">
      <alignment horizontal="center" vertical="center"/>
    </xf>
    <xf numFmtId="49" fontId="269" fillId="25" borderId="1" xfId="10" applyNumberFormat="1" applyFont="1" applyFill="1" applyBorder="1">
      <alignment vertical="center"/>
    </xf>
    <xf numFmtId="0" fontId="269" fillId="25" borderId="1" xfId="10" applyFont="1" applyFill="1" applyBorder="1">
      <alignment vertical="center"/>
    </xf>
    <xf numFmtId="0" fontId="270" fillId="25" borderId="1" xfId="10" applyFont="1" applyFill="1" applyBorder="1" applyAlignment="1">
      <alignment horizontal="center" vertical="center"/>
    </xf>
    <xf numFmtId="0" fontId="270" fillId="5" borderId="0" xfId="10" applyFont="1" applyFill="1">
      <alignment vertical="center"/>
    </xf>
    <xf numFmtId="0" fontId="270" fillId="5" borderId="15" xfId="10" applyFont="1" applyFill="1" applyBorder="1">
      <alignment vertical="center"/>
    </xf>
    <xf numFmtId="0" fontId="271" fillId="0" borderId="1" xfId="10" applyFont="1" applyBorder="1" applyAlignment="1">
      <alignment horizontal="left" vertical="center" wrapText="1" shrinkToFit="1"/>
    </xf>
    <xf numFmtId="9" fontId="272"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271"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1"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5" fillId="0" borderId="1" xfId="10" applyNumberFormat="1" applyFont="1" applyBorder="1" applyAlignment="1">
      <alignment horizontal="center" vertical="center" wrapText="1" shrinkToFit="1"/>
    </xf>
    <xf numFmtId="9" fontId="276" fillId="0" borderId="1" xfId="10" applyNumberFormat="1" applyFont="1" applyBorder="1" applyAlignment="1">
      <alignment horizontal="center" vertical="center" wrapText="1"/>
    </xf>
    <xf numFmtId="179" fontId="275"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7" fillId="26"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1"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6"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0"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77"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283" fillId="0" borderId="0" xfId="10" applyFont="1">
      <alignment vertical="center"/>
    </xf>
    <xf numFmtId="0" fontId="269" fillId="23" borderId="1" xfId="10" applyFont="1" applyFill="1" applyBorder="1" applyAlignment="1">
      <alignment horizontal="center" vertical="center" wrapText="1"/>
    </xf>
    <xf numFmtId="0" fontId="270" fillId="0" borderId="0" xfId="0" applyFont="1">
      <alignment vertical="center"/>
    </xf>
    <xf numFmtId="0" fontId="269" fillId="0" borderId="0" xfId="0" applyFont="1">
      <alignment vertical="center"/>
    </xf>
    <xf numFmtId="0" fontId="270" fillId="5" borderId="0" xfId="0" applyFont="1" applyFill="1">
      <alignment vertical="center"/>
    </xf>
    <xf numFmtId="0" fontId="128" fillId="0" borderId="5" xfId="0" applyFont="1" applyBorder="1" applyAlignment="1" applyProtection="1">
      <alignment horizontal="center" vertical="center" wrapText="1"/>
      <protection locked="0"/>
    </xf>
    <xf numFmtId="0" fontId="284" fillId="0" borderId="37" xfId="0" applyFont="1" applyBorder="1" applyAlignment="1" applyProtection="1">
      <alignment horizontal="center" vertical="center" wrapText="1"/>
      <protection locked="0"/>
    </xf>
    <xf numFmtId="0" fontId="285"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78" fontId="275" fillId="0" borderId="1" xfId="10" applyNumberFormat="1" applyFont="1" applyBorder="1" applyAlignment="1">
      <alignment horizontal="center" vertical="center" wrapText="1" shrinkToFit="1"/>
    </xf>
    <xf numFmtId="10" fontId="269" fillId="22" borderId="1" xfId="10" applyNumberFormat="1"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5" fillId="0" borderId="1" xfId="10" applyBorder="1" applyAlignment="1">
      <alignment horizontal="center"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7" borderId="0" xfId="10" applyFont="1" applyFill="1" applyAlignment="1">
      <alignment horizontal="center" vertical="center" wrapText="1"/>
    </xf>
    <xf numFmtId="0" fontId="134" fillId="0" borderId="1" xfId="10"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0" fontId="269" fillId="25" borderId="1" xfId="10" applyNumberFormat="1" applyFont="1" applyFill="1" applyBorder="1">
      <alignment vertical="center"/>
    </xf>
    <xf numFmtId="0" fontId="270" fillId="25" borderId="1" xfId="10" applyFont="1" applyFill="1" applyBorder="1">
      <alignment vertical="center"/>
    </xf>
    <xf numFmtId="0" fontId="269" fillId="0" borderId="1" xfId="10" applyFont="1" applyFill="1" applyBorder="1">
      <alignment vertical="center"/>
    </xf>
    <xf numFmtId="178" fontId="269" fillId="0" borderId="1" xfId="10" applyNumberFormat="1" applyFont="1" applyFill="1" applyBorder="1">
      <alignment vertical="center"/>
    </xf>
    <xf numFmtId="10" fontId="269" fillId="23" borderId="1" xfId="10" applyNumberFormat="1" applyFont="1" applyFill="1" applyBorder="1">
      <alignment vertical="center"/>
    </xf>
    <xf numFmtId="10" fontId="269" fillId="24" borderId="1" xfId="10" applyNumberFormat="1" applyFont="1" applyFill="1" applyBorder="1">
      <alignment vertical="center"/>
    </xf>
    <xf numFmtId="10" fontId="269" fillId="0" borderId="1" xfId="10" applyNumberFormat="1" applyFont="1" applyFill="1" applyBorder="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9">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9.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352425</xdr:colOff>
      <xdr:row>18</xdr:row>
      <xdr:rowOff>9525</xdr:rowOff>
    </xdr:from>
    <xdr:to>
      <xdr:col>25</xdr:col>
      <xdr:colOff>66454</xdr:colOff>
      <xdr:row>32</xdr:row>
      <xdr:rowOff>113987</xdr:rowOff>
    </xdr:to>
    <xdr:pic>
      <xdr:nvPicPr>
        <xdr:cNvPr id="3" name="图片 2">
          <a:extLst>
            <a:ext uri="{FF2B5EF4-FFF2-40B4-BE49-F238E27FC236}">
              <a16:creationId xmlns:a16="http://schemas.microsoft.com/office/drawing/2014/main" id="{C3B627F3-AE79-D73F-4864-B59D0C7D2CDA}"/>
            </a:ext>
          </a:extLst>
        </xdr:cNvPr>
        <xdr:cNvPicPr>
          <a:picLocks noChangeAspect="1"/>
        </xdr:cNvPicPr>
      </xdr:nvPicPr>
      <xdr:blipFill>
        <a:blip xmlns:r="http://schemas.openxmlformats.org/officeDocument/2006/relationships" r:embed="rId1"/>
        <a:stretch>
          <a:fillRect/>
        </a:stretch>
      </xdr:blipFill>
      <xdr:spPr>
        <a:xfrm>
          <a:off x="21002625" y="3781425"/>
          <a:ext cx="1771429" cy="2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321684</xdr:colOff>
      <xdr:row>18</xdr:row>
      <xdr:rowOff>113694</xdr:rowOff>
    </xdr:to>
    <xdr:pic>
      <xdr:nvPicPr>
        <xdr:cNvPr id="2" name="图片 1">
          <a:extLst>
            <a:ext uri="{FF2B5EF4-FFF2-40B4-BE49-F238E27FC236}">
              <a16:creationId xmlns:a16="http://schemas.microsoft.com/office/drawing/2014/main" id="{E6623F7E-5309-EDD2-673C-1C3BCDAF8328}"/>
            </a:ext>
          </a:extLst>
        </xdr:cNvPr>
        <xdr:cNvPicPr>
          <a:picLocks noChangeAspect="1"/>
        </xdr:cNvPicPr>
      </xdr:nvPicPr>
      <xdr:blipFill>
        <a:blip xmlns:r="http://schemas.openxmlformats.org/officeDocument/2006/relationships" r:embed="rId1"/>
        <a:stretch>
          <a:fillRect/>
        </a:stretch>
      </xdr:blipFill>
      <xdr:spPr>
        <a:xfrm>
          <a:off x="0" y="0"/>
          <a:ext cx="6493884" cy="3199794"/>
        </a:xfrm>
        <a:prstGeom prst="rect">
          <a:avLst/>
        </a:prstGeom>
      </xdr:spPr>
    </xdr:pic>
    <xdr:clientData/>
  </xdr:twoCellAnchor>
  <xdr:twoCellAnchor editAs="oneCell">
    <xdr:from>
      <xdr:col>0</xdr:col>
      <xdr:colOff>0</xdr:colOff>
      <xdr:row>18</xdr:row>
      <xdr:rowOff>38100</xdr:rowOff>
    </xdr:from>
    <xdr:to>
      <xdr:col>9</xdr:col>
      <xdr:colOff>367085</xdr:colOff>
      <xdr:row>23</xdr:row>
      <xdr:rowOff>161743</xdr:rowOff>
    </xdr:to>
    <xdr:pic>
      <xdr:nvPicPr>
        <xdr:cNvPr id="3" name="图片 2">
          <a:extLst>
            <a:ext uri="{FF2B5EF4-FFF2-40B4-BE49-F238E27FC236}">
              <a16:creationId xmlns:a16="http://schemas.microsoft.com/office/drawing/2014/main" id="{6AAF09B1-F0C6-09B9-4726-58CEEB310E08}"/>
            </a:ext>
          </a:extLst>
        </xdr:cNvPr>
        <xdr:cNvPicPr>
          <a:picLocks noChangeAspect="1"/>
        </xdr:cNvPicPr>
      </xdr:nvPicPr>
      <xdr:blipFill>
        <a:blip xmlns:r="http://schemas.openxmlformats.org/officeDocument/2006/relationships" r:embed="rId2"/>
        <a:stretch>
          <a:fillRect/>
        </a:stretch>
      </xdr:blipFill>
      <xdr:spPr>
        <a:xfrm>
          <a:off x="0" y="3124200"/>
          <a:ext cx="6539285" cy="980893"/>
        </a:xfrm>
        <a:prstGeom prst="rect">
          <a:avLst/>
        </a:prstGeom>
      </xdr:spPr>
    </xdr:pic>
    <xdr:clientData/>
  </xdr:twoCellAnchor>
  <xdr:twoCellAnchor editAs="oneCell">
    <xdr:from>
      <xdr:col>0</xdr:col>
      <xdr:colOff>0</xdr:colOff>
      <xdr:row>23</xdr:row>
      <xdr:rowOff>142875</xdr:rowOff>
    </xdr:from>
    <xdr:to>
      <xdr:col>9</xdr:col>
      <xdr:colOff>530869</xdr:colOff>
      <xdr:row>30</xdr:row>
      <xdr:rowOff>85521</xdr:rowOff>
    </xdr:to>
    <xdr:pic>
      <xdr:nvPicPr>
        <xdr:cNvPr id="5" name="图片 4">
          <a:extLst>
            <a:ext uri="{FF2B5EF4-FFF2-40B4-BE49-F238E27FC236}">
              <a16:creationId xmlns:a16="http://schemas.microsoft.com/office/drawing/2014/main" id="{67793F3C-4581-77B6-B140-02656E1CE261}"/>
            </a:ext>
          </a:extLst>
        </xdr:cNvPr>
        <xdr:cNvPicPr>
          <a:picLocks noChangeAspect="1"/>
        </xdr:cNvPicPr>
      </xdr:nvPicPr>
      <xdr:blipFill>
        <a:blip xmlns:r="http://schemas.openxmlformats.org/officeDocument/2006/relationships" r:embed="rId3"/>
        <a:stretch>
          <a:fillRect/>
        </a:stretch>
      </xdr:blipFill>
      <xdr:spPr>
        <a:xfrm>
          <a:off x="0" y="4086225"/>
          <a:ext cx="6703069" cy="1142796"/>
        </a:xfrm>
        <a:prstGeom prst="rect">
          <a:avLst/>
        </a:prstGeom>
      </xdr:spPr>
    </xdr:pic>
    <xdr:clientData/>
  </xdr:twoCellAnchor>
  <xdr:twoCellAnchor editAs="oneCell">
    <xdr:from>
      <xdr:col>0</xdr:col>
      <xdr:colOff>0</xdr:colOff>
      <xdr:row>29</xdr:row>
      <xdr:rowOff>141532</xdr:rowOff>
    </xdr:from>
    <xdr:to>
      <xdr:col>9</xdr:col>
      <xdr:colOff>285750</xdr:colOff>
      <xdr:row>36</xdr:row>
      <xdr:rowOff>37895</xdr:rowOff>
    </xdr:to>
    <xdr:pic>
      <xdr:nvPicPr>
        <xdr:cNvPr id="6" name="图片 5">
          <a:extLst>
            <a:ext uri="{FF2B5EF4-FFF2-40B4-BE49-F238E27FC236}">
              <a16:creationId xmlns:a16="http://schemas.microsoft.com/office/drawing/2014/main" id="{9AC5BF03-A984-4FA8-3CF1-41E382D9AAF2}"/>
            </a:ext>
          </a:extLst>
        </xdr:cNvPr>
        <xdr:cNvPicPr>
          <a:picLocks noChangeAspect="1"/>
        </xdr:cNvPicPr>
      </xdr:nvPicPr>
      <xdr:blipFill>
        <a:blip xmlns:r="http://schemas.openxmlformats.org/officeDocument/2006/relationships" r:embed="rId4"/>
        <a:stretch>
          <a:fillRect/>
        </a:stretch>
      </xdr:blipFill>
      <xdr:spPr>
        <a:xfrm>
          <a:off x="0" y="5113582"/>
          <a:ext cx="6457950" cy="1096513"/>
        </a:xfrm>
        <a:prstGeom prst="rect">
          <a:avLst/>
        </a:prstGeom>
      </xdr:spPr>
    </xdr:pic>
    <xdr:clientData/>
  </xdr:twoCellAnchor>
  <xdr:twoCellAnchor editAs="oneCell">
    <xdr:from>
      <xdr:col>0</xdr:col>
      <xdr:colOff>0</xdr:colOff>
      <xdr:row>16</xdr:row>
      <xdr:rowOff>66675</xdr:rowOff>
    </xdr:from>
    <xdr:to>
      <xdr:col>9</xdr:col>
      <xdr:colOff>621327</xdr:colOff>
      <xdr:row>23</xdr:row>
      <xdr:rowOff>47418</xdr:rowOff>
    </xdr:to>
    <xdr:pic>
      <xdr:nvPicPr>
        <xdr:cNvPr id="7" name="图片 6">
          <a:extLst>
            <a:ext uri="{FF2B5EF4-FFF2-40B4-BE49-F238E27FC236}">
              <a16:creationId xmlns:a16="http://schemas.microsoft.com/office/drawing/2014/main" id="{BDC51C8E-9C3A-9EA0-3069-2CD2431C077E}"/>
            </a:ext>
          </a:extLst>
        </xdr:cNvPr>
        <xdr:cNvPicPr>
          <a:picLocks noChangeAspect="1"/>
        </xdr:cNvPicPr>
      </xdr:nvPicPr>
      <xdr:blipFill>
        <a:blip xmlns:r="http://schemas.openxmlformats.org/officeDocument/2006/relationships" r:embed="rId5"/>
        <a:stretch>
          <a:fillRect/>
        </a:stretch>
      </xdr:blipFill>
      <xdr:spPr>
        <a:xfrm>
          <a:off x="0" y="2809875"/>
          <a:ext cx="6793527" cy="1180893"/>
        </a:xfrm>
        <a:prstGeom prst="rect">
          <a:avLst/>
        </a:prstGeom>
      </xdr:spPr>
    </xdr:pic>
    <xdr:clientData/>
  </xdr:twoCellAnchor>
  <xdr:twoCellAnchor editAs="oneCell">
    <xdr:from>
      <xdr:col>0</xdr:col>
      <xdr:colOff>0</xdr:colOff>
      <xdr:row>34</xdr:row>
      <xdr:rowOff>144038</xdr:rowOff>
    </xdr:from>
    <xdr:to>
      <xdr:col>9</xdr:col>
      <xdr:colOff>66675</xdr:colOff>
      <xdr:row>41</xdr:row>
      <xdr:rowOff>28368</xdr:rowOff>
    </xdr:to>
    <xdr:pic>
      <xdr:nvPicPr>
        <xdr:cNvPr id="8" name="图片 7">
          <a:extLst>
            <a:ext uri="{FF2B5EF4-FFF2-40B4-BE49-F238E27FC236}">
              <a16:creationId xmlns:a16="http://schemas.microsoft.com/office/drawing/2014/main" id="{DE46C858-FDA7-201E-4E53-0CA657E42A78}"/>
            </a:ext>
          </a:extLst>
        </xdr:cNvPr>
        <xdr:cNvPicPr>
          <a:picLocks noChangeAspect="1"/>
        </xdr:cNvPicPr>
      </xdr:nvPicPr>
      <xdr:blipFill>
        <a:blip xmlns:r="http://schemas.openxmlformats.org/officeDocument/2006/relationships" r:embed="rId5"/>
        <a:stretch>
          <a:fillRect/>
        </a:stretch>
      </xdr:blipFill>
      <xdr:spPr>
        <a:xfrm>
          <a:off x="0" y="5973338"/>
          <a:ext cx="6238875" cy="1084480"/>
        </a:xfrm>
        <a:prstGeom prst="rect">
          <a:avLst/>
        </a:prstGeom>
      </xdr:spPr>
    </xdr:pic>
    <xdr:clientData/>
  </xdr:twoCellAnchor>
  <xdr:twoCellAnchor editAs="oneCell">
    <xdr:from>
      <xdr:col>10</xdr:col>
      <xdr:colOff>157851</xdr:colOff>
      <xdr:row>28</xdr:row>
      <xdr:rowOff>133350</xdr:rowOff>
    </xdr:from>
    <xdr:to>
      <xdr:col>18</xdr:col>
      <xdr:colOff>284614</xdr:colOff>
      <xdr:row>52</xdr:row>
      <xdr:rowOff>94425</xdr:rowOff>
    </xdr:to>
    <xdr:pic>
      <xdr:nvPicPr>
        <xdr:cNvPr id="11" name="图片 10">
          <a:extLst>
            <a:ext uri="{FF2B5EF4-FFF2-40B4-BE49-F238E27FC236}">
              <a16:creationId xmlns:a16="http://schemas.microsoft.com/office/drawing/2014/main" id="{B3F3A08F-B80D-2FCC-285E-657F44C140C6}"/>
            </a:ext>
          </a:extLst>
        </xdr:cNvPr>
        <xdr:cNvPicPr>
          <a:picLocks noChangeAspect="1"/>
        </xdr:cNvPicPr>
      </xdr:nvPicPr>
      <xdr:blipFill>
        <a:blip xmlns:r="http://schemas.openxmlformats.org/officeDocument/2006/relationships" r:embed="rId6"/>
        <a:stretch>
          <a:fillRect/>
        </a:stretch>
      </xdr:blipFill>
      <xdr:spPr>
        <a:xfrm>
          <a:off x="7015851" y="4933950"/>
          <a:ext cx="5613163" cy="4075875"/>
        </a:xfrm>
        <a:prstGeom prst="rect">
          <a:avLst/>
        </a:prstGeom>
      </xdr:spPr>
    </xdr:pic>
    <xdr:clientData/>
  </xdr:twoCellAnchor>
  <xdr:twoCellAnchor editAs="oneCell">
    <xdr:from>
      <xdr:col>14</xdr:col>
      <xdr:colOff>323850</xdr:colOff>
      <xdr:row>0</xdr:row>
      <xdr:rowOff>114300</xdr:rowOff>
    </xdr:from>
    <xdr:to>
      <xdr:col>28</xdr:col>
      <xdr:colOff>332174</xdr:colOff>
      <xdr:row>10</xdr:row>
      <xdr:rowOff>18848</xdr:rowOff>
    </xdr:to>
    <xdr:pic>
      <xdr:nvPicPr>
        <xdr:cNvPr id="4" name="图片 3">
          <a:extLst>
            <a:ext uri="{FF2B5EF4-FFF2-40B4-BE49-F238E27FC236}">
              <a16:creationId xmlns:a16="http://schemas.microsoft.com/office/drawing/2014/main" id="{F4F198FB-2FE1-7AF0-4E06-BE7B7F65FE9C}"/>
            </a:ext>
          </a:extLst>
        </xdr:cNvPr>
        <xdr:cNvPicPr>
          <a:picLocks noChangeAspect="1"/>
        </xdr:cNvPicPr>
      </xdr:nvPicPr>
      <xdr:blipFill>
        <a:blip xmlns:r="http://schemas.openxmlformats.org/officeDocument/2006/relationships" r:embed="rId7"/>
        <a:stretch>
          <a:fillRect/>
        </a:stretch>
      </xdr:blipFill>
      <xdr:spPr>
        <a:xfrm>
          <a:off x="9925050" y="114300"/>
          <a:ext cx="9609524" cy="1619048"/>
        </a:xfrm>
        <a:prstGeom prst="rect">
          <a:avLst/>
        </a:prstGeom>
      </xdr:spPr>
    </xdr:pic>
    <xdr:clientData/>
  </xdr:twoCellAnchor>
  <xdr:twoCellAnchor editAs="oneCell">
    <xdr:from>
      <xdr:col>10</xdr:col>
      <xdr:colOff>47625</xdr:colOff>
      <xdr:row>14</xdr:row>
      <xdr:rowOff>98230</xdr:rowOff>
    </xdr:from>
    <xdr:to>
      <xdr:col>20</xdr:col>
      <xdr:colOff>351219</xdr:colOff>
      <xdr:row>28</xdr:row>
      <xdr:rowOff>66275</xdr:rowOff>
    </xdr:to>
    <xdr:pic>
      <xdr:nvPicPr>
        <xdr:cNvPr id="10" name="图片 9">
          <a:extLst>
            <a:ext uri="{FF2B5EF4-FFF2-40B4-BE49-F238E27FC236}">
              <a16:creationId xmlns:a16="http://schemas.microsoft.com/office/drawing/2014/main" id="{AAE342E4-C499-BDCC-97B3-3A0006602016}"/>
            </a:ext>
          </a:extLst>
        </xdr:cNvPr>
        <xdr:cNvPicPr>
          <a:picLocks noChangeAspect="1"/>
        </xdr:cNvPicPr>
      </xdr:nvPicPr>
      <xdr:blipFill>
        <a:blip xmlns:r="http://schemas.openxmlformats.org/officeDocument/2006/relationships" r:embed="rId8"/>
        <a:stretch>
          <a:fillRect/>
        </a:stretch>
      </xdr:blipFill>
      <xdr:spPr>
        <a:xfrm>
          <a:off x="6905625" y="2498530"/>
          <a:ext cx="7161594" cy="2368345"/>
        </a:xfrm>
        <a:prstGeom prst="rect">
          <a:avLst/>
        </a:prstGeom>
      </xdr:spPr>
    </xdr:pic>
    <xdr:clientData/>
  </xdr:twoCellAnchor>
  <xdr:twoCellAnchor editAs="oneCell">
    <xdr:from>
      <xdr:col>10</xdr:col>
      <xdr:colOff>157851</xdr:colOff>
      <xdr:row>28</xdr:row>
      <xdr:rowOff>47625</xdr:rowOff>
    </xdr:from>
    <xdr:to>
      <xdr:col>24</xdr:col>
      <xdr:colOff>185222</xdr:colOff>
      <xdr:row>38</xdr:row>
      <xdr:rowOff>56935</xdr:rowOff>
    </xdr:to>
    <xdr:pic>
      <xdr:nvPicPr>
        <xdr:cNvPr id="12" name="图片 11">
          <a:extLst>
            <a:ext uri="{FF2B5EF4-FFF2-40B4-BE49-F238E27FC236}">
              <a16:creationId xmlns:a16="http://schemas.microsoft.com/office/drawing/2014/main" id="{DB1DC9F2-85B1-5B81-A327-596EFBD64183}"/>
            </a:ext>
          </a:extLst>
        </xdr:cNvPr>
        <xdr:cNvPicPr>
          <a:picLocks noChangeAspect="1"/>
        </xdr:cNvPicPr>
      </xdr:nvPicPr>
      <xdr:blipFill>
        <a:blip xmlns:r="http://schemas.openxmlformats.org/officeDocument/2006/relationships" r:embed="rId9"/>
        <a:stretch>
          <a:fillRect/>
        </a:stretch>
      </xdr:blipFill>
      <xdr:spPr>
        <a:xfrm>
          <a:off x="7015851" y="4848225"/>
          <a:ext cx="9628571" cy="17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443601</xdr:colOff>
      <xdr:row>0</xdr:row>
      <xdr:rowOff>0</xdr:rowOff>
    </xdr:from>
    <xdr:to>
      <xdr:col>21</xdr:col>
      <xdr:colOff>570364</xdr:colOff>
      <xdr:row>23</xdr:row>
      <xdr:rowOff>132525</xdr:rowOff>
    </xdr:to>
    <xdr:pic>
      <xdr:nvPicPr>
        <xdr:cNvPr id="8" name="图片 7">
          <a:extLst>
            <a:ext uri="{FF2B5EF4-FFF2-40B4-BE49-F238E27FC236}">
              <a16:creationId xmlns:a16="http://schemas.microsoft.com/office/drawing/2014/main" id="{DB12DA86-0693-4613-8C04-6169AEA18DBD}"/>
            </a:ext>
          </a:extLst>
        </xdr:cNvPr>
        <xdr:cNvPicPr>
          <a:picLocks noChangeAspect="1"/>
        </xdr:cNvPicPr>
      </xdr:nvPicPr>
      <xdr:blipFill>
        <a:blip xmlns:r="http://schemas.openxmlformats.org/officeDocument/2006/relationships" r:embed="rId1"/>
        <a:stretch>
          <a:fillRect/>
        </a:stretch>
      </xdr:blipFill>
      <xdr:spPr>
        <a:xfrm>
          <a:off x="9359001" y="0"/>
          <a:ext cx="5613163" cy="4075875"/>
        </a:xfrm>
        <a:prstGeom prst="rect">
          <a:avLst/>
        </a:prstGeom>
      </xdr:spPr>
    </xdr:pic>
    <xdr:clientData/>
  </xdr:twoCellAnchor>
  <xdr:twoCellAnchor editAs="oneCell">
    <xdr:from>
      <xdr:col>0</xdr:col>
      <xdr:colOff>0</xdr:colOff>
      <xdr:row>0</xdr:row>
      <xdr:rowOff>0</xdr:rowOff>
    </xdr:from>
    <xdr:to>
      <xdr:col>9</xdr:col>
      <xdr:colOff>221948</xdr:colOff>
      <xdr:row>12</xdr:row>
      <xdr:rowOff>57150</xdr:rowOff>
    </xdr:to>
    <xdr:pic>
      <xdr:nvPicPr>
        <xdr:cNvPr id="10" name="图片 9">
          <a:extLst>
            <a:ext uri="{FF2B5EF4-FFF2-40B4-BE49-F238E27FC236}">
              <a16:creationId xmlns:a16="http://schemas.microsoft.com/office/drawing/2014/main" id="{BE0E8BD9-F2EE-4334-BD54-06A8BA6416EB}"/>
            </a:ext>
          </a:extLst>
        </xdr:cNvPr>
        <xdr:cNvPicPr>
          <a:picLocks noChangeAspect="1"/>
        </xdr:cNvPicPr>
      </xdr:nvPicPr>
      <xdr:blipFill>
        <a:blip xmlns:r="http://schemas.openxmlformats.org/officeDocument/2006/relationships" r:embed="rId2"/>
        <a:stretch>
          <a:fillRect/>
        </a:stretch>
      </xdr:blipFill>
      <xdr:spPr>
        <a:xfrm>
          <a:off x="0" y="0"/>
          <a:ext cx="6394148" cy="2114550"/>
        </a:xfrm>
        <a:prstGeom prst="rect">
          <a:avLst/>
        </a:prstGeom>
      </xdr:spPr>
    </xdr:pic>
    <xdr:clientData/>
  </xdr:twoCellAnchor>
  <xdr:twoCellAnchor editAs="oneCell">
    <xdr:from>
      <xdr:col>0</xdr:col>
      <xdr:colOff>1</xdr:colOff>
      <xdr:row>12</xdr:row>
      <xdr:rowOff>47625</xdr:rowOff>
    </xdr:from>
    <xdr:to>
      <xdr:col>9</xdr:col>
      <xdr:colOff>157773</xdr:colOff>
      <xdr:row>18</xdr:row>
      <xdr:rowOff>152184</xdr:rowOff>
    </xdr:to>
    <xdr:pic>
      <xdr:nvPicPr>
        <xdr:cNvPr id="11" name="图片 10">
          <a:extLst>
            <a:ext uri="{FF2B5EF4-FFF2-40B4-BE49-F238E27FC236}">
              <a16:creationId xmlns:a16="http://schemas.microsoft.com/office/drawing/2014/main" id="{0BD7E502-143D-4AB1-9944-FC3198977E57}"/>
            </a:ext>
          </a:extLst>
        </xdr:cNvPr>
        <xdr:cNvPicPr>
          <a:picLocks noChangeAspect="1"/>
        </xdr:cNvPicPr>
      </xdr:nvPicPr>
      <xdr:blipFill>
        <a:blip xmlns:r="http://schemas.openxmlformats.org/officeDocument/2006/relationships" r:embed="rId3"/>
        <a:stretch>
          <a:fillRect/>
        </a:stretch>
      </xdr:blipFill>
      <xdr:spPr>
        <a:xfrm>
          <a:off x="1" y="2105025"/>
          <a:ext cx="6329972" cy="1133259"/>
        </a:xfrm>
        <a:prstGeom prst="rect">
          <a:avLst/>
        </a:prstGeom>
      </xdr:spPr>
    </xdr:pic>
    <xdr:clientData/>
  </xdr:twoCellAnchor>
  <xdr:twoCellAnchor editAs="oneCell">
    <xdr:from>
      <xdr:col>0</xdr:col>
      <xdr:colOff>0</xdr:colOff>
      <xdr:row>18</xdr:row>
      <xdr:rowOff>47625</xdr:rowOff>
    </xdr:from>
    <xdr:to>
      <xdr:col>9</xdr:col>
      <xdr:colOff>97899</xdr:colOff>
      <xdr:row>24</xdr:row>
      <xdr:rowOff>95043</xdr:rowOff>
    </xdr:to>
    <xdr:pic>
      <xdr:nvPicPr>
        <xdr:cNvPr id="12" name="图片 11">
          <a:extLst>
            <a:ext uri="{FF2B5EF4-FFF2-40B4-BE49-F238E27FC236}">
              <a16:creationId xmlns:a16="http://schemas.microsoft.com/office/drawing/2014/main" id="{05B997ED-5EA7-3BEB-7181-428A65FE7E8A}"/>
            </a:ext>
          </a:extLst>
        </xdr:cNvPr>
        <xdr:cNvPicPr>
          <a:picLocks noChangeAspect="1"/>
        </xdr:cNvPicPr>
      </xdr:nvPicPr>
      <xdr:blipFill>
        <a:blip xmlns:r="http://schemas.openxmlformats.org/officeDocument/2006/relationships" r:embed="rId4"/>
        <a:stretch>
          <a:fillRect/>
        </a:stretch>
      </xdr:blipFill>
      <xdr:spPr>
        <a:xfrm>
          <a:off x="0" y="3133725"/>
          <a:ext cx="6270099" cy="1076118"/>
        </a:xfrm>
        <a:prstGeom prst="rect">
          <a:avLst/>
        </a:prstGeom>
      </xdr:spPr>
    </xdr:pic>
    <xdr:clientData/>
  </xdr:twoCellAnchor>
  <xdr:twoCellAnchor editAs="oneCell">
    <xdr:from>
      <xdr:col>0</xdr:col>
      <xdr:colOff>0</xdr:colOff>
      <xdr:row>23</xdr:row>
      <xdr:rowOff>92093</xdr:rowOff>
    </xdr:from>
    <xdr:to>
      <xdr:col>9</xdr:col>
      <xdr:colOff>447675</xdr:colOff>
      <xdr:row>29</xdr:row>
      <xdr:rowOff>123634</xdr:rowOff>
    </xdr:to>
    <xdr:pic>
      <xdr:nvPicPr>
        <xdr:cNvPr id="13" name="图片 12">
          <a:extLst>
            <a:ext uri="{FF2B5EF4-FFF2-40B4-BE49-F238E27FC236}">
              <a16:creationId xmlns:a16="http://schemas.microsoft.com/office/drawing/2014/main" id="{1EB239F4-0FCE-0A6F-A8EE-78E9FE56AC3E}"/>
            </a:ext>
          </a:extLst>
        </xdr:cNvPr>
        <xdr:cNvPicPr>
          <a:picLocks noChangeAspect="1"/>
        </xdr:cNvPicPr>
      </xdr:nvPicPr>
      <xdr:blipFill>
        <a:blip xmlns:r="http://schemas.openxmlformats.org/officeDocument/2006/relationships" r:embed="rId5"/>
        <a:stretch>
          <a:fillRect/>
        </a:stretch>
      </xdr:blipFill>
      <xdr:spPr>
        <a:xfrm>
          <a:off x="0" y="4035443"/>
          <a:ext cx="6619875" cy="1060241"/>
        </a:xfrm>
        <a:prstGeom prst="rect">
          <a:avLst/>
        </a:prstGeom>
      </xdr:spPr>
    </xdr:pic>
    <xdr:clientData/>
  </xdr:twoCellAnchor>
  <xdr:twoCellAnchor editAs="oneCell">
    <xdr:from>
      <xdr:col>0</xdr:col>
      <xdr:colOff>0</xdr:colOff>
      <xdr:row>29</xdr:row>
      <xdr:rowOff>74069</xdr:rowOff>
    </xdr:from>
    <xdr:to>
      <xdr:col>9</xdr:col>
      <xdr:colOff>247650</xdr:colOff>
      <xdr:row>35</xdr:row>
      <xdr:rowOff>104580</xdr:rowOff>
    </xdr:to>
    <xdr:pic>
      <xdr:nvPicPr>
        <xdr:cNvPr id="14" name="图片 13">
          <a:extLst>
            <a:ext uri="{FF2B5EF4-FFF2-40B4-BE49-F238E27FC236}">
              <a16:creationId xmlns:a16="http://schemas.microsoft.com/office/drawing/2014/main" id="{1B25C1E4-5716-435C-D3EB-046F6B3A4283}"/>
            </a:ext>
          </a:extLst>
        </xdr:cNvPr>
        <xdr:cNvPicPr>
          <a:picLocks noChangeAspect="1"/>
        </xdr:cNvPicPr>
      </xdr:nvPicPr>
      <xdr:blipFill>
        <a:blip xmlns:r="http://schemas.openxmlformats.org/officeDocument/2006/relationships" r:embed="rId6"/>
        <a:stretch>
          <a:fillRect/>
        </a:stretch>
      </xdr:blipFill>
      <xdr:spPr>
        <a:xfrm>
          <a:off x="0" y="5046119"/>
          <a:ext cx="6419850" cy="1059211"/>
        </a:xfrm>
        <a:prstGeom prst="rect">
          <a:avLst/>
        </a:prstGeom>
      </xdr:spPr>
    </xdr:pic>
    <xdr:clientData/>
  </xdr:twoCellAnchor>
  <xdr:twoCellAnchor editAs="oneCell">
    <xdr:from>
      <xdr:col>0</xdr:col>
      <xdr:colOff>57151</xdr:colOff>
      <xdr:row>35</xdr:row>
      <xdr:rowOff>35277</xdr:rowOff>
    </xdr:from>
    <xdr:to>
      <xdr:col>9</xdr:col>
      <xdr:colOff>95251</xdr:colOff>
      <xdr:row>41</xdr:row>
      <xdr:rowOff>18856</xdr:rowOff>
    </xdr:to>
    <xdr:pic>
      <xdr:nvPicPr>
        <xdr:cNvPr id="15" name="图片 14">
          <a:extLst>
            <a:ext uri="{FF2B5EF4-FFF2-40B4-BE49-F238E27FC236}">
              <a16:creationId xmlns:a16="http://schemas.microsoft.com/office/drawing/2014/main" id="{EF253F9B-8F3B-0711-4144-AB49C73DE81C}"/>
            </a:ext>
          </a:extLst>
        </xdr:cNvPr>
        <xdr:cNvPicPr>
          <a:picLocks noChangeAspect="1"/>
        </xdr:cNvPicPr>
      </xdr:nvPicPr>
      <xdr:blipFill>
        <a:blip xmlns:r="http://schemas.openxmlformats.org/officeDocument/2006/relationships" r:embed="rId7"/>
        <a:stretch>
          <a:fillRect/>
        </a:stretch>
      </xdr:blipFill>
      <xdr:spPr>
        <a:xfrm>
          <a:off x="57151" y="6036027"/>
          <a:ext cx="6210300" cy="1012279"/>
        </a:xfrm>
        <a:prstGeom prst="rect">
          <a:avLst/>
        </a:prstGeom>
      </xdr:spPr>
    </xdr:pic>
    <xdr:clientData/>
  </xdr:twoCellAnchor>
  <xdr:twoCellAnchor editAs="oneCell">
    <xdr:from>
      <xdr:col>0</xdr:col>
      <xdr:colOff>0</xdr:colOff>
      <xdr:row>39</xdr:row>
      <xdr:rowOff>85832</xdr:rowOff>
    </xdr:from>
    <xdr:to>
      <xdr:col>10</xdr:col>
      <xdr:colOff>19050</xdr:colOff>
      <xdr:row>45</xdr:row>
      <xdr:rowOff>114111</xdr:rowOff>
    </xdr:to>
    <xdr:pic>
      <xdr:nvPicPr>
        <xdr:cNvPr id="17" name="图片 16">
          <a:extLst>
            <a:ext uri="{FF2B5EF4-FFF2-40B4-BE49-F238E27FC236}">
              <a16:creationId xmlns:a16="http://schemas.microsoft.com/office/drawing/2014/main" id="{05DC1F13-7D2E-B0E8-CDB0-E2B18FFF1ADD}"/>
            </a:ext>
          </a:extLst>
        </xdr:cNvPr>
        <xdr:cNvPicPr>
          <a:picLocks noChangeAspect="1"/>
        </xdr:cNvPicPr>
      </xdr:nvPicPr>
      <xdr:blipFill>
        <a:blip xmlns:r="http://schemas.openxmlformats.org/officeDocument/2006/relationships" r:embed="rId8"/>
        <a:stretch>
          <a:fillRect/>
        </a:stretch>
      </xdr:blipFill>
      <xdr:spPr>
        <a:xfrm>
          <a:off x="0" y="6772382"/>
          <a:ext cx="6877050" cy="10569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6700;&#38754;\&#39318;&#22478;&#22269;&#38469;&#31199;&#37329;\&#36807;&#31243;\&#39318;&#22478;&#22269;&#38469;&#31199;&#37329;-&#19968;&#23457;&#25913;.xlsx" TargetMode="External"/><Relationship Id="rId1" Type="http://schemas.openxmlformats.org/officeDocument/2006/relationships/externalLinkPath" Target="&#36807;&#31243;/&#39318;&#22478;&#22269;&#38469;&#31199;&#37329;-&#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13">
          <cell r="I13">
            <v>146.99</v>
          </cell>
        </row>
      </sheetData>
      <sheetData sheetId="12" refreshError="1"/>
      <sheetData sheetId="13">
        <row r="17">
          <cell r="C17" t="str">
            <v>项目类型</v>
          </cell>
        </row>
        <row r="19">
          <cell r="C19" t="str">
            <v>商业</v>
          </cell>
        </row>
        <row r="20">
          <cell r="C20" t="str">
            <v>库房</v>
          </cell>
        </row>
        <row r="21">
          <cell r="C21" t="str">
            <v>商业铂郡</v>
          </cell>
        </row>
      </sheetData>
      <sheetData sheetId="14">
        <row r="6">
          <cell r="N6">
            <v>0.8</v>
          </cell>
        </row>
        <row r="20">
          <cell r="B20">
            <v>2</v>
          </cell>
        </row>
        <row r="28">
          <cell r="B28">
            <v>200</v>
          </cell>
        </row>
        <row r="34">
          <cell r="B34">
            <v>0</v>
          </cell>
        </row>
        <row r="36">
          <cell r="B36">
            <v>1.4999999999999999E-2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sheetData sheetId="44">
        <row r="36">
          <cell r="C36">
            <v>1</v>
          </cell>
        </row>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估价对象为北京市房地产，为所有。根据《国有土地使用证》[]，估价对象（分摊）出让国有建设用地使用权面积为0平方米，建筑面积为278.87平方米。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估价对象为北京市房地产,属开发建设的，该项目尚在开发建设中。根据《国有土地使用证》[]，估价对象（分摊）出让国有建设用地使用权面积为0平方米，规划建筑面积为278.87平方米。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2023年11月24日（评估专业人员实地查勘之日）</v>
      </c>
    </row>
    <row r="13" spans="1:2">
      <c r="A13" s="1119" t="s">
        <v>529</v>
      </c>
      <c r="B13" s="1120" t="str">
        <f>'预评函-1'!A18</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278.87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2578</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2579</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2290</v>
      </c>
      <c r="C17" s="1442"/>
    </row>
    <row r="18" spans="1:3">
      <c r="A18" s="1441" t="s">
        <v>1046</v>
      </c>
      <c r="B18" s="1441" t="s">
        <v>2434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9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6"/>
      <c r="B54" s="1447" t="s">
        <v>385</v>
      </c>
      <c r="C54" s="1445" t="s">
        <v>583</v>
      </c>
    </row>
    <row r="55" spans="1:4">
      <c r="A55" s="3296"/>
      <c r="B55" s="1447" t="s">
        <v>386</v>
      </c>
      <c r="C55" s="1445" t="s">
        <v>584</v>
      </c>
    </row>
    <row r="56" spans="1:4">
      <c r="A56" s="3296"/>
      <c r="B56" s="1447" t="s">
        <v>387</v>
      </c>
      <c r="C56" s="1445" t="s">
        <v>588</v>
      </c>
    </row>
    <row r="57" spans="1:4">
      <c r="A57" s="329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2501</v>
      </c>
      <c r="B1" s="2756"/>
      <c r="C1" s="2756"/>
      <c r="D1" s="2756"/>
      <c r="E1" s="2756"/>
      <c r="F1" s="2757"/>
      <c r="I1" s="3134" t="s">
        <v>2594</v>
      </c>
      <c r="J1" s="2782"/>
      <c r="K1" s="2782"/>
      <c r="L1" s="2782"/>
      <c r="M1" s="2782"/>
      <c r="N1" s="2967"/>
      <c r="O1" s="2967"/>
      <c r="P1" s="2967"/>
      <c r="Q1" s="2967"/>
      <c r="R1" s="2967"/>
    </row>
    <row r="2" spans="1:18">
      <c r="A2" s="2759"/>
      <c r="B2" s="2760"/>
      <c r="C2" s="2760"/>
      <c r="D2" s="2760"/>
      <c r="E2" s="2760"/>
      <c r="F2" s="2761"/>
      <c r="I2" s="3297" t="s">
        <v>2581</v>
      </c>
      <c r="J2" s="3297"/>
      <c r="K2" s="3297"/>
      <c r="L2" s="3297"/>
      <c r="M2" s="3297"/>
      <c r="N2" s="3297"/>
      <c r="O2" s="3297"/>
      <c r="P2" s="3297"/>
      <c r="Q2" s="3297"/>
      <c r="R2" s="3297"/>
    </row>
    <row r="3" spans="1:18">
      <c r="A3" s="2762" t="s">
        <v>2502</v>
      </c>
      <c r="B3" s="2763">
        <f>项目基本情况!D3</f>
        <v>45254</v>
      </c>
      <c r="C3" s="2765"/>
      <c r="D3" s="2765"/>
      <c r="E3" s="2765"/>
      <c r="F3" s="2761"/>
      <c r="I3" s="2777"/>
      <c r="J3" s="2777" t="s">
        <v>2585</v>
      </c>
      <c r="K3" s="2777" t="s">
        <v>2586</v>
      </c>
      <c r="L3" s="2777" t="s">
        <v>2587</v>
      </c>
      <c r="M3" s="2777" t="s">
        <v>2588</v>
      </c>
      <c r="N3" s="3135" t="s">
        <v>2589</v>
      </c>
      <c r="O3" s="3135" t="s">
        <v>2590</v>
      </c>
      <c r="P3" s="3135" t="s">
        <v>2591</v>
      </c>
      <c r="Q3" s="3135" t="s">
        <v>2592</v>
      </c>
      <c r="R3" s="3135" t="s">
        <v>2593</v>
      </c>
    </row>
    <row r="4" spans="1:18">
      <c r="A4" s="2762" t="s">
        <v>2503</v>
      </c>
      <c r="B4" s="2765" t="s">
        <v>2504</v>
      </c>
      <c r="C4" s="2765" t="s">
        <v>2505</v>
      </c>
      <c r="D4" s="2765" t="s">
        <v>2506</v>
      </c>
      <c r="E4" s="2765" t="s">
        <v>2507</v>
      </c>
      <c r="F4" s="2761"/>
      <c r="I4" s="2777" t="s">
        <v>2582</v>
      </c>
      <c r="J4" s="2777">
        <v>80</v>
      </c>
      <c r="K4" s="2777">
        <v>70</v>
      </c>
      <c r="L4" s="2777">
        <v>20</v>
      </c>
      <c r="M4" s="2777">
        <v>30</v>
      </c>
      <c r="N4" s="2765">
        <v>45</v>
      </c>
      <c r="O4" s="2765">
        <v>60</v>
      </c>
      <c r="P4" s="2765">
        <v>50</v>
      </c>
      <c r="Q4" s="2765">
        <v>20</v>
      </c>
      <c r="R4" s="2765">
        <v>375</v>
      </c>
    </row>
    <row r="5" spans="1:18">
      <c r="A5" s="2766">
        <v>40</v>
      </c>
      <c r="B5" s="2763">
        <v>46375</v>
      </c>
      <c r="C5" s="2765">
        <f>ROUNDDOWN(MIN((B5-B3)/365,A5),2)</f>
        <v>3.07</v>
      </c>
      <c r="D5" s="2767">
        <f>IF(ISERROR(ROUND(POWER(1+E5,A5-C5)*(POWER(1+E5,C5)-1)/(POWER(1+E5,A5)-1),3)),0,ROUND(POWER(1+E5,A5-C5)*(POWER(1+E5,C5)-1)/(POWER(1+E5,A5)-1),4))</f>
        <v>0.14330000000000001</v>
      </c>
      <c r="E5" s="2768">
        <v>0.04</v>
      </c>
      <c r="F5" s="2761"/>
      <c r="I5" s="2777" t="s">
        <v>2583</v>
      </c>
      <c r="J5" s="2777">
        <v>70</v>
      </c>
      <c r="K5" s="2777">
        <v>60</v>
      </c>
      <c r="L5" s="2777">
        <v>15</v>
      </c>
      <c r="M5" s="2777">
        <v>25</v>
      </c>
      <c r="N5" s="2765">
        <v>40</v>
      </c>
      <c r="O5" s="2765">
        <v>50</v>
      </c>
      <c r="P5" s="2765">
        <v>40</v>
      </c>
      <c r="Q5" s="2765">
        <v>15</v>
      </c>
      <c r="R5" s="2765">
        <v>315</v>
      </c>
    </row>
    <row r="6" spans="1:18">
      <c r="A6" s="2766">
        <v>50</v>
      </c>
      <c r="B6" s="2763">
        <v>50028</v>
      </c>
      <c r="C6" s="2765">
        <f>ROUNDDOWN(MIN((B6-B3)/365,A6),2)</f>
        <v>13.07</v>
      </c>
      <c r="D6" s="2767">
        <f>IF(ISERROR(ROUND(POWER(1+E6,A6-C6)*(POWER(1+E6,C6)-1)/(POWER(1+E6,A6)-1),3)),0,ROUND(POWER(1+E6,A6-C6)*(POWER(1+E6,C6)-1)/(POWER(1+E6,A6)-1),4))</f>
        <v>0.46679999999999999</v>
      </c>
      <c r="E6" s="2768">
        <v>0.04</v>
      </c>
      <c r="F6" s="2761"/>
      <c r="I6" s="2777" t="s">
        <v>2584</v>
      </c>
      <c r="J6" s="2777">
        <v>60</v>
      </c>
      <c r="K6" s="2777">
        <v>50</v>
      </c>
      <c r="L6" s="2777">
        <v>10</v>
      </c>
      <c r="M6" s="2777">
        <v>20</v>
      </c>
      <c r="N6" s="2765">
        <v>35</v>
      </c>
      <c r="O6" s="2765">
        <v>40</v>
      </c>
      <c r="P6" s="2765">
        <v>30</v>
      </c>
      <c r="Q6" s="2765">
        <v>10</v>
      </c>
      <c r="R6" s="2765">
        <v>255</v>
      </c>
    </row>
    <row r="7" spans="1:18">
      <c r="A7" s="2766">
        <v>70</v>
      </c>
      <c r="B7" s="2763">
        <v>57333</v>
      </c>
      <c r="C7" s="2765">
        <f>ROUNDDOWN(MIN((B7-B3)/365,A7),2)</f>
        <v>33.090000000000003</v>
      </c>
      <c r="D7" s="2767">
        <f>IF(ISERROR(ROUND(POWER(1+E7,A7-C7)*(POWER(1+E7,C7)-1)/(POWER(1+E7,A7)-1),3)),0,ROUND(POWER(1+E7,A7-C7)*(POWER(1+E7,C7)-1)/(POWER(1+E7,A7)-1),4))</f>
        <v>0.77680000000000005</v>
      </c>
      <c r="E7" s="2768">
        <v>0.04</v>
      </c>
      <c r="F7" s="2761"/>
    </row>
    <row r="8" spans="1:18">
      <c r="A8" s="2759"/>
      <c r="B8" s="2760"/>
      <c r="C8" s="2760"/>
      <c r="D8" s="2760"/>
      <c r="E8" s="2760"/>
      <c r="F8" s="2761"/>
    </row>
    <row r="9" spans="1:18">
      <c r="A9" s="2762" t="s">
        <v>2508</v>
      </c>
      <c r="B9" s="2765"/>
      <c r="C9" s="2765"/>
      <c r="D9" s="2765"/>
      <c r="E9" s="2765"/>
      <c r="F9" s="2769"/>
    </row>
    <row r="10" spans="1:18">
      <c r="A10" s="2762" t="s">
        <v>2509</v>
      </c>
      <c r="B10" s="2765"/>
      <c r="C10" s="2765"/>
      <c r="D10" s="2765" t="s">
        <v>2507</v>
      </c>
      <c r="E10" s="2765"/>
      <c r="F10" s="2769" t="s">
        <v>2506</v>
      </c>
    </row>
    <row r="11" spans="1:18">
      <c r="A11" s="2762" t="s">
        <v>2510</v>
      </c>
      <c r="B11" s="2770">
        <v>70</v>
      </c>
      <c r="C11" s="2765" t="s">
        <v>2511</v>
      </c>
      <c r="D11" s="2770">
        <v>4.4999999999999998E-2</v>
      </c>
      <c r="E11" s="2765" t="s">
        <v>2512</v>
      </c>
      <c r="F11" s="2771">
        <f>ROUND(1-(1/(POWER(1+D11,B11))),4)</f>
        <v>0.95409999999999995</v>
      </c>
    </row>
    <row r="12" spans="1:18">
      <c r="A12" s="2762" t="s">
        <v>2513</v>
      </c>
      <c r="B12" s="2770">
        <v>40</v>
      </c>
      <c r="C12" s="2765" t="s">
        <v>2514</v>
      </c>
      <c r="D12" s="2770">
        <v>4.4999999999999998E-2</v>
      </c>
      <c r="E12" s="2765" t="s">
        <v>2515</v>
      </c>
      <c r="F12" s="2771">
        <f>ROUND(1-(1/(POWER(1+D12,B12))),4)</f>
        <v>0.82809999999999995</v>
      </c>
    </row>
    <row r="13" spans="1:18">
      <c r="A13" s="2762" t="s">
        <v>2516</v>
      </c>
      <c r="B13" s="2765"/>
      <c r="C13" s="2765"/>
      <c r="D13" s="2760"/>
      <c r="E13" s="2760"/>
      <c r="F13" s="2761"/>
    </row>
    <row r="14" spans="1:18">
      <c r="A14" s="2762" t="s">
        <v>2517</v>
      </c>
      <c r="B14" s="2770">
        <v>5000</v>
      </c>
      <c r="C14" s="2764"/>
      <c r="D14" s="2760"/>
      <c r="E14" s="2760"/>
      <c r="F14" s="2761"/>
    </row>
    <row r="15" spans="1:18">
      <c r="A15" s="2762" t="s">
        <v>2518</v>
      </c>
      <c r="B15" s="2765">
        <f>ROUND(B14*F12/F11,2)</f>
        <v>4339.6899999999996</v>
      </c>
      <c r="C15" s="2765">
        <f>ROUND(F12/F11,4)</f>
        <v>0.8679</v>
      </c>
      <c r="D15" s="2760"/>
      <c r="E15" s="2760"/>
      <c r="F15" s="2761"/>
    </row>
    <row r="16" spans="1:18">
      <c r="A16" s="2762" t="s">
        <v>2519</v>
      </c>
      <c r="B16" s="2765"/>
      <c r="C16" s="2765"/>
      <c r="D16" s="2760"/>
      <c r="E16" s="2760"/>
      <c r="F16" s="2761"/>
    </row>
    <row r="17" spans="1:13">
      <c r="A17" s="2762" t="s">
        <v>2518</v>
      </c>
      <c r="B17" s="2770">
        <v>4810</v>
      </c>
      <c r="C17" s="2764"/>
      <c r="D17" s="2760"/>
      <c r="E17" s="2760"/>
      <c r="F17" s="2761"/>
    </row>
    <row r="18" spans="1:13" ht="14.25" thickBot="1">
      <c r="A18" s="2772" t="s">
        <v>2517</v>
      </c>
      <c r="B18" s="2773">
        <f>ROUND(B17*F11/F12,2)</f>
        <v>5541.87</v>
      </c>
      <c r="C18" s="2773">
        <f>ROUND(F11/F12,4)</f>
        <v>1.1521999999999999</v>
      </c>
      <c r="D18" s="2774"/>
      <c r="E18" s="2774"/>
      <c r="F18" s="2775"/>
    </row>
    <row r="19" spans="1:13" ht="14.25" thickBot="1"/>
    <row r="20" spans="1:13" s="2808" customFormat="1" ht="14.25" thickTop="1">
      <c r="A20" s="2805" t="s">
        <v>2520</v>
      </c>
      <c r="B20" s="2806"/>
      <c r="C20" s="2806"/>
      <c r="D20" s="2806"/>
      <c r="E20" s="2806"/>
      <c r="F20" s="2806"/>
      <c r="G20" s="2807"/>
      <c r="I20" s="2809" t="s">
        <v>2565</v>
      </c>
      <c r="J20" s="2809" t="s">
        <v>2570</v>
      </c>
      <c r="K20" s="2809"/>
      <c r="L20" s="2809"/>
      <c r="M20" s="2809"/>
    </row>
    <row r="21" spans="1:13">
      <c r="A21" s="2776"/>
      <c r="B21" s="2777" t="s">
        <v>2521</v>
      </c>
      <c r="C21" s="2777" t="s">
        <v>2522</v>
      </c>
      <c r="D21" s="2777" t="s">
        <v>2523</v>
      </c>
      <c r="E21" s="2777" t="s">
        <v>2524</v>
      </c>
      <c r="F21" s="2777" t="s">
        <v>2525</v>
      </c>
      <c r="G21" s="2778" t="s">
        <v>2526</v>
      </c>
      <c r="I21" s="2799">
        <v>5</v>
      </c>
      <c r="J21" s="2799">
        <v>54.2</v>
      </c>
    </row>
    <row r="22" spans="1:13">
      <c r="A22" s="2776" t="s">
        <v>2527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2568</v>
      </c>
      <c r="M23" s="2799" t="s">
        <v>2569</v>
      </c>
    </row>
    <row r="24" spans="1:13">
      <c r="A24" s="2776" t="s">
        <v>2529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2567</v>
      </c>
      <c r="M24" s="2799">
        <v>10</v>
      </c>
    </row>
    <row r="25" spans="1:13">
      <c r="A25" s="2776" t="s">
        <v>2530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2571</v>
      </c>
      <c r="M25" s="2799">
        <v>8</v>
      </c>
    </row>
    <row r="26" spans="1:13">
      <c r="A26" s="2781"/>
      <c r="B26" s="2782"/>
      <c r="C26" s="2782"/>
      <c r="D26" s="2782"/>
      <c r="E26" s="2782"/>
      <c r="F26" s="2782"/>
      <c r="G26" s="2783"/>
      <c r="I26" s="2799">
        <v>30</v>
      </c>
      <c r="J26" s="2799">
        <v>90.5</v>
      </c>
      <c r="K26" s="2799">
        <f t="shared" si="2"/>
        <v>4.2000000000000028</v>
      </c>
      <c r="L26" s="2799" t="s">
        <v>2572</v>
      </c>
      <c r="M26" s="2799">
        <v>5</v>
      </c>
    </row>
    <row r="27" spans="1:13">
      <c r="A27" s="2781" t="s">
        <v>2531</v>
      </c>
      <c r="B27" s="2782"/>
      <c r="C27" s="2782"/>
      <c r="D27" s="2782"/>
      <c r="E27" s="2782"/>
      <c r="F27" s="2782"/>
      <c r="G27" s="2783"/>
      <c r="I27" s="2799">
        <v>35</v>
      </c>
      <c r="J27" s="2799">
        <v>93.8</v>
      </c>
      <c r="K27" s="2799">
        <f t="shared" si="2"/>
        <v>3.2999999999999972</v>
      </c>
      <c r="L27" s="2799" t="s">
        <v>2573</v>
      </c>
      <c r="M27" s="2799">
        <v>3</v>
      </c>
    </row>
    <row r="28" spans="1:13">
      <c r="A28" s="2781" t="s">
        <v>2532</v>
      </c>
      <c r="B28" s="2782"/>
      <c r="C28" s="2782"/>
      <c r="D28" s="2782"/>
      <c r="E28" s="2782"/>
      <c r="F28" s="2782"/>
      <c r="G28" s="2783"/>
      <c r="I28" s="2799">
        <v>40</v>
      </c>
      <c r="J28" s="2799">
        <v>96.4</v>
      </c>
      <c r="K28" s="2799">
        <f t="shared" si="2"/>
        <v>2.6000000000000085</v>
      </c>
      <c r="L28" s="2799" t="s">
        <v>2574</v>
      </c>
      <c r="M28" s="2799">
        <v>2</v>
      </c>
    </row>
    <row r="29" spans="1:13">
      <c r="A29" s="2781" t="s">
        <v>2533</v>
      </c>
      <c r="B29" s="2782"/>
      <c r="C29" s="2782"/>
      <c r="D29" s="2782"/>
      <c r="E29" s="2782"/>
      <c r="F29" s="2782"/>
      <c r="G29" s="2783"/>
      <c r="I29" s="2799">
        <v>45</v>
      </c>
      <c r="J29" s="2799">
        <v>98.4</v>
      </c>
      <c r="K29" s="2799">
        <f t="shared" si="2"/>
        <v>2</v>
      </c>
    </row>
    <row r="30" spans="1:13">
      <c r="A30" s="2781" t="s">
        <v>2534</v>
      </c>
      <c r="B30" s="2782"/>
      <c r="C30" s="2782"/>
      <c r="D30" s="2782"/>
      <c r="E30" s="2782"/>
      <c r="F30" s="2782"/>
      <c r="G30" s="2783"/>
      <c r="I30" s="2799">
        <v>50</v>
      </c>
      <c r="J30" s="2799">
        <v>100</v>
      </c>
      <c r="K30" s="2799">
        <f t="shared" si="2"/>
        <v>1.5999999999999943</v>
      </c>
    </row>
    <row r="31" spans="1:13">
      <c r="A31" s="2781" t="s">
        <v>2535</v>
      </c>
      <c r="B31" s="2782"/>
      <c r="C31" s="2782"/>
      <c r="D31" s="2782"/>
      <c r="E31" s="2782"/>
      <c r="F31" s="2782"/>
      <c r="G31" s="2783"/>
      <c r="I31" s="2799" t="s">
        <v>2566</v>
      </c>
    </row>
    <row r="32" spans="1:13">
      <c r="A32" s="2781" t="s">
        <v>2536</v>
      </c>
      <c r="B32" s="2782"/>
      <c r="C32" s="2782"/>
      <c r="D32" s="2782"/>
      <c r="E32" s="2782"/>
      <c r="F32" s="2782"/>
      <c r="G32" s="2783"/>
    </row>
    <row r="33" spans="1:13">
      <c r="A33" s="2781" t="s">
        <v>2537</v>
      </c>
      <c r="B33" s="2782"/>
      <c r="C33" s="2782"/>
      <c r="D33" s="2782"/>
      <c r="E33" s="2782"/>
      <c r="F33" s="2782"/>
      <c r="G33" s="2783"/>
      <c r="I33" s="2799" t="s">
        <v>2565</v>
      </c>
      <c r="J33" s="2799" t="s">
        <v>2575</v>
      </c>
    </row>
    <row r="34" spans="1:13">
      <c r="A34" s="2781" t="s">
        <v>2538</v>
      </c>
      <c r="B34" s="2782"/>
      <c r="C34" s="2782"/>
      <c r="D34" s="2782"/>
      <c r="E34" s="2782"/>
      <c r="F34" s="2782"/>
      <c r="G34" s="2783"/>
      <c r="I34" s="2799">
        <v>5</v>
      </c>
      <c r="J34" s="2799">
        <v>55.1</v>
      </c>
    </row>
    <row r="35" spans="1:13">
      <c r="A35" s="2781" t="s">
        <v>2539</v>
      </c>
      <c r="B35" s="2782"/>
      <c r="C35" s="2782"/>
      <c r="D35" s="2782"/>
      <c r="E35" s="2782"/>
      <c r="F35" s="2782"/>
      <c r="G35" s="2783"/>
      <c r="I35" s="2799">
        <v>10</v>
      </c>
      <c r="J35" s="2799">
        <v>67</v>
      </c>
      <c r="K35" s="2799">
        <f>J35-J34</f>
        <v>11.899999999999999</v>
      </c>
    </row>
    <row r="36" spans="1:13">
      <c r="A36" s="2781" t="s">
        <v>2540</v>
      </c>
      <c r="B36" s="2782"/>
      <c r="C36" s="2782"/>
      <c r="D36" s="2782"/>
      <c r="E36" s="2782"/>
      <c r="F36" s="2782"/>
      <c r="G36" s="2783"/>
      <c r="I36" s="2799">
        <v>15</v>
      </c>
      <c r="J36" s="2799">
        <v>76.3</v>
      </c>
      <c r="K36" s="2799">
        <f t="shared" ref="K36:K41" si="3">J36-J35</f>
        <v>9.2999999999999972</v>
      </c>
      <c r="L36" s="2799" t="s">
        <v>2568</v>
      </c>
      <c r="M36" s="2799" t="s">
        <v>2569</v>
      </c>
    </row>
    <row r="37" spans="1:13">
      <c r="A37" s="2781" t="s">
        <v>2541</v>
      </c>
      <c r="B37" s="2782"/>
      <c r="C37" s="2782"/>
      <c r="D37" s="2782"/>
      <c r="E37" s="2782"/>
      <c r="F37" s="2782"/>
      <c r="G37" s="2783"/>
      <c r="I37" s="2799">
        <v>20</v>
      </c>
      <c r="J37" s="2799">
        <v>83.6</v>
      </c>
      <c r="K37" s="2799">
        <f t="shared" si="3"/>
        <v>7.2999999999999972</v>
      </c>
      <c r="L37" s="2799" t="s">
        <v>2567</v>
      </c>
      <c r="M37" s="2799">
        <v>10</v>
      </c>
    </row>
    <row r="38" spans="1:13">
      <c r="A38" s="2781" t="s">
        <v>2542</v>
      </c>
      <c r="B38" s="2782"/>
      <c r="C38" s="2782"/>
      <c r="D38" s="2782"/>
      <c r="E38" s="2782"/>
      <c r="F38" s="2782"/>
      <c r="G38" s="2783"/>
      <c r="I38" s="2799">
        <v>25</v>
      </c>
      <c r="J38" s="2799">
        <v>89.3</v>
      </c>
      <c r="K38" s="2799">
        <f t="shared" si="3"/>
        <v>5.7000000000000028</v>
      </c>
      <c r="L38" s="2799" t="s">
        <v>2571</v>
      </c>
      <c r="M38" s="2799">
        <v>8</v>
      </c>
    </row>
    <row r="39" spans="1:13">
      <c r="A39" s="2781"/>
      <c r="B39" s="2782"/>
      <c r="C39" s="2782"/>
      <c r="D39" s="2782"/>
      <c r="E39" s="2782"/>
      <c r="F39" s="2782"/>
      <c r="G39" s="2783"/>
      <c r="I39" s="2799">
        <v>30</v>
      </c>
      <c r="J39" s="2799">
        <v>93.8</v>
      </c>
      <c r="K39" s="2799">
        <f t="shared" si="3"/>
        <v>4.5</v>
      </c>
      <c r="L39" s="2799" t="s">
        <v>2572</v>
      </c>
      <c r="M39" s="2799">
        <v>6</v>
      </c>
    </row>
    <row r="40" spans="1:13">
      <c r="A40" s="2784" t="s">
        <v>2543</v>
      </c>
      <c r="B40" s="2785"/>
      <c r="C40" s="2785"/>
      <c r="D40" s="2785"/>
      <c r="E40" s="2785"/>
      <c r="F40" s="2785"/>
      <c r="G40" s="2786"/>
      <c r="I40" s="2799">
        <v>35</v>
      </c>
      <c r="J40" s="2799">
        <v>97.2</v>
      </c>
      <c r="K40" s="2799">
        <f t="shared" si="3"/>
        <v>3.4000000000000057</v>
      </c>
      <c r="L40" s="2799" t="s">
        <v>2573</v>
      </c>
      <c r="M40" s="2799">
        <v>3</v>
      </c>
    </row>
    <row r="41" spans="1:13">
      <c r="A41" s="2787" t="s">
        <v>2544</v>
      </c>
      <c r="B41" s="2788" t="s">
        <v>2545</v>
      </c>
      <c r="C41" s="2789" t="s">
        <v>2546</v>
      </c>
      <c r="D41" s="2789" t="s">
        <v>2547</v>
      </c>
      <c r="E41" s="2790"/>
      <c r="F41" s="2791"/>
      <c r="G41" s="2792"/>
      <c r="I41" s="2799">
        <v>40</v>
      </c>
      <c r="J41" s="2799">
        <v>100</v>
      </c>
      <c r="K41" s="2799">
        <f t="shared" si="3"/>
        <v>2.7999999999999972</v>
      </c>
    </row>
    <row r="42" spans="1:13">
      <c r="A42" s="2787" t="s">
        <v>2548</v>
      </c>
      <c r="B42" s="2788" t="s">
        <v>2549</v>
      </c>
      <c r="C42" s="2789" t="s">
        <v>2550</v>
      </c>
      <c r="D42" s="2793" t="s">
        <v>2551</v>
      </c>
      <c r="E42" s="2785" t="s">
        <v>2552</v>
      </c>
      <c r="F42" s="2785"/>
      <c r="G42" s="2786"/>
    </row>
    <row r="43" spans="1:13">
      <c r="A43" s="2787" t="s">
        <v>2553</v>
      </c>
      <c r="B43" s="2788" t="s">
        <v>2554</v>
      </c>
      <c r="C43" s="2789" t="s">
        <v>2555</v>
      </c>
      <c r="D43" s="2789" t="s">
        <v>2556</v>
      </c>
      <c r="E43" s="2790" t="s">
        <v>2557</v>
      </c>
      <c r="F43" s="2791"/>
      <c r="G43" s="2792"/>
      <c r="I43" s="2799" t="s">
        <v>2565</v>
      </c>
      <c r="J43" s="2799" t="s">
        <v>2576</v>
      </c>
    </row>
    <row r="44" spans="1:13">
      <c r="A44" s="2787" t="s">
        <v>2558</v>
      </c>
      <c r="B44" s="2788" t="s">
        <v>2559</v>
      </c>
      <c r="C44" s="2789" t="s">
        <v>2560</v>
      </c>
      <c r="D44" s="2793">
        <v>0.5</v>
      </c>
      <c r="E44" s="2790" t="s">
        <v>2561</v>
      </c>
      <c r="F44" s="2791"/>
      <c r="G44" s="2792"/>
      <c r="I44" s="2799">
        <v>30</v>
      </c>
      <c r="J44" s="2799">
        <v>81.7</v>
      </c>
    </row>
    <row r="45" spans="1:13" ht="14.25" thickBot="1">
      <c r="A45" s="2794" t="s">
        <v>2562</v>
      </c>
      <c r="B45" s="2795" t="s">
        <v>2549</v>
      </c>
      <c r="C45" s="2796" t="s">
        <v>2549</v>
      </c>
      <c r="D45" s="2796" t="s">
        <v>2563</v>
      </c>
      <c r="E45" s="2797" t="s">
        <v>2564</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98" t="str">
        <f>IF(B10="北京市","北京市",C10)&amp;F10&amp;IF(结果表!G1="在建","出让国有建设用地使用权及在建建筑物",IF(结果表!G1="土地","出让国有建设用地使用权",))&amp;B9&amp;"预评估"</f>
        <v>北京市房地产市场价值预评估</v>
      </c>
      <c r="C1" s="3299"/>
      <c r="D1" s="3299"/>
      <c r="E1" s="3299"/>
      <c r="F1" s="3299"/>
      <c r="G1" s="3299"/>
      <c r="H1" s="3299"/>
      <c r="I1" s="330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45254</v>
      </c>
      <c r="C3" s="2186" t="s">
        <v>2171</v>
      </c>
      <c r="D3" s="2185">
        <f>B3</f>
        <v>45254</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3610</v>
      </c>
      <c r="C8" s="2201"/>
      <c r="D8" s="3301" t="s">
        <v>2177</v>
      </c>
      <c r="E8" s="2202"/>
      <c r="F8" s="2203"/>
      <c r="G8" s="2441"/>
      <c r="H8" s="2441"/>
      <c r="I8" s="2441"/>
      <c r="J8" s="2245"/>
      <c r="K8" s="2399"/>
      <c r="L8" s="2398"/>
      <c r="M8" s="2398"/>
      <c r="N8" s="2245"/>
      <c r="O8" s="1670"/>
      <c r="P8" s="2245"/>
      <c r="Q8" s="2245"/>
      <c r="R8" s="2245"/>
    </row>
    <row r="9" spans="1:30" ht="13.5" thickBot="1">
      <c r="A9" s="2204" t="s">
        <v>2178</v>
      </c>
      <c r="B9" s="2205" t="s">
        <v>3611</v>
      </c>
      <c r="C9" s="2206"/>
      <c r="D9" s="3302"/>
      <c r="E9" s="2205"/>
      <c r="F9" s="2207"/>
      <c r="G9" s="2442"/>
      <c r="H9" s="2442"/>
      <c r="I9" s="2442"/>
      <c r="J9" s="2245"/>
      <c r="K9" s="2401"/>
      <c r="L9" s="2398"/>
      <c r="M9" s="2398"/>
      <c r="N9" s="2245"/>
      <c r="O9" s="1670"/>
      <c r="P9" s="2245"/>
      <c r="Q9" s="2245"/>
      <c r="R9" s="2245"/>
    </row>
    <row r="10" spans="1:30" ht="13.5" thickTop="1">
      <c r="A10" s="2208" t="s">
        <v>2179</v>
      </c>
      <c r="B10" s="2209" t="s">
        <v>3609</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3608</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2577</v>
      </c>
      <c r="J12" s="2802"/>
      <c r="K12" s="2398"/>
      <c r="L12" s="2398"/>
      <c r="M12" s="2245"/>
      <c r="N12" s="1670"/>
      <c r="O12" s="2245"/>
      <c r="P12" s="2245"/>
      <c r="Q12" s="2245"/>
      <c r="AD12" s="1618"/>
    </row>
    <row r="13" spans="1:30">
      <c r="A13" s="3121" t="s">
        <v>3333</v>
      </c>
      <c r="B13" s="2218" t="s">
        <v>2190</v>
      </c>
      <c r="C13" s="803"/>
      <c r="D13" s="803">
        <v>53689</v>
      </c>
      <c r="E13" s="803">
        <v>57342</v>
      </c>
      <c r="F13" s="803"/>
      <c r="G13" s="803">
        <v>57342</v>
      </c>
      <c r="H13" s="803"/>
      <c r="I13" s="803"/>
      <c r="J13" s="2802"/>
      <c r="K13" s="2398"/>
      <c r="L13" s="2398"/>
      <c r="M13" s="2245"/>
      <c r="N13" s="1670"/>
      <c r="O13" s="2245"/>
      <c r="P13" s="2245"/>
      <c r="Q13" s="2245"/>
      <c r="AD13" s="1618"/>
    </row>
    <row r="14" spans="1:30">
      <c r="A14" s="1018"/>
      <c r="B14" s="2218" t="s">
        <v>2191</v>
      </c>
      <c r="C14" s="2219"/>
      <c r="D14" s="2219">
        <v>40</v>
      </c>
      <c r="E14" s="2219">
        <v>50</v>
      </c>
      <c r="F14" s="2219"/>
      <c r="G14" s="2219">
        <v>50</v>
      </c>
      <c r="H14" s="2219"/>
      <c r="I14" s="2219"/>
      <c r="J14" s="2803"/>
      <c r="K14" s="2398"/>
      <c r="L14" s="2398"/>
      <c r="M14" s="2245"/>
      <c r="N14" s="1670"/>
      <c r="O14" s="2245"/>
      <c r="P14" s="2245"/>
      <c r="Q14" s="2245"/>
      <c r="AD14" s="1618"/>
    </row>
    <row r="15" spans="1:30">
      <c r="A15" s="312"/>
      <c r="B15" s="2220" t="s">
        <v>2192</v>
      </c>
      <c r="C15" s="2221" t="str">
        <f>IF(A13="出让",IF(C13="","",ROUNDDOWN(MIN((C13-$D$3)/365,C14),2)),C14)</f>
        <v/>
      </c>
      <c r="D15" s="2221">
        <f>IF(A13="出让",IF(D13="","",ROUNDDOWN(MIN((D13-$D$3)/365,D14),2)),D14)</f>
        <v>23.1</v>
      </c>
      <c r="E15" s="2221">
        <f>IF(A13="出让",IF(E13="","",ROUNDDOWN(MIN((E13-$D$3)/365,E14),2)),E14)</f>
        <v>33.11</v>
      </c>
      <c r="F15" s="2221" t="str">
        <f>IF(A13="出让",IF(F13="","",ROUNDDOWN(MIN((F13-$D$3)/365,F14),2)),F14)</f>
        <v/>
      </c>
      <c r="G15" s="2221">
        <f>IF(A13="出让",IF(G13="","",ROUNDDOWN(MIN((G13-$D$3)/365,G14),2)),G14)</f>
        <v>33.11</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308"/>
      <c r="C16" s="3309"/>
      <c r="D16" s="3310"/>
      <c r="E16" s="2222" t="s">
        <v>2194</v>
      </c>
      <c r="F16" s="3311"/>
      <c r="G16" s="3312"/>
      <c r="H16" s="3312"/>
      <c r="I16" s="3313"/>
      <c r="J16" s="2245"/>
      <c r="K16" s="2402"/>
      <c r="L16" s="1670"/>
      <c r="M16" s="1670"/>
      <c r="N16" s="2245"/>
      <c r="O16" s="1670"/>
      <c r="P16" s="2245"/>
      <c r="Q16" s="2245"/>
      <c r="R16" s="2245"/>
    </row>
    <row r="17" spans="1:28">
      <c r="A17" s="305" t="s">
        <v>2195</v>
      </c>
      <c r="B17" s="294" t="s">
        <v>2196</v>
      </c>
      <c r="C17" s="8">
        <f>'数据-汇总表'!E3</f>
        <v>278.87</v>
      </c>
      <c r="D17" s="1256" t="s">
        <v>2197</v>
      </c>
      <c r="E17" s="3314" t="s">
        <v>2198</v>
      </c>
      <c r="F17" s="3315"/>
      <c r="G17" s="3315"/>
      <c r="H17" s="3315"/>
      <c r="I17" s="3316"/>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17" t="s">
        <v>2202</v>
      </c>
      <c r="F18" s="3318"/>
      <c r="G18" s="3318"/>
      <c r="H18" s="3318"/>
      <c r="I18" s="3319"/>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04" t="s">
        <v>2206</v>
      </c>
      <c r="C20" s="3305"/>
      <c r="D20" s="3306" t="s">
        <v>2207</v>
      </c>
      <c r="E20" s="3307"/>
      <c r="F20" s="2429" t="s">
        <v>1056</v>
      </c>
      <c r="G20" s="2441"/>
      <c r="H20" s="2441"/>
      <c r="I20" s="2441"/>
      <c r="J20" s="2245"/>
      <c r="K20" s="330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0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0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321"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321"/>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321"/>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22"/>
      <c r="B30" s="294" t="s">
        <v>2218</v>
      </c>
      <c r="C30" s="3323"/>
      <c r="D30" s="3324"/>
      <c r="E30" s="2441"/>
      <c r="F30" s="2441"/>
      <c r="G30" s="2441"/>
      <c r="H30" s="2441"/>
      <c r="I30" s="2441"/>
      <c r="J30" s="2245"/>
      <c r="K30" s="2401"/>
      <c r="L30" s="2398"/>
      <c r="M30" s="2398"/>
      <c r="N30" s="2245"/>
      <c r="O30" s="1670"/>
      <c r="P30" s="2245"/>
      <c r="Q30" s="2245"/>
      <c r="R30" s="2245"/>
      <c r="S30" s="2245"/>
      <c r="T30" s="2245"/>
      <c r="U30" s="2245"/>
      <c r="V30" s="2245"/>
    </row>
    <row r="31" spans="1:28">
      <c r="A31" s="3325"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26"/>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26"/>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320" t="s">
        <v>2228</v>
      </c>
      <c r="T34" s="315" t="str">
        <f>NUMBERSTRING(7-K34,1)&amp;"通"</f>
        <v>七通</v>
      </c>
      <c r="U34" s="2245"/>
      <c r="V34" s="2245"/>
    </row>
    <row r="35" spans="1:30">
      <c r="A35" s="2236"/>
      <c r="B35" s="3320" t="s">
        <v>2229</v>
      </c>
      <c r="C35" s="3320"/>
      <c r="D35" s="3320"/>
      <c r="E35" s="3320"/>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20"/>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2580</v>
      </c>
      <c r="G36" s="2441"/>
      <c r="H36" s="2441"/>
      <c r="I36" s="2441"/>
      <c r="J36" s="2245"/>
      <c r="K36" s="2401"/>
      <c r="L36" s="2398"/>
      <c r="M36" s="2398"/>
      <c r="N36" s="2245"/>
      <c r="O36" s="1670"/>
      <c r="P36" s="2245"/>
      <c r="Q36" s="2245"/>
      <c r="R36" s="2245"/>
      <c r="S36" s="2245"/>
      <c r="T36" s="2245"/>
      <c r="U36" s="2245"/>
      <c r="V36" s="2245"/>
    </row>
    <row r="37" spans="1:30">
      <c r="A37" s="2414" t="s">
        <v>2230</v>
      </c>
      <c r="B37" s="2237" t="s">
        <v>296</v>
      </c>
      <c r="C37" s="2237" t="s">
        <v>296</v>
      </c>
      <c r="D37" s="2237"/>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t="s">
        <v>245</v>
      </c>
      <c r="C38" s="2238" t="s">
        <v>231</v>
      </c>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278.87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278.87</v>
      </c>
      <c r="H5" s="13">
        <f t="shared" ref="H5:AT5" si="0">SUM(H13:H656)</f>
        <v>278.87</v>
      </c>
      <c r="I5" s="13">
        <f t="shared" si="0"/>
        <v>146.99</v>
      </c>
      <c r="J5" s="13">
        <f t="shared" si="0"/>
        <v>0</v>
      </c>
      <c r="K5" s="13">
        <f t="shared" si="0"/>
        <v>131.88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278.87</v>
      </c>
      <c r="BA5" s="15">
        <f t="shared" si="1"/>
        <v>278.87</v>
      </c>
      <c r="BB5" s="15">
        <f t="shared" si="1"/>
        <v>146.99</v>
      </c>
      <c r="BC5" s="15">
        <f t="shared" si="1"/>
        <v>131.88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3662</v>
      </c>
      <c r="J9" s="761"/>
      <c r="K9" s="1491" t="s">
        <v>3663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3335</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仓储</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3661</v>
      </c>
      <c r="E13" s="13">
        <f>IF($C$3="是",ROUND($A$3*G13/$B$3,2),ROUND($A$3*(G13-AT13)/$B$3,2))</f>
        <v>0</v>
      </c>
      <c r="F13" s="29"/>
      <c r="G13" s="30">
        <f>H13+AC13+AT13</f>
        <v>278.87</v>
      </c>
      <c r="H13" s="17">
        <f>SUMIF(I$12:AB$12,"总值",I13:AB13)</f>
        <v>278.87</v>
      </c>
      <c r="I13" s="1514">
        <f>首城国际结果表!H2</f>
        <v>146.99</v>
      </c>
      <c r="J13" s="1514"/>
      <c r="K13" s="1514">
        <f>首城国际结果表!H39</f>
        <v>131.88</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278.87</v>
      </c>
      <c r="BA13" s="13">
        <f>SUM(BB13:BK13)</f>
        <v>278.87</v>
      </c>
      <c r="BB13" s="13">
        <f>IF($D13="是",I13-J13,0)</f>
        <v>146.99</v>
      </c>
      <c r="BC13" s="13">
        <f>IF($D13="是",K13-L13,0)</f>
        <v>131.88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36" t="s">
        <v>1131</v>
      </c>
      <c r="B2" s="3336"/>
      <c r="C2" s="3336"/>
      <c r="D2" s="748" t="s">
        <v>1107</v>
      </c>
      <c r="E2" s="1523" t="s">
        <v>1108</v>
      </c>
      <c r="F2" s="2438"/>
      <c r="G2" s="2431"/>
      <c r="H2" s="2432"/>
      <c r="I2" s="2146" t="s">
        <v>1132</v>
      </c>
      <c r="J2" s="2438"/>
      <c r="K2" s="2438"/>
      <c r="L2" s="2438"/>
      <c r="M2" s="2438"/>
      <c r="N2" s="2439"/>
      <c r="O2" s="2438"/>
      <c r="P2" s="2438"/>
    </row>
    <row r="3" spans="1:16" ht="15.75" thickBot="1">
      <c r="A3" s="3337" t="s">
        <v>1105</v>
      </c>
      <c r="B3" s="3337"/>
      <c r="C3" s="3337"/>
      <c r="D3" s="41">
        <f>'数据-基础表'!AY6</f>
        <v>0</v>
      </c>
      <c r="E3" s="41">
        <f>'数据-基础表'!AZ5</f>
        <v>278.87</v>
      </c>
      <c r="F3" s="2438"/>
      <c r="G3" s="42"/>
      <c r="H3" s="43" t="s">
        <v>1106</v>
      </c>
      <c r="I3" s="802" t="e">
        <f>ROUND('数据-基础表'!B3/'数据-基础表'!A3,2)</f>
        <v>#DIV/0!</v>
      </c>
      <c r="J3" s="2438"/>
      <c r="K3" s="2438"/>
      <c r="L3" s="2438"/>
      <c r="M3" s="2438"/>
      <c r="N3" s="2439"/>
      <c r="O3" s="2438"/>
      <c r="P3" s="2438"/>
    </row>
    <row r="4" spans="1:16" ht="15">
      <c r="A4" s="3338"/>
      <c r="B4" s="3339"/>
      <c r="C4" s="334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41" t="s">
        <v>1110</v>
      </c>
      <c r="C5" s="334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41" t="s">
        <v>1111</v>
      </c>
      <c r="C6" s="3341"/>
      <c r="D6" s="43">
        <f>ROUND($D$3*E6/$E$3,2)</f>
        <v>0</v>
      </c>
      <c r="E6" s="44">
        <f>E3-E5</f>
        <v>278.87</v>
      </c>
      <c r="F6" s="2438"/>
      <c r="G6" s="1529" t="s">
        <v>1112</v>
      </c>
      <c r="H6" s="45" t="s">
        <v>1113</v>
      </c>
      <c r="I6" s="2434" t="e">
        <f>ROUND(F31/D31,2)</f>
        <v>#DIV/0!</v>
      </c>
      <c r="J6" s="2438"/>
      <c r="K6" s="2438"/>
      <c r="L6" s="2438"/>
      <c r="M6" s="2438"/>
      <c r="N6" s="2438"/>
      <c r="O6" s="2438"/>
      <c r="P6" s="2438"/>
    </row>
    <row r="7" spans="1:16" ht="15.75" thickBot="1">
      <c r="A7" s="3333"/>
      <c r="B7" s="3334"/>
      <c r="C7" s="3335"/>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146.99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131.88</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278.87</v>
      </c>
      <c r="F16" s="2438"/>
      <c r="G16" s="2438"/>
      <c r="H16" s="1531" t="s">
        <v>1135</v>
      </c>
      <c r="I16" s="1532"/>
      <c r="J16" s="1071"/>
      <c r="K16" s="3330" t="s">
        <v>1135</v>
      </c>
      <c r="L16" s="3331"/>
      <c r="M16" s="3331"/>
      <c r="N16" s="3331"/>
      <c r="O16" s="3331"/>
      <c r="P16" s="3332"/>
    </row>
    <row r="17" spans="1:19" ht="15">
      <c r="A17" s="1533" t="s">
        <v>1136</v>
      </c>
      <c r="B17" s="1534" t="s">
        <v>1137</v>
      </c>
      <c r="C17" s="1535" t="s">
        <v>1138</v>
      </c>
      <c r="D17" s="1536" t="s">
        <v>1126</v>
      </c>
      <c r="E17" s="1537" t="s">
        <v>1127</v>
      </c>
      <c r="F17" s="1538"/>
      <c r="G17" s="1539"/>
      <c r="H17" s="1540" t="s">
        <v>1139</v>
      </c>
      <c r="I17" s="1541" t="s">
        <v>1124</v>
      </c>
      <c r="J17" s="1071"/>
      <c r="K17" s="3327" t="s">
        <v>1140</v>
      </c>
      <c r="L17" s="3328"/>
      <c r="M17" s="3329"/>
      <c r="N17" s="3327" t="s">
        <v>1141</v>
      </c>
      <c r="O17" s="3328"/>
      <c r="P17" s="332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3664</v>
      </c>
      <c r="D19" s="43">
        <f>ROUND($D$3*E19/$E$3,2)</f>
        <v>0</v>
      </c>
      <c r="E19" s="51">
        <f t="shared" ref="E19:E26" si="1">SUM(F19:G19)</f>
        <v>146.99</v>
      </c>
      <c r="F19" s="2557">
        <f>'数据-基础表'!I13</f>
        <v>146.99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146.99</v>
      </c>
    </row>
    <row r="20" spans="1:19">
      <c r="A20" s="1549"/>
      <c r="B20" s="45" t="s">
        <v>1153</v>
      </c>
      <c r="C20" s="3115" t="s">
        <v>3666</v>
      </c>
      <c r="D20" s="43">
        <f t="shared" ref="D20:D26" si="6">ROUND($D$3*E20/$E$3,2)</f>
        <v>0</v>
      </c>
      <c r="E20" s="51">
        <f t="shared" si="1"/>
        <v>131.88</v>
      </c>
      <c r="F20" s="2557"/>
      <c r="G20" s="1243">
        <f>'数据-基础表'!K13</f>
        <v>131.88</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131.88</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278.87</v>
      </c>
      <c r="F27" s="1072">
        <f>IF(SUM(F19:F26)=E8,SUM(F19:F26),"地上面积有误")</f>
        <v>146.99</v>
      </c>
      <c r="G27" s="1074">
        <f>SUM(G19:G26)</f>
        <v>131.88</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278.87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278.87</v>
      </c>
      <c r="F31" s="644">
        <f>F27+F30</f>
        <v>146.99</v>
      </c>
      <c r="G31" s="645">
        <f>G27+G30</f>
        <v>131.88</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2" zoomScaleNormal="82" zoomScaleSheetLayoutView="90" workbookViewId="0">
      <pane xSplit="3" ySplit="5" topLeftCell="J6" activePane="bottomRight" state="frozen"/>
      <selection activeCell="C50" sqref="C50"/>
      <selection pane="topRight" activeCell="C50" sqref="C50"/>
      <selection pane="bottomLeft" activeCell="C50" sqref="C50"/>
      <selection pane="bottomRight" activeCell="L8" sqref="L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45254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3672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53689</v>
      </c>
      <c r="F6" s="61">
        <f>SUMIF(项目基本情况!C$12:I$12,C6,项目基本情况!C$15:I$15)</f>
        <v>23.1</v>
      </c>
      <c r="G6" s="62">
        <f>IF(ISERROR(ROUND(POWER(1+H6,D6-F6)*(POWER(1+H6,F6)-1)/(POWER(1+H6,D6)-1),3)),0,ROUND(POWER(1+H6,D6-F6)*(POWER(1+H6,F6)-1)/(POWER(1+H6,D6)-1),3))</f>
        <v>0.80400000000000005</v>
      </c>
      <c r="H6" s="691">
        <v>5.5E-2</v>
      </c>
      <c r="I6" s="691">
        <v>0.06</v>
      </c>
      <c r="J6" s="63">
        <v>6.5000000000000002E-2</v>
      </c>
      <c r="K6" s="970">
        <f>SUMIF('数据-汇总表'!C$19:C$33,A6,'数据-汇总表'!E$19:E$33)</f>
        <v>146.99</v>
      </c>
      <c r="L6" s="692">
        <v>3500</v>
      </c>
      <c r="M6" s="64">
        <f t="shared" ref="M6:M14" si="0">ROUND(K6*L6/10000,0)</f>
        <v>51</v>
      </c>
      <c r="N6" s="690">
        <f>N20</f>
        <v>0.8</v>
      </c>
      <c r="O6" s="64" t="str">
        <f>IF($N$5="成新度","——",ROUND(M6*N6,0))</f>
        <v>——</v>
      </c>
      <c r="P6" s="65" t="str">
        <f>IF($N$5="成新度","——",M6-O6)</f>
        <v>——</v>
      </c>
      <c r="Q6" s="693">
        <v>0.25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v>365</v>
      </c>
      <c r="AJ6" s="74"/>
      <c r="AK6" s="75">
        <v>0.01</v>
      </c>
      <c r="AL6" s="76">
        <v>1E-3</v>
      </c>
      <c r="AM6" s="77">
        <v>0.01</v>
      </c>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库房</v>
      </c>
      <c r="B7" s="1587" t="str">
        <f t="shared" ref="B7:B13" si="1">IF(A7=0,"","经营性")</f>
        <v>经营性</v>
      </c>
      <c r="C7" s="1588" t="s">
        <v>3335</v>
      </c>
      <c r="D7" s="805">
        <f>SUMIF(项目基本情况!C$12:I$12,C7,项目基本情况!C$14:I$14)</f>
        <v>50</v>
      </c>
      <c r="E7" s="804">
        <f>IF(B7="","",SUMIF(项目基本情况!C$12:I$12,C7,项目基本情况!C$13:I$13))</f>
        <v>57342</v>
      </c>
      <c r="F7" s="61">
        <f>SUMIF(项目基本情况!C$12:I$12,C7,项目基本情况!C$15:I$15)</f>
        <v>33.11</v>
      </c>
      <c r="G7" s="62">
        <f t="shared" ref="G7:G11" si="2">IF(ISERROR(ROUND(POWER(1+H7,D7-F7)*(POWER(1+H7,F7)-1)/(POWER(1+H7,D7)-1),3)),0,ROUND(POWER(1+H7,D7-F7)*(POWER(1+H7,F7)-1)/(POWER(1+H7,D7)-1),3))</f>
        <v>0.86299999999999999</v>
      </c>
      <c r="H7" s="691">
        <v>4.4999999999999998E-2</v>
      </c>
      <c r="I7" s="691">
        <v>0.05</v>
      </c>
      <c r="J7" s="63">
        <v>0.06</v>
      </c>
      <c r="K7" s="970">
        <f>SUMIF('数据-汇总表'!C$19:C$33,A7,'数据-汇总表'!E$19:E$33)</f>
        <v>131.88</v>
      </c>
      <c r="L7" s="692">
        <v>3000</v>
      </c>
      <c r="M7" s="64">
        <f t="shared" si="0"/>
        <v>40</v>
      </c>
      <c r="N7" s="690">
        <f>N20</f>
        <v>0.8</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v>365</v>
      </c>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0.83199999999999996</v>
      </c>
      <c r="H16" s="84">
        <f>ROUND(SUMPRODUCT(H6:H13,K6:K13)/SUMPRODUCT((H6:H13&gt;0)*(K6:K13)),3)</f>
        <v>0.05</v>
      </c>
      <c r="I16" s="85"/>
      <c r="J16" s="85"/>
      <c r="K16" s="86">
        <f>SUM(K6:K15)</f>
        <v>278.87</v>
      </c>
      <c r="L16" s="87">
        <f>ROUND(M16*10000/SUM(K6:K14),0)</f>
        <v>3263</v>
      </c>
      <c r="M16" s="87">
        <f>SUM(M6:M14)</f>
        <v>91</v>
      </c>
      <c r="N16" s="88">
        <f>ROUND(SUMPRODUCT(M6:M14,N6:N14)/M16,3)</f>
        <v>0.8</v>
      </c>
      <c r="O16" s="87">
        <f>SUM(O6:O14)</f>
        <v>0</v>
      </c>
      <c r="P16" s="87">
        <f>SUM(P6:P14)</f>
        <v>0</v>
      </c>
      <c r="Q16" s="89">
        <f>ROUND(SUMPRODUCT(Q6:Q13,K6:K13)/SUMPRODUCT((Q6:Q13&gt;0)*(K6:K13)),2)</f>
        <v>0.18</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2302</v>
      </c>
      <c r="D19" s="2451"/>
      <c r="E19" s="2438"/>
      <c r="F19" s="2438"/>
      <c r="G19" s="2438"/>
      <c r="H19" s="2438"/>
      <c r="I19" s="2438"/>
      <c r="J19" s="2438"/>
      <c r="K19" s="2449"/>
      <c r="L19" s="2449"/>
      <c r="M19" s="2448"/>
      <c r="N19" s="2448">
        <v>2011</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2300</v>
      </c>
      <c r="D20" s="2451"/>
      <c r="E20" s="2438"/>
      <c r="F20" s="2438"/>
      <c r="G20" s="2438"/>
      <c r="H20" s="2438"/>
      <c r="I20" s="2438"/>
      <c r="J20" s="2438"/>
      <c r="K20" s="2449"/>
      <c r="L20" s="2449"/>
      <c r="M20" s="2448"/>
      <c r="N20" s="2448">
        <f>1-(2023-N19)/60</f>
        <v>0.8</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2291</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2292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2293</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2295</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2296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2296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2311</v>
      </c>
      <c r="B40" s="1015">
        <f ca="1">IF(A40="利息：取LPR",存贷款利率!G1,存贷款利率!G1+C40)</f>
        <v>3.4500000000000003E-2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42" t="s">
        <v>2283</v>
      </c>
      <c r="B1" s="3343"/>
      <c r="C1" s="3343"/>
      <c r="D1" s="3343"/>
      <c r="E1" s="3343"/>
      <c r="F1" s="3343"/>
      <c r="G1" s="334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48">
      <c r="A3" s="2247" t="s">
        <v>2280</v>
      </c>
      <c r="B3" s="2264" t="s">
        <v>2252</v>
      </c>
      <c r="C3" s="2265" t="s">
        <v>2281</v>
      </c>
      <c r="D3" s="2266"/>
      <c r="E3" s="2248" t="s">
        <v>2280</v>
      </c>
      <c r="F3" s="2267" t="s">
        <v>2253</v>
      </c>
      <c r="G3" s="2268" t="s">
        <v>2282</v>
      </c>
      <c r="H3" s="751"/>
      <c r="I3" s="751"/>
      <c r="J3" s="751"/>
      <c r="K3" s="751"/>
      <c r="L3" s="751"/>
      <c r="M3" s="751"/>
      <c r="N3" s="751"/>
      <c r="O3" s="751"/>
      <c r="P3" s="751"/>
      <c r="Q3" s="751"/>
    </row>
    <row r="4" spans="1:29" ht="36">
      <c r="A4" s="2248"/>
      <c r="B4" s="315" t="s">
        <v>2254</v>
      </c>
      <c r="C4" s="3250" t="s">
        <v>3707</v>
      </c>
      <c r="D4" s="2266"/>
      <c r="E4" s="2269"/>
      <c r="F4" s="1281" t="s">
        <v>2255</v>
      </c>
      <c r="G4" s="2270" t="s">
        <v>2256</v>
      </c>
      <c r="H4" s="751"/>
      <c r="I4" s="751"/>
      <c r="J4" s="751"/>
      <c r="K4" s="751"/>
      <c r="L4" s="751"/>
      <c r="M4" s="751"/>
      <c r="N4" s="751"/>
      <c r="O4" s="751"/>
      <c r="P4" s="751"/>
      <c r="Q4" s="751"/>
    </row>
    <row r="5" spans="1:29" ht="36">
      <c r="A5" s="2248"/>
      <c r="B5" s="315" t="s">
        <v>2257</v>
      </c>
      <c r="C5" s="3250" t="s">
        <v>3723</v>
      </c>
      <c r="D5" s="2266"/>
      <c r="E5" s="2269"/>
      <c r="F5" s="315" t="s">
        <v>2258</v>
      </c>
      <c r="G5" s="2270" t="s">
        <v>2259</v>
      </c>
      <c r="H5" s="751"/>
      <c r="I5" s="751"/>
      <c r="J5" s="751"/>
      <c r="K5" s="751"/>
      <c r="L5" s="751"/>
      <c r="M5" s="751"/>
      <c r="N5" s="751"/>
      <c r="O5" s="751"/>
      <c r="P5" s="751"/>
      <c r="Q5" s="751"/>
    </row>
    <row r="6" spans="1:29" ht="72">
      <c r="A6" s="2248"/>
      <c r="B6" s="315" t="s">
        <v>2260</v>
      </c>
      <c r="C6" s="3251" t="s">
        <v>3708</v>
      </c>
      <c r="D6" s="2266"/>
      <c r="E6" s="2269"/>
      <c r="F6" s="315" t="s">
        <v>2261</v>
      </c>
      <c r="G6" s="2270" t="s">
        <v>2262</v>
      </c>
      <c r="H6" s="751"/>
      <c r="I6" s="751"/>
      <c r="J6" s="751"/>
      <c r="K6" s="751"/>
      <c r="L6" s="751"/>
      <c r="M6" s="751"/>
      <c r="N6" s="751"/>
      <c r="O6" s="751"/>
      <c r="P6" s="751"/>
      <c r="Q6" s="751"/>
    </row>
    <row r="7" spans="1:29" ht="120.75" thickBot="1">
      <c r="A7" s="2248"/>
      <c r="B7" s="315" t="s">
        <v>2258</v>
      </c>
      <c r="C7" s="3251" t="s">
        <v>3710</v>
      </c>
      <c r="D7" s="2245"/>
      <c r="E7" s="2271"/>
      <c r="F7" s="2272" t="s">
        <v>2263</v>
      </c>
      <c r="G7" s="2273" t="s">
        <v>2264</v>
      </c>
      <c r="H7" s="751"/>
      <c r="I7" s="751"/>
      <c r="J7" s="751"/>
      <c r="K7" s="751"/>
      <c r="L7" s="751"/>
      <c r="M7" s="751"/>
      <c r="N7" s="751"/>
      <c r="O7" s="751"/>
      <c r="P7" s="751"/>
      <c r="Q7" s="751"/>
    </row>
    <row r="8" spans="1:29" ht="24">
      <c r="A8" s="2248"/>
      <c r="B8" s="315" t="s">
        <v>2261</v>
      </c>
      <c r="C8" s="3251" t="s">
        <v>3711</v>
      </c>
      <c r="D8" s="2245"/>
      <c r="E8" s="2245"/>
      <c r="F8" s="121"/>
      <c r="G8" s="121"/>
      <c r="H8" s="751"/>
      <c r="I8" s="751"/>
      <c r="J8" s="751"/>
      <c r="K8" s="751"/>
      <c r="L8" s="751"/>
      <c r="M8" s="751"/>
      <c r="N8" s="751"/>
      <c r="O8" s="751"/>
      <c r="P8" s="751"/>
      <c r="Q8" s="751"/>
    </row>
    <row r="9" spans="1:29" ht="36">
      <c r="A9" s="2248"/>
      <c r="B9" s="315" t="s">
        <v>2265</v>
      </c>
      <c r="C9" s="3250" t="s">
        <v>3709</v>
      </c>
      <c r="D9" s="2266"/>
      <c r="E9" s="2245"/>
      <c r="F9" s="121"/>
      <c r="G9" s="121"/>
      <c r="H9" s="751"/>
      <c r="I9" s="751"/>
      <c r="J9" s="751"/>
      <c r="K9" s="751"/>
      <c r="L9" s="751"/>
      <c r="M9" s="751"/>
      <c r="N9" s="751"/>
      <c r="O9" s="751"/>
      <c r="P9" s="751"/>
      <c r="Q9" s="751"/>
    </row>
    <row r="10" spans="1:29" ht="15" thickBot="1">
      <c r="A10" s="2249"/>
      <c r="B10" s="2274" t="s">
        <v>2266</v>
      </c>
      <c r="C10" s="2275"/>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2284</v>
      </c>
      <c r="B13" s="2279"/>
      <c r="C13" s="2279"/>
      <c r="D13" s="2278"/>
      <c r="E13" s="2279"/>
      <c r="F13" s="2279"/>
      <c r="G13" s="2279"/>
    </row>
    <row r="14" spans="1:29" ht="15" thickBot="1">
      <c r="A14" s="2284"/>
      <c r="B14" s="2284"/>
      <c r="C14" s="2285" t="s">
        <v>2267</v>
      </c>
      <c r="D14" s="2266"/>
      <c r="E14" s="2286"/>
      <c r="F14" s="2286"/>
      <c r="G14" s="2262" t="s">
        <v>2268</v>
      </c>
    </row>
    <row r="15" spans="1:29" ht="51">
      <c r="A15" s="2250" t="s">
        <v>2269</v>
      </c>
      <c r="B15" s="2287" t="s">
        <v>2252</v>
      </c>
      <c r="C15" s="2288" t="str">
        <f>C3</f>
        <v>估价对象周边居住用地比例、居住小区规模和社区发展完善程度，综合评价居住社区成熟度一般</v>
      </c>
      <c r="D15" s="2266"/>
      <c r="E15" s="2251" t="s">
        <v>2270</v>
      </c>
      <c r="F15" s="2287" t="s">
        <v>2271</v>
      </c>
      <c r="G15" s="2289" t="str">
        <f>G3</f>
        <v>估价对象位于XX开发区，园区建设成熟度XX，产业集聚程度XX</v>
      </c>
    </row>
    <row r="16" spans="1:29" ht="38.25">
      <c r="A16" s="2252"/>
      <c r="B16" s="2290" t="s">
        <v>2254</v>
      </c>
      <c r="C16" s="2291" t="str">
        <f>C4</f>
        <v>估价对象周边多为住宅、办公配套商业，人流量较大，商业繁华度较好。</v>
      </c>
      <c r="D16" s="2266"/>
      <c r="E16" s="2253"/>
      <c r="F16" s="2292" t="s">
        <v>2255</v>
      </c>
      <c r="G16" s="2293" t="str">
        <f>G4</f>
        <v>估价对象周边道路状况、公共交通通达情况、停车便捷程度，综合评价交通便捷度较好</v>
      </c>
    </row>
    <row r="17" spans="1:17" ht="38.25">
      <c r="A17" s="2252"/>
      <c r="B17" s="2290" t="s">
        <v>2257</v>
      </c>
      <c r="C17" s="2291" t="str">
        <f>C5</f>
        <v>估价对象位于双井商圈，周边办公楼项目较少，办公集聚程度一般</v>
      </c>
      <c r="D17" s="2245"/>
      <c r="E17" s="2253"/>
      <c r="F17" s="2292" t="s">
        <v>2272</v>
      </c>
      <c r="G17" s="2294"/>
    </row>
    <row r="18" spans="1:17" ht="76.5">
      <c r="A18" s="2252"/>
      <c r="B18" s="2292" t="s">
        <v>2260</v>
      </c>
      <c r="C18" s="2293" t="str">
        <f>C6</f>
        <v>估价对象周边有专10路、23路、54路、91路、312路等多条公交线路，距离地铁7、10号线双井站约600米，周边道路网线较密集，通达度较好。综合评价交通便捷度较好。</v>
      </c>
      <c r="D18" s="2245"/>
      <c r="E18" s="2253"/>
      <c r="F18" s="2292" t="s">
        <v>2263</v>
      </c>
      <c r="G18" s="2293" t="str">
        <f>G7</f>
        <v>该园区内是否有污染型企业，绿化情况，卫生条件，整体环境状况判断</v>
      </c>
    </row>
    <row r="19" spans="1:17" ht="25.5">
      <c r="A19" s="2252"/>
      <c r="B19" s="2292" t="s">
        <v>2273</v>
      </c>
      <c r="C19" s="2294"/>
      <c r="D19" s="2266"/>
      <c r="E19" s="2253"/>
      <c r="F19" s="315" t="s">
        <v>2258</v>
      </c>
      <c r="G19" s="2293" t="str">
        <f>G5</f>
        <v>估价对象所在区域公共配套设施齐备情况</v>
      </c>
    </row>
    <row r="20" spans="1:17" ht="38.25">
      <c r="A20" s="2252"/>
      <c r="B20" s="2292" t="s">
        <v>2274</v>
      </c>
      <c r="C20" s="2291" t="str">
        <f>C9</f>
        <v>估价对象周边有九龙花园篮球场等自然人文场所，综合评价环境状况一般</v>
      </c>
      <c r="D20" s="2245"/>
      <c r="E20" s="2253"/>
      <c r="F20" s="315" t="s">
        <v>2261</v>
      </c>
      <c r="G20" s="2293" t="str">
        <f>G6</f>
        <v>估价对象所在区域基础设施水平</v>
      </c>
    </row>
    <row r="21" spans="1:17" ht="127.5">
      <c r="A21" s="2252"/>
      <c r="B21" s="315" t="s">
        <v>2258</v>
      </c>
      <c r="C21" s="2293" t="str">
        <f>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21" s="2266"/>
      <c r="E21" s="2253"/>
      <c r="F21" s="2292" t="s">
        <v>2275</v>
      </c>
      <c r="G21" s="2295"/>
    </row>
    <row r="22" spans="1:17" ht="13.5" customHeight="1">
      <c r="A22" s="2252"/>
      <c r="B22" s="315" t="s">
        <v>2261</v>
      </c>
      <c r="C22" s="2293" t="str">
        <f>C8</f>
        <v>估价对象所在区域基础设施水平-七通</v>
      </c>
      <c r="D22" s="2266"/>
      <c r="E22" s="2253"/>
      <c r="F22" s="2292" t="s">
        <v>2266</v>
      </c>
      <c r="G22" s="2294"/>
    </row>
    <row r="23" spans="1:17" s="751" customFormat="1" ht="15" thickBot="1">
      <c r="A23" s="2252"/>
      <c r="B23" s="2292" t="s">
        <v>2275</v>
      </c>
      <c r="C23" s="2295"/>
      <c r="D23" s="1614"/>
      <c r="E23" s="2254"/>
      <c r="F23" s="2296" t="s">
        <v>2276</v>
      </c>
      <c r="G23" s="2297"/>
      <c r="H23" s="2276"/>
      <c r="I23" s="2276"/>
      <c r="J23" s="2276"/>
      <c r="K23" s="2276"/>
      <c r="L23" s="2276"/>
      <c r="M23" s="2276"/>
      <c r="N23" s="2276"/>
      <c r="O23" s="2276"/>
      <c r="P23" s="2276"/>
      <c r="Q23" s="2276"/>
    </row>
    <row r="24" spans="1:17" s="751" customFormat="1" ht="15" thickBot="1">
      <c r="A24" s="2255"/>
      <c r="B24" s="2296" t="s">
        <v>2277</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79998168889431442"/>
  </sheetPr>
  <dimension ref="A1:K26"/>
  <sheetViews>
    <sheetView view="pageBreakPreview" zoomScale="80" zoomScaleNormal="80" zoomScaleSheetLayoutView="80" workbookViewId="0">
      <selection activeCell="G23" sqref="G23"/>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8784.7000000000007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45254</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25010</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 ca="1">IF(E10="",0,ROUND(B1*(E10*365/G10)/10000,0))</f>
        <v>25010</v>
      </c>
      <c r="C10" s="2299" t="s">
        <v>3357</v>
      </c>
      <c r="D10" s="2299" t="s">
        <v>3358</v>
      </c>
      <c r="E10" s="3136">
        <f ca="1">首城国际结果表!O54</f>
        <v>3.9</v>
      </c>
      <c r="F10" s="3140" t="s">
        <v>3359</v>
      </c>
      <c r="G10" s="3137">
        <v>0.05</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首城国际结果表!H54</f>
        <v>8784.7000000000007</v>
      </c>
      <c r="C14" s="2305"/>
      <c r="D14" s="2305">
        <f ca="1">B10</f>
        <v>25010</v>
      </c>
      <c r="E14" s="2305">
        <f ca="1">ROUND(D14*10000/B14,0)</f>
        <v>28470</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11" t="str">
        <f>项目基本情况!S2</f>
        <v>北京市房地产</v>
      </c>
      <c r="B2" s="3412"/>
      <c r="C2" s="3412"/>
      <c r="D2" s="3412"/>
      <c r="E2" s="3412"/>
      <c r="F2" s="3412"/>
      <c r="G2" s="3412"/>
      <c r="H2" s="3412"/>
      <c r="I2" s="3413"/>
    </row>
    <row r="3" spans="1:12" ht="12.75">
      <c r="A3" s="3415" t="s">
        <v>1264</v>
      </c>
      <c r="B3" s="3416"/>
      <c r="C3" s="3416"/>
      <c r="D3" s="3416"/>
      <c r="E3" s="3416"/>
      <c r="F3" s="3416"/>
      <c r="G3" s="3416"/>
      <c r="H3" s="3416"/>
      <c r="I3" s="3416"/>
    </row>
    <row r="4" spans="1:12" ht="14.25">
      <c r="A4" s="1624" t="s">
        <v>1265</v>
      </c>
      <c r="B4" s="1625" t="s">
        <v>1266</v>
      </c>
      <c r="C4" s="1626"/>
      <c r="D4" s="1626"/>
      <c r="E4" s="3420" t="s">
        <v>1267</v>
      </c>
      <c r="F4" s="3421"/>
      <c r="G4" s="3421"/>
      <c r="H4" s="3421"/>
      <c r="I4" s="342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59" t="s">
        <v>1268</v>
      </c>
      <c r="B5" s="3414">
        <v>25</v>
      </c>
      <c r="C5" s="3417"/>
      <c r="D5" s="3405"/>
      <c r="E5" s="123" t="s">
        <v>1269</v>
      </c>
      <c r="F5" s="1627"/>
      <c r="G5" s="1627"/>
      <c r="H5" s="1627"/>
      <c r="I5" s="1281"/>
    </row>
    <row r="6" spans="1:12" ht="12.75">
      <c r="A6" s="3359"/>
      <c r="B6" s="3414"/>
      <c r="C6" s="3419"/>
      <c r="D6" s="3405"/>
      <c r="E6" s="123" t="s">
        <v>1270</v>
      </c>
      <c r="F6" s="1627"/>
      <c r="G6" s="1627"/>
      <c r="H6" s="1627"/>
      <c r="I6" s="1281"/>
    </row>
    <row r="7" spans="1:12" ht="12.75">
      <c r="A7" s="3359"/>
      <c r="B7" s="3414"/>
      <c r="C7" s="3418"/>
      <c r="D7" s="3405"/>
      <c r="E7" s="123" t="s">
        <v>1271</v>
      </c>
      <c r="F7" s="1627"/>
      <c r="G7" s="1627"/>
      <c r="H7" s="1627"/>
      <c r="I7" s="1281"/>
    </row>
    <row r="8" spans="1:12" ht="12.75">
      <c r="A8" s="3359" t="s">
        <v>1272</v>
      </c>
      <c r="B8" s="3414">
        <v>15</v>
      </c>
      <c r="C8" s="3417"/>
      <c r="D8" s="3405"/>
      <c r="E8" s="123" t="s">
        <v>1273</v>
      </c>
      <c r="F8" s="1627"/>
      <c r="G8" s="1627"/>
      <c r="H8" s="1627"/>
      <c r="I8" s="1281"/>
    </row>
    <row r="9" spans="1:12" ht="12.75">
      <c r="A9" s="3359"/>
      <c r="B9" s="3414"/>
      <c r="C9" s="3418"/>
      <c r="D9" s="3405"/>
      <c r="E9" s="123" t="s">
        <v>1274</v>
      </c>
      <c r="F9" s="1627"/>
      <c r="G9" s="1627"/>
      <c r="H9" s="1627"/>
      <c r="I9" s="1281"/>
    </row>
    <row r="10" spans="1:12" ht="12.75">
      <c r="A10" s="3359" t="s">
        <v>1275</v>
      </c>
      <c r="B10" s="3414">
        <v>15</v>
      </c>
      <c r="C10" s="3417"/>
      <c r="D10" s="3405"/>
      <c r="E10" s="123" t="s">
        <v>1276</v>
      </c>
      <c r="F10" s="1627"/>
      <c r="G10" s="1627"/>
      <c r="H10" s="1627"/>
      <c r="I10" s="1281"/>
    </row>
    <row r="11" spans="1:12" ht="12.75">
      <c r="A11" s="3359"/>
      <c r="B11" s="3414"/>
      <c r="C11" s="3418"/>
      <c r="D11" s="3405"/>
      <c r="E11" s="123" t="s">
        <v>1277</v>
      </c>
      <c r="F11" s="1627"/>
      <c r="G11" s="1627"/>
      <c r="H11" s="1627"/>
      <c r="I11" s="1281"/>
    </row>
    <row r="12" spans="1:12" ht="12.75">
      <c r="A12" s="3359" t="s">
        <v>1278</v>
      </c>
      <c r="B12" s="3414">
        <v>15</v>
      </c>
      <c r="C12" s="3417"/>
      <c r="D12" s="3405"/>
      <c r="E12" s="123" t="s">
        <v>1279</v>
      </c>
      <c r="F12" s="1627"/>
      <c r="G12" s="1627"/>
      <c r="H12" s="1627"/>
      <c r="I12" s="1281"/>
    </row>
    <row r="13" spans="1:12" ht="12.75">
      <c r="A13" s="3359"/>
      <c r="B13" s="3414"/>
      <c r="C13" s="3418"/>
      <c r="D13" s="3405"/>
      <c r="E13" s="123" t="s">
        <v>1280</v>
      </c>
      <c r="F13" s="1627"/>
      <c r="G13" s="1627"/>
      <c r="H13" s="1627"/>
      <c r="I13" s="1281"/>
    </row>
    <row r="14" spans="1:12" ht="12.75">
      <c r="A14" s="3359" t="s">
        <v>1281</v>
      </c>
      <c r="B14" s="3414">
        <v>30</v>
      </c>
      <c r="C14" s="3417"/>
      <c r="D14" s="3405"/>
      <c r="E14" s="123" t="s">
        <v>1282</v>
      </c>
      <c r="F14" s="1627"/>
      <c r="G14" s="1627"/>
      <c r="H14" s="1627"/>
      <c r="I14" s="1281"/>
    </row>
    <row r="15" spans="1:12" ht="12.75">
      <c r="A15" s="3359"/>
      <c r="B15" s="3414"/>
      <c r="C15" s="3419"/>
      <c r="D15" s="3405"/>
      <c r="E15" s="123" t="s">
        <v>1283</v>
      </c>
      <c r="F15" s="1627"/>
      <c r="G15" s="1627"/>
      <c r="H15" s="1627"/>
      <c r="I15" s="1281"/>
    </row>
    <row r="16" spans="1:12" ht="12.75">
      <c r="A16" s="3359"/>
      <c r="B16" s="3414"/>
      <c r="C16" s="3418"/>
      <c r="D16" s="3405"/>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36" t="s">
        <v>2131</v>
      </c>
      <c r="F18" s="3437"/>
      <c r="G18" s="3437"/>
      <c r="H18" s="3437"/>
      <c r="I18" s="3437"/>
      <c r="K18" s="294" t="s">
        <v>1289</v>
      </c>
      <c r="L18" s="294">
        <f>IF(C1="",'数据-汇总表'!E3,SUMIF(项目类型,C1,'数据-汇总表'!E17:E26)+SUMIF(项目类型,C1,'数据-汇总表'!I17:I26))</f>
        <v>278.87</v>
      </c>
      <c r="M18" s="294">
        <f>IF(C1="",'数据-汇总表'!E3,SUMIF(项目类型,C1,'数据-汇总表'!E17:E26))</f>
        <v>278.87</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29" t="s">
        <v>1299</v>
      </c>
      <c r="B24" s="1631" t="s">
        <v>1291</v>
      </c>
      <c r="C24" s="128">
        <f>IF(B30=0,0,D30)</f>
        <v>0</v>
      </c>
      <c r="D24" s="1637"/>
      <c r="E24" s="121"/>
      <c r="F24" s="121"/>
      <c r="G24" s="121"/>
      <c r="H24" s="121"/>
      <c r="I24" s="121"/>
    </row>
    <row r="25" spans="1:36" ht="14.25">
      <c r="A25" s="343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06" t="s">
        <v>1312</v>
      </c>
      <c r="B36" s="1652" t="s">
        <v>1313</v>
      </c>
      <c r="C36" s="137"/>
      <c r="D36" s="1653"/>
      <c r="E36" s="1567"/>
      <c r="F36" s="1654"/>
      <c r="G36" s="121"/>
      <c r="H36" s="121"/>
      <c r="I36" s="121"/>
    </row>
    <row r="37" spans="1:15" ht="15.75" thickBot="1">
      <c r="A37" s="3407"/>
      <c r="B37" s="1555" t="s">
        <v>1314</v>
      </c>
      <c r="C37" s="139"/>
      <c r="D37" s="1071"/>
      <c r="E37" s="1071"/>
      <c r="F37" s="1654"/>
      <c r="G37" s="121"/>
      <c r="H37" s="121"/>
      <c r="I37" s="121"/>
    </row>
    <row r="38" spans="1:15" ht="15.75" thickBot="1">
      <c r="A38" s="340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26" t="s">
        <v>1326</v>
      </c>
      <c r="B45" s="3427"/>
      <c r="C45" s="3428"/>
      <c r="D45" s="147" t="e">
        <f ca="1">ROUND(H101*F45,0)</f>
        <v>#REF!</v>
      </c>
      <c r="E45" s="148" t="s">
        <v>1327</v>
      </c>
      <c r="F45" s="149">
        <v>1</v>
      </c>
      <c r="G45" s="150" t="s">
        <v>1328</v>
      </c>
      <c r="H45" s="121"/>
      <c r="I45" s="121"/>
      <c r="J45" s="3346" t="s">
        <v>1329</v>
      </c>
      <c r="K45" s="3346"/>
      <c r="L45" s="3346"/>
      <c r="M45" s="3346"/>
      <c r="N45" s="3346"/>
      <c r="O45" s="3346"/>
    </row>
    <row r="46" spans="1:15" ht="14.25" customHeight="1">
      <c r="A46" s="3423" t="s">
        <v>1330</v>
      </c>
      <c r="B46" s="3424"/>
      <c r="C46" s="3424"/>
      <c r="D46" s="3424"/>
      <c r="E46" s="3424"/>
      <c r="F46" s="3424"/>
      <c r="G46" s="3425"/>
      <c r="H46" s="1668"/>
      <c r="I46" s="151"/>
      <c r="J46" s="2309">
        <v>1</v>
      </c>
      <c r="K46" s="3347" t="s">
        <v>1331</v>
      </c>
      <c r="L46" s="3347"/>
      <c r="M46" s="3348"/>
      <c r="N46" s="3348"/>
      <c r="O46" s="3348"/>
    </row>
    <row r="47" spans="1:15" ht="12" customHeight="1">
      <c r="A47" s="152" t="s">
        <v>1332</v>
      </c>
      <c r="B47" s="153"/>
      <c r="C47" s="154"/>
      <c r="D47" s="1024" t="s">
        <v>1333</v>
      </c>
      <c r="E47" s="294" t="s">
        <v>1334</v>
      </c>
      <c r="F47" s="155" t="s">
        <v>1335</v>
      </c>
      <c r="G47" s="2332" t="s">
        <v>1336</v>
      </c>
      <c r="H47" s="2333"/>
      <c r="I47" s="151"/>
      <c r="J47" s="2309">
        <v>2</v>
      </c>
      <c r="K47" s="3347" t="s">
        <v>1337</v>
      </c>
      <c r="L47" s="3347"/>
      <c r="M47" s="3349">
        <f>'数据-取费表'!B2</f>
        <v>45254</v>
      </c>
      <c r="N47" s="3349"/>
      <c r="O47" s="3349"/>
    </row>
    <row r="48" spans="1:15" ht="25.5">
      <c r="A48" s="3409" t="s">
        <v>1338</v>
      </c>
      <c r="B48" s="3410"/>
      <c r="C48" s="3410"/>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47" t="s">
        <v>1340</v>
      </c>
      <c r="L48" s="3347"/>
      <c r="M48" s="3350" t="e">
        <f ca="1">H101</f>
        <v>#REF!</v>
      </c>
      <c r="N48" s="3350"/>
      <c r="O48" s="3350"/>
    </row>
    <row r="49" spans="1:35" ht="25.5" customHeight="1">
      <c r="A49" s="2152" t="s">
        <v>1341</v>
      </c>
      <c r="B49" s="3395" t="s">
        <v>1342</v>
      </c>
      <c r="C49" s="3395"/>
      <c r="D49" s="1478">
        <v>0</v>
      </c>
      <c r="E49" s="316" t="s">
        <v>1343</v>
      </c>
      <c r="F49" s="2233" t="s">
        <v>28</v>
      </c>
      <c r="G49" s="3378"/>
      <c r="H49" s="2134" t="s">
        <v>2134</v>
      </c>
      <c r="I49" s="2135"/>
      <c r="J49" s="2309">
        <v>4</v>
      </c>
      <c r="K49" s="3347" t="str">
        <f>IF(项目基本情况!E8="房地产抵押价值","房地产抵押价值","抵押担保权已注销时的房地产抵押价值")</f>
        <v>抵押担保权已注销时的房地产抵押价值</v>
      </c>
      <c r="L49" s="3347"/>
      <c r="M49" s="3350" t="str">
        <f>IF(项目基本情况!E8="房地产抵押价值",H107,H109)</f>
        <v>——</v>
      </c>
      <c r="N49" s="3350"/>
      <c r="O49" s="3350"/>
    </row>
    <row r="50" spans="1:35" ht="25.5" customHeight="1">
      <c r="A50" s="2337"/>
      <c r="B50" s="3395" t="s">
        <v>1344</v>
      </c>
      <c r="C50" s="3395"/>
      <c r="D50" s="2189"/>
      <c r="E50" s="323"/>
      <c r="F50" s="2233"/>
      <c r="G50" s="3379"/>
      <c r="H50" s="2136" t="s">
        <v>2135</v>
      </c>
      <c r="I50" s="2135"/>
      <c r="J50" s="3346" t="s">
        <v>1345</v>
      </c>
      <c r="K50" s="3346"/>
      <c r="L50" s="3346"/>
      <c r="M50" s="3346"/>
      <c r="N50" s="3346"/>
      <c r="O50" s="3346"/>
    </row>
    <row r="51" spans="1:35" ht="20.45" customHeight="1">
      <c r="A51" s="2338"/>
      <c r="B51" s="3395" t="s">
        <v>1346</v>
      </c>
      <c r="C51" s="3395"/>
      <c r="D51" s="1024"/>
      <c r="E51" s="319"/>
      <c r="F51" s="2233"/>
      <c r="G51" s="3380"/>
      <c r="H51" s="2136" t="s">
        <v>2136</v>
      </c>
      <c r="I51" s="2135"/>
      <c r="J51" s="2310" t="s">
        <v>1347</v>
      </c>
      <c r="K51" s="3347" t="s">
        <v>1348</v>
      </c>
      <c r="L51" s="3347"/>
      <c r="M51" s="2310" t="s">
        <v>1349</v>
      </c>
      <c r="N51" s="2310" t="s">
        <v>1350</v>
      </c>
      <c r="O51" s="2310" t="s">
        <v>1351</v>
      </c>
    </row>
    <row r="52" spans="1:35" ht="24" customHeight="1">
      <c r="A52" s="2153" t="s">
        <v>1352</v>
      </c>
      <c r="B52" s="3395" t="s">
        <v>1353</v>
      </c>
      <c r="C52" s="3395"/>
      <c r="D52" s="1024" t="e">
        <f ca="1">ROUND(D45*'数据-取费表'!B41/(1+'数据-取费表'!C42),0)</f>
        <v>#REF!</v>
      </c>
      <c r="E52" s="1256" t="s">
        <v>1354</v>
      </c>
      <c r="F52" s="2339">
        <f>'数据-取费表'!B41</f>
        <v>5.6000000000000001E-2</v>
      </c>
      <c r="G52" s="2340"/>
      <c r="H52" s="2330"/>
      <c r="I52" s="1669"/>
      <c r="J52" s="2309">
        <v>1</v>
      </c>
      <c r="K52" s="3372" t="s">
        <v>1355</v>
      </c>
      <c r="L52" s="3372"/>
      <c r="M52" s="2311" t="b">
        <f>D48</f>
        <v>0</v>
      </c>
      <c r="N52" s="2309" t="str">
        <f>E48</f>
        <v>销售额×税（费）率</v>
      </c>
      <c r="O52" s="2312">
        <f>F48</f>
        <v>5.6000000000000001E-2</v>
      </c>
    </row>
    <row r="53" spans="1:35" ht="12" customHeight="1">
      <c r="A53" s="2153" t="s">
        <v>1356</v>
      </c>
      <c r="B53" s="3396" t="s">
        <v>2288</v>
      </c>
      <c r="C53" s="3397"/>
      <c r="D53" s="1024" t="e">
        <f ca="1">ROUND(D45*'数据-取费表'!B41/(1+'数据-取费表'!C42),0)</f>
        <v>#REF!</v>
      </c>
      <c r="E53" s="1256" t="s">
        <v>1354</v>
      </c>
      <c r="F53" s="2339">
        <f>'数据-取费表'!B41</f>
        <v>5.6000000000000001E-2</v>
      </c>
      <c r="G53" s="2340"/>
      <c r="H53" s="2330"/>
      <c r="I53" s="1669"/>
      <c r="J53" s="2309">
        <v>2</v>
      </c>
      <c r="K53" s="3372" t="s">
        <v>1357</v>
      </c>
      <c r="L53" s="3372"/>
      <c r="M53" s="2311" t="e">
        <f t="shared" ref="M53:O54" ca="1" si="0">D55</f>
        <v>#REF!</v>
      </c>
      <c r="N53" s="2309" t="str">
        <f t="shared" si="0"/>
        <v>销售额×税（费）率</v>
      </c>
      <c r="O53" s="2312" t="str">
        <f t="shared" si="0"/>
        <v>免征</v>
      </c>
    </row>
    <row r="54" spans="1:35" ht="12" customHeight="1">
      <c r="A54" s="2153" t="s">
        <v>1358</v>
      </c>
      <c r="B54" s="3396" t="s">
        <v>2289</v>
      </c>
      <c r="C54" s="3397"/>
      <c r="D54" s="1024" t="e">
        <f ca="1">C68</f>
        <v>#REF!</v>
      </c>
      <c r="E54" s="319" t="s">
        <v>1359</v>
      </c>
      <c r="F54" s="2339">
        <f>'数据-取费表'!B41</f>
        <v>5.6000000000000001E-2</v>
      </c>
      <c r="G54" s="2340"/>
      <c r="H54" s="2341"/>
      <c r="I54" s="1669"/>
      <c r="J54" s="2309">
        <v>3</v>
      </c>
      <c r="K54" s="3372" t="s">
        <v>1360</v>
      </c>
      <c r="L54" s="3372"/>
      <c r="M54" s="2311" t="e">
        <f t="shared" ca="1" si="0"/>
        <v>#REF!</v>
      </c>
      <c r="N54" s="2309" t="str">
        <f t="shared" si="0"/>
        <v>增值额×税（费）率</v>
      </c>
      <c r="O54" s="2313" t="str">
        <f t="shared" si="0"/>
        <v>免征</v>
      </c>
    </row>
    <row r="55" spans="1:35" ht="24" customHeight="1">
      <c r="A55" s="3432" t="s">
        <v>1361</v>
      </c>
      <c r="B55" s="3410"/>
      <c r="C55" s="3410"/>
      <c r="D55" s="12" t="e">
        <f ca="1">IF(H55="个人住宅",0,ROUND(D45*I55,0))</f>
        <v>#REF!</v>
      </c>
      <c r="E55" s="1256" t="s">
        <v>1362</v>
      </c>
      <c r="F55" s="2339" t="str">
        <f>IF(H55="正常",I55,"免征")</f>
        <v>免征</v>
      </c>
      <c r="G55" s="2340"/>
      <c r="H55" s="2336"/>
      <c r="I55" s="157">
        <f>'数据-取费表'!B49</f>
        <v>5.0000000000000001E-4</v>
      </c>
      <c r="J55" s="2309">
        <f>IF(H59="非个人房产","",4)</f>
        <v>4</v>
      </c>
      <c r="K55" s="3372" t="str">
        <f>IF(H59="非个人房产","——","个人所得税")</f>
        <v>个人所得税</v>
      </c>
      <c r="L55" s="3372"/>
      <c r="M55" s="2314" t="e">
        <f ca="1">D59</f>
        <v>#REF!</v>
      </c>
      <c r="N55" s="1883" t="str">
        <f>E59</f>
        <v>差额计税</v>
      </c>
      <c r="O55" s="2315">
        <f>F59</f>
        <v>0.01</v>
      </c>
    </row>
    <row r="56" spans="1:35" ht="24.75">
      <c r="A56" s="3432" t="s">
        <v>1363</v>
      </c>
      <c r="B56" s="3410"/>
      <c r="C56" s="3410"/>
      <c r="D56" s="12" t="e">
        <f ca="1">IF(H56="个人住宅",D57,D58)</f>
        <v>#REF!</v>
      </c>
      <c r="E56" s="1256" t="s">
        <v>1364</v>
      </c>
      <c r="F56" s="2339" t="str">
        <f>IF(H56="正常",F58,"免征")</f>
        <v>免征</v>
      </c>
      <c r="G56" s="2342" t="s">
        <v>1365</v>
      </c>
      <c r="H56" s="2343"/>
      <c r="I56" s="1670"/>
      <c r="J56" s="2309" t="str">
        <f>IF(项目基本情况!K6="上海银行",IF(J55="",4,J55+1),"")</f>
        <v/>
      </c>
      <c r="K56" s="3353" t="str">
        <f>IF(项目基本情况!K6="上海银行","其他处置费用","")</f>
        <v/>
      </c>
      <c r="L56" s="3354"/>
      <c r="M56" s="2311" t="str">
        <f>IF(项目基本情况!K6="上海银行",M69,"")</f>
        <v/>
      </c>
      <c r="N56" s="3353" t="str">
        <f>IF(项目基本情况!K6="上海银行","包含处置中涉及的律师、诉讼、拍卖、评估等费用","")</f>
        <v/>
      </c>
      <c r="O56" s="3356"/>
    </row>
    <row r="57" spans="1:35" ht="12.75">
      <c r="A57" s="2153" t="s">
        <v>1341</v>
      </c>
      <c r="B57" s="3396" t="s">
        <v>1366</v>
      </c>
      <c r="C57" s="3397"/>
      <c r="D57" s="1478">
        <v>0</v>
      </c>
      <c r="E57" s="316" t="s">
        <v>1343</v>
      </c>
      <c r="F57" s="294"/>
      <c r="G57" s="2340"/>
      <c r="H57" s="2344"/>
      <c r="I57" s="1670"/>
      <c r="J57" s="3372">
        <f>IF(AND(J55="",J56=""),4,IF(项目基本情况!K6="上海银行",结果表!J56+1,结果表!J55+1))</f>
        <v>5</v>
      </c>
      <c r="K57" s="3372" t="s">
        <v>1367</v>
      </c>
      <c r="L57" s="2316" t="s">
        <v>1368</v>
      </c>
      <c r="M57" s="2317"/>
      <c r="N57" s="2318">
        <f ca="1">SUMIF(M52:M56,"&lt;9e307")</f>
        <v>0</v>
      </c>
      <c r="O57" s="2319"/>
      <c r="P57" s="2464" t="e">
        <f ca="1">N57/M49</f>
        <v>#VALUE!</v>
      </c>
    </row>
    <row r="58" spans="1:35" ht="24.75">
      <c r="A58" s="2153" t="s">
        <v>1352</v>
      </c>
      <c r="B58" s="3396" t="s">
        <v>1369</v>
      </c>
      <c r="C58" s="3395"/>
      <c r="D58" s="12" t="e">
        <f ca="1">IF(H58="转让取得",C81,C97)</f>
        <v>#REF!</v>
      </c>
      <c r="E58" s="1256" t="s">
        <v>1364</v>
      </c>
      <c r="F58" s="294" t="s">
        <v>28</v>
      </c>
      <c r="G58" s="2340"/>
      <c r="H58" s="2343"/>
      <c r="I58" s="1670"/>
      <c r="J58" s="3372"/>
      <c r="K58" s="3372"/>
      <c r="L58" s="2316" t="s">
        <v>1370</v>
      </c>
      <c r="M58" s="2320"/>
      <c r="N58" s="2321" t="str">
        <f ca="1">NUMBERSTRING(INT(N57*10000),2)&amp;"元整"</f>
        <v>零元整</v>
      </c>
      <c r="O58" s="2322"/>
    </row>
    <row r="59" spans="1:35" ht="24.75" thickBot="1">
      <c r="A59" s="3376" t="s">
        <v>1371</v>
      </c>
      <c r="B59" s="3377"/>
      <c r="C59" s="3377"/>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74">
        <f>J57+1</f>
        <v>6</v>
      </c>
      <c r="K59" s="3372" t="s">
        <v>1372</v>
      </c>
      <c r="L59" s="2309" t="s">
        <v>1368</v>
      </c>
      <c r="M59" s="2323"/>
      <c r="N59" s="2324" t="e">
        <f ca="1">M49-N57</f>
        <v>#VALUE!</v>
      </c>
      <c r="O59" s="2325"/>
    </row>
    <row r="60" spans="1:35" ht="12" customHeight="1">
      <c r="A60" s="1671"/>
      <c r="B60" s="646"/>
      <c r="C60" s="646"/>
      <c r="D60" s="646"/>
      <c r="E60" s="1466"/>
      <c r="F60" s="1670"/>
      <c r="G60" s="1670"/>
      <c r="H60" s="151"/>
      <c r="I60" s="121"/>
      <c r="J60" s="3375"/>
      <c r="K60" s="3372"/>
      <c r="L60" s="2316" t="s">
        <v>1370</v>
      </c>
      <c r="M60" s="2320"/>
      <c r="N60" s="2321" t="e">
        <f ca="1">NUMBERSTRING(INT(N59*10000),2)&amp;"元整"</f>
        <v>#VALUE!</v>
      </c>
      <c r="O60" s="2322"/>
    </row>
    <row r="61" spans="1:35" ht="13.5" thickBot="1">
      <c r="A61" s="3431" t="s">
        <v>1373</v>
      </c>
      <c r="B61" s="3431"/>
      <c r="C61" s="3431"/>
      <c r="D61" s="3431"/>
      <c r="E61" s="3431"/>
      <c r="F61" s="1670"/>
      <c r="G61" s="1670"/>
      <c r="H61" s="151"/>
      <c r="I61" s="121"/>
      <c r="J61" s="2309">
        <f>J59+1</f>
        <v>7</v>
      </c>
      <c r="K61" s="3372" t="s">
        <v>1374</v>
      </c>
      <c r="L61" s="3372"/>
      <c r="M61" s="2326"/>
      <c r="N61" s="2327" t="e">
        <f ca="1">ROUND(N59*10000/'数据-汇总表'!E3,0)</f>
        <v>#VALUE!</v>
      </c>
      <c r="O61" s="2328"/>
    </row>
    <row r="62" spans="1:35" ht="12.75">
      <c r="A62" s="3391" t="s">
        <v>1375</v>
      </c>
      <c r="B62" s="3392"/>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55"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5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55"/>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55"/>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5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55"/>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55"/>
      <c r="K69" s="1245" t="s">
        <v>1393</v>
      </c>
      <c r="L69" s="1245"/>
      <c r="M69" s="294" t="e">
        <f>ROUND(SUM(M63:M68),0)</f>
        <v>#VALUE!</v>
      </c>
      <c r="N69" s="2331" t="e">
        <f>M69/M49</f>
        <v>#VALUE!</v>
      </c>
      <c r="Z69" s="1623"/>
      <c r="AI69" s="1561"/>
    </row>
    <row r="70" spans="1:35" s="642" customFormat="1" ht="15" thickBot="1">
      <c r="A70" s="3399" t="s">
        <v>1394</v>
      </c>
      <c r="B70" s="3400"/>
      <c r="C70" s="3400"/>
      <c r="D70" s="3400"/>
      <c r="E70" s="3400"/>
      <c r="F70" s="3400"/>
      <c r="G70" s="3400"/>
      <c r="H70" s="340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91" t="s">
        <v>1375</v>
      </c>
      <c r="B71" s="339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96" t="s">
        <v>1402</v>
      </c>
      <c r="F76" s="3395"/>
      <c r="G76" s="3395"/>
      <c r="H76" s="339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88" t="s">
        <v>1406</v>
      </c>
      <c r="F78" s="3389"/>
      <c r="G78" s="3389"/>
      <c r="H78" s="33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99" t="s">
        <v>1410</v>
      </c>
      <c r="B83" s="3400"/>
      <c r="C83" s="3400"/>
      <c r="D83" s="3400"/>
      <c r="E83" s="3400"/>
      <c r="F83" s="3400"/>
      <c r="G83" s="3400"/>
      <c r="H83" s="340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91" t="s">
        <v>1375</v>
      </c>
      <c r="B84" s="339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57" t="s">
        <v>2129</v>
      </c>
      <c r="H90" s="3358"/>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88" t="s">
        <v>1419</v>
      </c>
      <c r="F91" s="3389"/>
      <c r="G91" s="338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88" t="s">
        <v>1422</v>
      </c>
      <c r="F92" s="3389"/>
      <c r="G92" s="3389"/>
      <c r="H92" s="3390"/>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88" t="s">
        <v>1406</v>
      </c>
      <c r="F93" s="3389"/>
      <c r="G93" s="3389"/>
      <c r="H93" s="33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433" t="s">
        <v>1426</v>
      </c>
      <c r="F94" s="3434"/>
      <c r="G94" s="3434"/>
      <c r="H94" s="343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38" t="s">
        <v>1428</v>
      </c>
      <c r="B100" s="3339"/>
      <c r="C100" s="3339"/>
      <c r="D100" s="3373"/>
      <c r="E100" s="3339" t="s">
        <v>1429</v>
      </c>
      <c r="F100" s="3339"/>
      <c r="G100" s="3339"/>
      <c r="H100" s="3373"/>
      <c r="I100" s="121"/>
    </row>
    <row r="101" spans="1:35" ht="18.75" customHeight="1">
      <c r="A101" s="3381" t="s">
        <v>1430</v>
      </c>
      <c r="B101" s="3382"/>
      <c r="C101" s="2370">
        <f>C4</f>
        <v>0</v>
      </c>
      <c r="D101" s="2371">
        <f>D4</f>
        <v>0</v>
      </c>
      <c r="E101" s="3351" t="s">
        <v>1431</v>
      </c>
      <c r="F101" s="3352"/>
      <c r="G101" s="1687" t="s">
        <v>1432</v>
      </c>
      <c r="H101" s="2380" t="e">
        <f ca="1">H118</f>
        <v>#REF!</v>
      </c>
      <c r="I101" s="121"/>
    </row>
    <row r="102" spans="1:35" ht="18.75" customHeight="1">
      <c r="A102" s="3383" t="s">
        <v>1433</v>
      </c>
      <c r="B102" s="2369" t="s">
        <v>1432</v>
      </c>
      <c r="C102" s="2370" t="e">
        <f ca="1">IF(D32="楼面单价",ROUND(C19,0),C19)</f>
        <v>#REF!</v>
      </c>
      <c r="D102" s="2371" t="e">
        <f ca="1">IF(D32="楼面单价",ROUND(D19,0),D19)</f>
        <v>#REF!</v>
      </c>
      <c r="E102" s="3351"/>
      <c r="F102" s="3352"/>
      <c r="G102" s="1687" t="s">
        <v>1434</v>
      </c>
      <c r="H102" s="2340" t="e">
        <f ca="1">I118</f>
        <v>#REF!</v>
      </c>
      <c r="I102" s="121"/>
    </row>
    <row r="103" spans="1:35" ht="42.75" customHeight="1">
      <c r="A103" s="3383"/>
      <c r="B103" s="2369" t="s">
        <v>1434</v>
      </c>
      <c r="C103" s="2372" t="e">
        <f ca="1">C20</f>
        <v>#REF!</v>
      </c>
      <c r="D103" s="2373" t="e">
        <f ca="1">D20</f>
        <v>#REF!</v>
      </c>
      <c r="E103" s="3344" t="s">
        <v>1435</v>
      </c>
      <c r="F103" s="3345"/>
      <c r="G103" s="1688" t="s">
        <v>1436</v>
      </c>
      <c r="H103" s="2380">
        <f>IF(D36="正常操作",H104+H105+H106,H105+H106)</f>
        <v>0</v>
      </c>
      <c r="I103" s="121"/>
    </row>
    <row r="104" spans="1:35" ht="18.75" customHeight="1">
      <c r="A104" s="3383"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93"/>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84" t="str">
        <f>IF(项目基本情况!E8="已注销","——","3.房地产抵押价值")</f>
        <v>3.房地产抵押价值</v>
      </c>
      <c r="F107" s="3352"/>
      <c r="G107" s="1687" t="s">
        <v>1432</v>
      </c>
      <c r="H107" s="2380" t="e">
        <f ca="1">IF(E107="——","——",H101-H103)</f>
        <v>#REF!</v>
      </c>
      <c r="I107" s="121"/>
    </row>
    <row r="108" spans="1:35" ht="18.75" customHeight="1">
      <c r="A108" s="121"/>
      <c r="B108" s="121"/>
      <c r="C108" s="121"/>
      <c r="D108" s="121"/>
      <c r="E108" s="3384"/>
      <c r="F108" s="3352"/>
      <c r="G108" s="1687" t="s">
        <v>1434</v>
      </c>
      <c r="H108" s="2340">
        <f ca="1">IF(H107=H101,H102,ROUND(H107*10000/'数据-汇总表'!E3,0))</f>
        <v>0</v>
      </c>
      <c r="I108" s="121"/>
    </row>
    <row r="109" spans="1:35" ht="18.75" customHeight="1">
      <c r="A109" s="121"/>
      <c r="B109" s="121"/>
      <c r="C109" s="121"/>
      <c r="D109" s="121"/>
      <c r="E109" s="3384" t="str">
        <f>IF(项目基本情况!E8="已注销及未注销","4.抵押担保权已注销时的房地产抵押价值",IF(项目基本情况!E8="已注销","3.抵押担保权已注销时的房地产抵押价值","——"))</f>
        <v>——</v>
      </c>
      <c r="F109" s="3352"/>
      <c r="G109" s="1687" t="s">
        <v>1432</v>
      </c>
      <c r="H109" s="2383" t="str">
        <f>IF(E109="——","——",H101-H105-H106)</f>
        <v>——</v>
      </c>
      <c r="I109" s="121"/>
    </row>
    <row r="110" spans="1:35" ht="18.75" customHeight="1">
      <c r="A110" s="121"/>
      <c r="B110" s="121"/>
      <c r="C110" s="121"/>
      <c r="D110" s="121"/>
      <c r="E110" s="3384"/>
      <c r="F110" s="3352"/>
      <c r="G110" s="1687" t="s">
        <v>1434</v>
      </c>
      <c r="H110" s="2340" t="str">
        <f>IF(H109="——","——",ROUND(H109*10000/'数据-汇总表'!E3,0))</f>
        <v>——</v>
      </c>
      <c r="I110" s="121"/>
    </row>
    <row r="111" spans="1:35" ht="18.75" customHeight="1">
      <c r="A111" s="121"/>
      <c r="B111" s="121"/>
      <c r="C111" s="121"/>
      <c r="D111" s="121"/>
      <c r="E111" s="3385" t="str">
        <f>IF(项目基本情况!E9="抵押净值",IF(OR(项目基本情况!E8="已注销",项目基本情况!E8="房地产抵押价值"),"4.抵押净值","5.抵押净值"),"——")</f>
        <v>——</v>
      </c>
      <c r="F111" s="3371"/>
      <c r="G111" s="1687" t="s">
        <v>1432</v>
      </c>
      <c r="H111" s="2380" t="str">
        <f>IF(E111="——","——",N59)</f>
        <v>——</v>
      </c>
      <c r="I111" s="121"/>
    </row>
    <row r="112" spans="1:35" ht="18.75" customHeight="1" thickBot="1">
      <c r="A112" s="121"/>
      <c r="B112" s="121"/>
      <c r="C112" s="121"/>
      <c r="D112" s="121"/>
      <c r="E112" s="3386"/>
      <c r="F112" s="3387"/>
      <c r="G112" s="1690" t="s">
        <v>1434</v>
      </c>
      <c r="H112" s="2384" t="str">
        <f>IF(E111="——","——",N61)</f>
        <v>——</v>
      </c>
      <c r="I112" s="121"/>
    </row>
    <row r="113" spans="1:27" ht="18.75" customHeight="1">
      <c r="A113" s="121"/>
      <c r="B113" s="121"/>
      <c r="C113" s="121"/>
      <c r="D113" s="121"/>
      <c r="E113" s="3394" t="s">
        <v>1440</v>
      </c>
      <c r="F113" s="3394"/>
      <c r="G113" s="3394"/>
      <c r="H113" s="3394"/>
      <c r="I113" s="121"/>
    </row>
    <row r="114" spans="1:27" ht="3.75" customHeight="1">
      <c r="A114" s="646"/>
      <c r="B114" s="646"/>
      <c r="C114" s="646"/>
      <c r="D114" s="646"/>
      <c r="E114" s="1671"/>
      <c r="F114" s="1671"/>
      <c r="G114" s="1671"/>
      <c r="H114" s="1671"/>
      <c r="I114" s="646"/>
    </row>
    <row r="115" spans="1:27" ht="18.75" customHeight="1">
      <c r="A115" s="3402" t="s">
        <v>1442</v>
      </c>
      <c r="B115" s="3403"/>
      <c r="C115" s="3403"/>
      <c r="D115" s="3403"/>
      <c r="E115" s="3403"/>
      <c r="F115" s="3403"/>
      <c r="G115" s="3403"/>
      <c r="H115" s="3403"/>
      <c r="I115" s="3404"/>
    </row>
    <row r="116" spans="1:27" ht="27" customHeight="1">
      <c r="A116" s="3359" t="s">
        <v>1443</v>
      </c>
      <c r="B116" s="3363" t="s">
        <v>1444</v>
      </c>
      <c r="C116" s="3363" t="s">
        <v>1445</v>
      </c>
      <c r="D116" s="3369" t="s">
        <v>1446</v>
      </c>
      <c r="E116" s="3370"/>
      <c r="F116" s="3401" t="s">
        <v>1447</v>
      </c>
      <c r="G116" s="3401"/>
      <c r="H116" s="3359" t="s">
        <v>1448</v>
      </c>
      <c r="I116" s="3359"/>
    </row>
    <row r="117" spans="1:27" ht="18.75" customHeight="1">
      <c r="A117" s="3359"/>
      <c r="B117" s="3364"/>
      <c r="C117" s="3364"/>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278.87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59" t="s">
        <v>1452</v>
      </c>
      <c r="B119" s="3359"/>
      <c r="C119" s="3359"/>
      <c r="D119" s="3365" t="e">
        <f ca="1">NUMBERSTRING(INT(D118*10000),2)&amp;"元整"</f>
        <v>#REF!</v>
      </c>
      <c r="E119" s="3366"/>
      <c r="F119" s="3365" t="e">
        <f ca="1">NUMBERSTRING(INT(F118*10000),2)&amp;"元整"</f>
        <v>#REF!</v>
      </c>
      <c r="G119" s="3366"/>
      <c r="H119" s="3365" t="e">
        <f ca="1">NUMBERSTRING(INT(H118*10000),2)&amp;"元整"</f>
        <v>#REF!</v>
      </c>
      <c r="I119" s="3366"/>
    </row>
    <row r="120" spans="1:27" ht="18.75" customHeight="1">
      <c r="A120" s="3360" t="str">
        <f>IF(项目基本情况!B9="房地产市场价值","",MID(E103,3,LEN(E103)-2))</f>
        <v/>
      </c>
      <c r="B120" s="3361"/>
      <c r="C120" s="3362"/>
      <c r="D120" s="3360">
        <f>H103</f>
        <v>0</v>
      </c>
      <c r="E120" s="3361"/>
      <c r="F120" s="3361"/>
      <c r="G120" s="3361"/>
      <c r="H120" s="3361"/>
      <c r="I120" s="336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65" t="s">
        <v>1452</v>
      </c>
      <c r="B121" s="3367"/>
      <c r="C121" s="3366"/>
      <c r="D121" s="3365" t="str">
        <f>IF(D120=0,"零元整",NUMBERSTRING(INT(D120*10000),2)&amp;"元整")</f>
        <v>零元整</v>
      </c>
      <c r="E121" s="3367"/>
      <c r="F121" s="3367"/>
      <c r="G121" s="3367"/>
      <c r="H121" s="3367"/>
      <c r="I121" s="3366"/>
      <c r="AA121" s="684"/>
    </row>
    <row r="122" spans="1:27" ht="18.75" customHeight="1">
      <c r="A122" s="3371" t="str">
        <f>IF(项目基本情况!B9="房地产市场价值","",MID(E107,3,LEN(E107)-2))</f>
        <v/>
      </c>
      <c r="B122" s="3371"/>
      <c r="C122" s="3371"/>
      <c r="D122" s="3360" t="e">
        <f ca="1">H107</f>
        <v>#REF!</v>
      </c>
      <c r="E122" s="3361"/>
      <c r="F122" s="3361"/>
      <c r="G122" s="3361"/>
      <c r="H122" s="3361"/>
      <c r="I122" s="3362"/>
      <c r="AA122" s="684"/>
    </row>
    <row r="123" spans="1:27" ht="18.75" customHeight="1">
      <c r="A123" s="3359" t="s">
        <v>1452</v>
      </c>
      <c r="B123" s="3359"/>
      <c r="C123" s="3359"/>
      <c r="D123" s="3365" t="e">
        <f ca="1">NUMBERSTRING(INT(D122*10000),2)&amp;"元整"</f>
        <v>#REF!</v>
      </c>
      <c r="E123" s="3367"/>
      <c r="F123" s="3367"/>
      <c r="G123" s="3367"/>
      <c r="H123" s="3367"/>
      <c r="I123" s="3366"/>
      <c r="AA123" s="684"/>
    </row>
    <row r="124" spans="1:27" ht="18.75" customHeight="1">
      <c r="A124" s="3371" t="str">
        <f>IF(项目基本情况!B9="房地产市场价值","",MID(E109,3,LEN(E109)-2))</f>
        <v/>
      </c>
      <c r="B124" s="3371"/>
      <c r="C124" s="3371"/>
      <c r="D124" s="3360" t="str">
        <f>H109</f>
        <v>——</v>
      </c>
      <c r="E124" s="3361"/>
      <c r="F124" s="3361"/>
      <c r="G124" s="3361"/>
      <c r="H124" s="3361"/>
      <c r="I124" s="3362"/>
      <c r="AA124" s="684"/>
    </row>
    <row r="125" spans="1:27" ht="18.75" customHeight="1">
      <c r="A125" s="3359" t="s">
        <v>1452</v>
      </c>
      <c r="B125" s="3359"/>
      <c r="C125" s="3359"/>
      <c r="D125" s="3365" t="e">
        <f>NUMBERSTRING(INT(D124*10000),2)&amp;"元整"</f>
        <v>#VALUE!</v>
      </c>
      <c r="E125" s="3367"/>
      <c r="F125" s="3367"/>
      <c r="G125" s="3367"/>
      <c r="H125" s="3367"/>
      <c r="I125" s="3366"/>
      <c r="AA125" s="684"/>
    </row>
    <row r="126" spans="1:27" ht="18.75" customHeight="1">
      <c r="A126" s="3371" t="str">
        <f>IF(项目基本情况!B9="房地产市场价值","",MID(E111,3,LEN(E111)-2))</f>
        <v/>
      </c>
      <c r="B126" s="3371"/>
      <c r="C126" s="3371"/>
      <c r="D126" s="3360" t="str">
        <f>H111</f>
        <v>——</v>
      </c>
      <c r="E126" s="3361"/>
      <c r="F126" s="3361"/>
      <c r="G126" s="3361"/>
      <c r="H126" s="3361"/>
      <c r="I126" s="3362"/>
      <c r="AA126" s="684"/>
    </row>
    <row r="127" spans="1:27" ht="18.75" customHeight="1">
      <c r="A127" s="3359" t="s">
        <v>1452</v>
      </c>
      <c r="B127" s="3359"/>
      <c r="C127" s="3359"/>
      <c r="D127" s="3365" t="e">
        <f>NUMBERSTRING(INT(D126*10000),2)&amp;"元整"</f>
        <v>#VALUE!</v>
      </c>
      <c r="E127" s="3367"/>
      <c r="F127" s="3367"/>
      <c r="G127" s="3367"/>
      <c r="H127" s="3367"/>
      <c r="I127" s="3366"/>
      <c r="AA127" s="684"/>
    </row>
    <row r="128" spans="1:27" ht="21.75" customHeight="1">
      <c r="A128" s="3368" t="s">
        <v>1453</v>
      </c>
      <c r="B128" s="3368"/>
      <c r="C128" s="3368"/>
      <c r="D128" s="3368"/>
      <c r="E128" s="3368"/>
      <c r="F128" s="3368"/>
      <c r="G128" s="3368"/>
      <c r="H128" s="3368"/>
      <c r="I128" s="336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DDF6F-2F81-4393-BB4D-A8EC779596A3}">
  <sheetPr>
    <tabColor rgb="FFFF0000"/>
  </sheetPr>
  <dimension ref="A1:V54"/>
  <sheetViews>
    <sheetView tabSelected="1" workbookViewId="0">
      <pane xSplit="2" ySplit="1" topLeftCell="R14" activePane="bottomRight" state="frozen"/>
      <selection pane="topRight" activeCell="B1" sqref="B1"/>
      <selection pane="bottomLeft" activeCell="A2" sqref="A2"/>
      <selection pane="bottomRight" activeCell="I38" sqref="I2:I38"/>
    </sheetView>
  </sheetViews>
  <sheetFormatPr defaultRowHeight="13.5"/>
  <cols>
    <col min="1" max="1" width="5.25" style="3157" bestFit="1" customWidth="1"/>
    <col min="2" max="2" width="0" style="3157" hidden="1" customWidth="1"/>
    <col min="3" max="3" width="32.875" style="3156" customWidth="1"/>
    <col min="4" max="4" width="30.75" style="3149" customWidth="1"/>
    <col min="5" max="5" width="29.625" style="3149" customWidth="1"/>
    <col min="6" max="6" width="6.125" style="3149" customWidth="1"/>
    <col min="7" max="7" width="12.125" style="3149" customWidth="1"/>
    <col min="8" max="10" width="9" style="3149"/>
    <col min="11" max="11" width="9" style="3149" customWidth="1"/>
    <col min="12" max="14" width="7.625" style="3149" customWidth="1"/>
    <col min="15" max="16" width="9" style="3149"/>
    <col min="17" max="17" width="3.625" style="3149" customWidth="1"/>
    <col min="18" max="18" width="9.75" style="3149" customWidth="1"/>
    <col min="19" max="19" width="21.125" style="3149" customWidth="1"/>
    <col min="20" max="20" width="24.875" style="3149" customWidth="1"/>
    <col min="21" max="16384" width="9" style="3149"/>
  </cols>
  <sheetData>
    <row r="1" spans="1:21">
      <c r="A1" s="3144" t="s">
        <v>3380</v>
      </c>
      <c r="B1" s="3144" t="s">
        <v>3381</v>
      </c>
      <c r="C1" s="3145" t="s">
        <v>3382</v>
      </c>
      <c r="D1" s="3146" t="s">
        <v>3383</v>
      </c>
      <c r="E1" s="3146" t="s">
        <v>3384</v>
      </c>
      <c r="F1" s="3147" t="s">
        <v>3385</v>
      </c>
      <c r="G1" s="3147" t="s">
        <v>2544</v>
      </c>
      <c r="H1" s="3148" t="s">
        <v>3724</v>
      </c>
      <c r="I1" s="3148" t="s">
        <v>3725</v>
      </c>
      <c r="J1" s="3148" t="s">
        <v>3387</v>
      </c>
      <c r="K1" s="3148" t="s">
        <v>3388</v>
      </c>
      <c r="L1" s="3148" t="s">
        <v>3389</v>
      </c>
      <c r="M1" s="3148" t="s">
        <v>3726</v>
      </c>
      <c r="N1" s="3148" t="s">
        <v>3727</v>
      </c>
      <c r="O1" s="3148" t="s">
        <v>3390</v>
      </c>
      <c r="P1" s="3148" t="s">
        <v>3391</v>
      </c>
    </row>
    <row r="2" spans="1:21">
      <c r="A2" s="3144">
        <v>1</v>
      </c>
      <c r="B2" s="3144" t="s">
        <v>3392</v>
      </c>
      <c r="C2" s="3150" t="s">
        <v>3393</v>
      </c>
      <c r="D2" s="3151" t="s">
        <v>3606</v>
      </c>
      <c r="E2" s="3151" t="s">
        <v>3607</v>
      </c>
      <c r="F2" s="3152">
        <v>1</v>
      </c>
      <c r="G2" s="3152" t="s">
        <v>3394</v>
      </c>
      <c r="H2" s="3153">
        <v>146.99</v>
      </c>
      <c r="I2" s="3153">
        <v>94.72</v>
      </c>
      <c r="J2" s="3153">
        <f>IF(H2&lt;100,0.98,IF(H2&lt;300,1,IF(H2&lt;500,0.98,0.96)))</f>
        <v>1</v>
      </c>
      <c r="K2" s="3153">
        <v>1</v>
      </c>
      <c r="L2" s="3153">
        <v>1</v>
      </c>
      <c r="M2" s="3255">
        <f t="shared" ref="M2:M13" si="0">I2/H2</f>
        <v>0.64439757806653508</v>
      </c>
      <c r="N2" s="3153">
        <f>IF(M2&lt;70%,1,IF(M2&lt;85%,1.01,1.02))</f>
        <v>1</v>
      </c>
      <c r="O2" s="3153">
        <f ca="1">ROUND('结果一览表-商业'!D37,2)</f>
        <v>7</v>
      </c>
      <c r="P2" s="3148">
        <f ca="1">ROUND(O2*H2,2)</f>
        <v>1028.93</v>
      </c>
      <c r="R2" s="3154" t="s">
        <v>3395</v>
      </c>
      <c r="S2" s="3155">
        <v>1</v>
      </c>
      <c r="T2" s="3156" t="s">
        <v>3396</v>
      </c>
    </row>
    <row r="3" spans="1:21">
      <c r="A3" s="3144">
        <v>2</v>
      </c>
      <c r="B3" s="3144" t="s">
        <v>3392</v>
      </c>
      <c r="C3" s="3150" t="s">
        <v>3397</v>
      </c>
      <c r="D3" s="3151" t="s">
        <v>3612</v>
      </c>
      <c r="E3" s="3151" t="s">
        <v>3607</v>
      </c>
      <c r="F3" s="3152">
        <v>1</v>
      </c>
      <c r="G3" s="3152" t="s">
        <v>3394</v>
      </c>
      <c r="H3" s="3153">
        <v>130.12</v>
      </c>
      <c r="I3" s="3153">
        <v>83.85</v>
      </c>
      <c r="J3" s="3153">
        <f t="shared" ref="J3:J38" si="1">IF(H3&lt;100,0.98,IF(H3&lt;300,1,IF(H3&lt;500,0.98,0.96)))</f>
        <v>1</v>
      </c>
      <c r="K3" s="3153">
        <v>1</v>
      </c>
      <c r="L3" s="3153">
        <v>1</v>
      </c>
      <c r="M3" s="3255">
        <f t="shared" si="0"/>
        <v>0.64440516446357199</v>
      </c>
      <c r="N3" s="3153">
        <f t="shared" ref="N3:N38" si="2">IF(M3&lt;70%,1,IF(M3&lt;85%,1.01,1.02))</f>
        <v>1</v>
      </c>
      <c r="O3" s="3153">
        <f ca="1">ROUND($O$2*J3*K3*L3*N3,1)</f>
        <v>7</v>
      </c>
      <c r="P3" s="3148">
        <f t="shared" ref="P3:P53" ca="1" si="3">ROUND(O3*H3,2)</f>
        <v>910.84</v>
      </c>
      <c r="R3" s="3154" t="s">
        <v>3398</v>
      </c>
      <c r="S3" s="3155">
        <v>0.9</v>
      </c>
      <c r="T3" s="3156" t="s">
        <v>3399</v>
      </c>
    </row>
    <row r="4" spans="1:21" ht="27">
      <c r="A4" s="3144">
        <v>3</v>
      </c>
      <c r="B4" s="3144" t="s">
        <v>3400</v>
      </c>
      <c r="C4" s="3150" t="s">
        <v>3401</v>
      </c>
      <c r="D4" s="3151" t="s">
        <v>3613</v>
      </c>
      <c r="E4" s="3151" t="s">
        <v>3607</v>
      </c>
      <c r="F4" s="3152">
        <v>1</v>
      </c>
      <c r="G4" s="3152" t="s">
        <v>3394</v>
      </c>
      <c r="H4" s="3153">
        <v>56.02</v>
      </c>
      <c r="I4" s="3153">
        <v>52.54</v>
      </c>
      <c r="J4" s="3153">
        <f t="shared" si="1"/>
        <v>0.98</v>
      </c>
      <c r="K4" s="3153">
        <v>1</v>
      </c>
      <c r="L4" s="3153">
        <f>S4</f>
        <v>0.7</v>
      </c>
      <c r="M4" s="3255">
        <f t="shared" si="0"/>
        <v>0.93787932881113878</v>
      </c>
      <c r="N4" s="3153">
        <f t="shared" si="2"/>
        <v>1.02</v>
      </c>
      <c r="O4" s="3153">
        <f t="shared" ref="O4:O38" ca="1" si="4">ROUND($O$2*J4*K4*L4*N4,1)</f>
        <v>4.9000000000000004</v>
      </c>
      <c r="P4" s="3148">
        <f t="shared" ca="1" si="3"/>
        <v>274.5</v>
      </c>
      <c r="R4" s="3154" t="s">
        <v>3402</v>
      </c>
      <c r="S4" s="3155">
        <v>0.7</v>
      </c>
      <c r="T4" s="3156" t="s">
        <v>3403</v>
      </c>
    </row>
    <row r="5" spans="1:21">
      <c r="A5" s="3144">
        <v>4</v>
      </c>
      <c r="B5" s="3144" t="s">
        <v>3400</v>
      </c>
      <c r="C5" s="3145" t="s">
        <v>3404</v>
      </c>
      <c r="D5" s="3146" t="s">
        <v>3615</v>
      </c>
      <c r="E5" s="3151" t="s">
        <v>3607</v>
      </c>
      <c r="F5" s="3147" t="s">
        <v>3405</v>
      </c>
      <c r="G5" s="3147" t="s">
        <v>3394</v>
      </c>
      <c r="H5" s="3148">
        <v>180.53</v>
      </c>
      <c r="I5" s="3638">
        <v>169.3</v>
      </c>
      <c r="J5" s="3638">
        <f t="shared" si="1"/>
        <v>1</v>
      </c>
      <c r="K5" s="3638">
        <f>T14</f>
        <v>0.79999999999999993</v>
      </c>
      <c r="L5" s="3638">
        <f>L4</f>
        <v>0.7</v>
      </c>
      <c r="M5" s="3642">
        <f t="shared" si="0"/>
        <v>0.93779427242009639</v>
      </c>
      <c r="N5" s="3153">
        <f t="shared" si="2"/>
        <v>1.02</v>
      </c>
      <c r="O5" s="3638">
        <f t="shared" ca="1" si="4"/>
        <v>4</v>
      </c>
      <c r="P5" s="3638">
        <f t="shared" ca="1" si="3"/>
        <v>722.12</v>
      </c>
      <c r="R5" s="3154" t="s">
        <v>3406</v>
      </c>
      <c r="S5" s="3155">
        <v>1</v>
      </c>
      <c r="T5" s="3157"/>
    </row>
    <row r="6" spans="1:21">
      <c r="A6" s="3144">
        <v>5</v>
      </c>
      <c r="B6" s="3144" t="s">
        <v>3400</v>
      </c>
      <c r="C6" s="3145" t="s">
        <v>3407</v>
      </c>
      <c r="D6" s="3146" t="s">
        <v>3614</v>
      </c>
      <c r="E6" s="3151" t="s">
        <v>3607</v>
      </c>
      <c r="F6" s="3147" t="s">
        <v>3405</v>
      </c>
      <c r="G6" s="3147" t="s">
        <v>3394</v>
      </c>
      <c r="H6" s="3148">
        <v>173.48</v>
      </c>
      <c r="I6" s="3638">
        <v>162.69</v>
      </c>
      <c r="J6" s="3638">
        <f t="shared" si="1"/>
        <v>1</v>
      </c>
      <c r="K6" s="3638">
        <f>T14</f>
        <v>0.79999999999999993</v>
      </c>
      <c r="L6" s="3638">
        <f>L4</f>
        <v>0.7</v>
      </c>
      <c r="M6" s="3642">
        <f t="shared" si="0"/>
        <v>0.93780262854507723</v>
      </c>
      <c r="N6" s="3153">
        <f t="shared" si="2"/>
        <v>1.02</v>
      </c>
      <c r="O6" s="3638">
        <f t="shared" ca="1" si="4"/>
        <v>4</v>
      </c>
      <c r="P6" s="3638">
        <f t="shared" ca="1" si="3"/>
        <v>693.92</v>
      </c>
      <c r="R6" s="3154" t="s">
        <v>3408</v>
      </c>
      <c r="S6" s="3155">
        <v>0.7</v>
      </c>
      <c r="T6" s="3157" t="s">
        <v>3728</v>
      </c>
      <c r="U6" s="3149">
        <v>100</v>
      </c>
    </row>
    <row r="7" spans="1:21">
      <c r="A7" s="3144">
        <v>6</v>
      </c>
      <c r="B7" s="3144" t="s">
        <v>3400</v>
      </c>
      <c r="C7" s="3145" t="s">
        <v>3409</v>
      </c>
      <c r="D7" s="3146" t="s">
        <v>3617</v>
      </c>
      <c r="E7" s="3151" t="s">
        <v>3607</v>
      </c>
      <c r="F7" s="3147" t="s">
        <v>3405</v>
      </c>
      <c r="G7" s="3147" t="s">
        <v>3394</v>
      </c>
      <c r="H7" s="3148">
        <v>228.07</v>
      </c>
      <c r="I7" s="3638">
        <v>213.88</v>
      </c>
      <c r="J7" s="3638">
        <f t="shared" si="1"/>
        <v>1</v>
      </c>
      <c r="K7" s="3639">
        <f>T15</f>
        <v>0.8</v>
      </c>
      <c r="L7" s="3638">
        <f>L4</f>
        <v>0.7</v>
      </c>
      <c r="M7" s="3642">
        <f t="shared" si="0"/>
        <v>0.93778225983250763</v>
      </c>
      <c r="N7" s="3153">
        <f t="shared" si="2"/>
        <v>1.02</v>
      </c>
      <c r="O7" s="3638">
        <f t="shared" ca="1" si="4"/>
        <v>4</v>
      </c>
      <c r="P7" s="3638">
        <f t="shared" ca="1" si="3"/>
        <v>912.28</v>
      </c>
      <c r="R7" s="3154" t="s">
        <v>3410</v>
      </c>
      <c r="S7" s="3155">
        <v>0.5</v>
      </c>
      <c r="T7" s="3157" t="s">
        <v>3729</v>
      </c>
      <c r="U7" s="3149">
        <v>101</v>
      </c>
    </row>
    <row r="8" spans="1:21">
      <c r="A8" s="3144">
        <v>7</v>
      </c>
      <c r="B8" s="3144" t="s">
        <v>3400</v>
      </c>
      <c r="C8" s="3145" t="s">
        <v>3411</v>
      </c>
      <c r="D8" s="3146" t="s">
        <v>3616</v>
      </c>
      <c r="E8" s="3151" t="s">
        <v>3607</v>
      </c>
      <c r="F8" s="3147" t="s">
        <v>3405</v>
      </c>
      <c r="G8" s="3147" t="s">
        <v>3394</v>
      </c>
      <c r="H8" s="3148">
        <v>193.55</v>
      </c>
      <c r="I8" s="3638">
        <v>181.51</v>
      </c>
      <c r="J8" s="3638">
        <f t="shared" si="1"/>
        <v>1</v>
      </c>
      <c r="K8" s="3638">
        <f>T14</f>
        <v>0.79999999999999993</v>
      </c>
      <c r="L8" s="3638">
        <f>L4</f>
        <v>0.7</v>
      </c>
      <c r="M8" s="3642">
        <f t="shared" si="0"/>
        <v>0.93779385171790219</v>
      </c>
      <c r="N8" s="3153">
        <f t="shared" si="2"/>
        <v>1.02</v>
      </c>
      <c r="O8" s="3638">
        <f t="shared" ca="1" si="4"/>
        <v>4</v>
      </c>
      <c r="P8" s="3638">
        <f t="shared" ca="1" si="3"/>
        <v>774.2</v>
      </c>
      <c r="R8" s="3154" t="s">
        <v>3412</v>
      </c>
      <c r="S8" s="3155">
        <v>0.98</v>
      </c>
      <c r="T8" s="3157" t="s">
        <v>3730</v>
      </c>
      <c r="U8" s="3149">
        <v>102</v>
      </c>
    </row>
    <row r="9" spans="1:21" ht="27">
      <c r="A9" s="3144">
        <v>8</v>
      </c>
      <c r="B9" s="3158" t="s">
        <v>3400</v>
      </c>
      <c r="C9" s="3159" t="s">
        <v>3413</v>
      </c>
      <c r="D9" s="3238" t="s">
        <v>3618</v>
      </c>
      <c r="E9" s="3151" t="s">
        <v>3607</v>
      </c>
      <c r="F9" s="3161" t="s">
        <v>3414</v>
      </c>
      <c r="G9" s="3161" t="s">
        <v>3394</v>
      </c>
      <c r="H9" s="3162">
        <v>291.33</v>
      </c>
      <c r="I9" s="3162">
        <v>273.20999999999998</v>
      </c>
      <c r="J9" s="3162">
        <f t="shared" si="1"/>
        <v>1</v>
      </c>
      <c r="K9" s="3162">
        <f>T16</f>
        <v>0.6</v>
      </c>
      <c r="L9" s="3162">
        <f>L4</f>
        <v>0.7</v>
      </c>
      <c r="M9" s="3640">
        <f t="shared" si="0"/>
        <v>0.9378024920193595</v>
      </c>
      <c r="N9" s="3153">
        <f t="shared" si="2"/>
        <v>1.02</v>
      </c>
      <c r="O9" s="3162">
        <f t="shared" ca="1" si="4"/>
        <v>3</v>
      </c>
      <c r="P9" s="3162">
        <f t="shared" ca="1" si="3"/>
        <v>873.99</v>
      </c>
      <c r="R9" s="3154" t="s">
        <v>3731</v>
      </c>
      <c r="S9" s="3155">
        <v>1</v>
      </c>
    </row>
    <row r="10" spans="1:21" ht="27">
      <c r="A10" s="3144">
        <v>9</v>
      </c>
      <c r="B10" s="3158" t="s">
        <v>3400</v>
      </c>
      <c r="C10" s="3159" t="s">
        <v>3415</v>
      </c>
      <c r="D10" s="3160" t="s">
        <v>3619</v>
      </c>
      <c r="E10" s="3151" t="s">
        <v>3607</v>
      </c>
      <c r="F10" s="3161" t="s">
        <v>3414</v>
      </c>
      <c r="G10" s="3161" t="s">
        <v>3394</v>
      </c>
      <c r="H10" s="3162">
        <v>280.91000000000003</v>
      </c>
      <c r="I10" s="3162">
        <v>263.44</v>
      </c>
      <c r="J10" s="3162">
        <f t="shared" si="1"/>
        <v>1</v>
      </c>
      <c r="K10" s="3162">
        <f>T17</f>
        <v>0.7</v>
      </c>
      <c r="L10" s="3162">
        <f>L4</f>
        <v>0.7</v>
      </c>
      <c r="M10" s="3640">
        <f t="shared" si="0"/>
        <v>0.93780926275319487</v>
      </c>
      <c r="N10" s="3153">
        <f t="shared" si="2"/>
        <v>1.02</v>
      </c>
      <c r="O10" s="3162">
        <f t="shared" ca="1" si="4"/>
        <v>3.5</v>
      </c>
      <c r="P10" s="3162">
        <f t="shared" ca="1" si="3"/>
        <v>983.19</v>
      </c>
      <c r="R10" s="3154" t="s">
        <v>3732</v>
      </c>
      <c r="S10" s="3155">
        <v>0.98</v>
      </c>
      <c r="T10" s="3157"/>
    </row>
    <row r="11" spans="1:21" ht="27">
      <c r="A11" s="3144">
        <v>10</v>
      </c>
      <c r="B11" s="3158" t="s">
        <v>3400</v>
      </c>
      <c r="C11" s="3159" t="s">
        <v>3416</v>
      </c>
      <c r="D11" s="3160" t="s">
        <v>3620</v>
      </c>
      <c r="E11" s="3151" t="s">
        <v>3607</v>
      </c>
      <c r="F11" s="3161" t="s">
        <v>3414</v>
      </c>
      <c r="G11" s="3161" t="s">
        <v>3394</v>
      </c>
      <c r="H11" s="3162">
        <v>186.02</v>
      </c>
      <c r="I11" s="3162">
        <v>174.45</v>
      </c>
      <c r="J11" s="3162">
        <f t="shared" si="1"/>
        <v>1</v>
      </c>
      <c r="K11" s="3162">
        <f>T18</f>
        <v>0.7</v>
      </c>
      <c r="L11" s="3162">
        <f>L4</f>
        <v>0.7</v>
      </c>
      <c r="M11" s="3640">
        <f t="shared" si="0"/>
        <v>0.93780238684012462</v>
      </c>
      <c r="N11" s="3153">
        <f t="shared" si="2"/>
        <v>1.02</v>
      </c>
      <c r="O11" s="3162">
        <f t="shared" ca="1" si="4"/>
        <v>3.5</v>
      </c>
      <c r="P11" s="3162">
        <f t="shared" ca="1" si="3"/>
        <v>651.07000000000005</v>
      </c>
      <c r="R11" s="3154" t="s">
        <v>3733</v>
      </c>
      <c r="S11" s="3155">
        <v>0.96</v>
      </c>
      <c r="T11" s="3157"/>
    </row>
    <row r="12" spans="1:21">
      <c r="A12" s="3144">
        <v>11</v>
      </c>
      <c r="B12" s="3144" t="s">
        <v>3417</v>
      </c>
      <c r="C12" s="3150" t="s">
        <v>3418</v>
      </c>
      <c r="D12" s="3151" t="s">
        <v>3621</v>
      </c>
      <c r="E12" s="3151" t="s">
        <v>3607</v>
      </c>
      <c r="F12" s="3152" t="s">
        <v>3419</v>
      </c>
      <c r="G12" s="3152" t="s">
        <v>3420</v>
      </c>
      <c r="H12" s="3153">
        <v>62.36</v>
      </c>
      <c r="I12" s="3153">
        <v>49.36</v>
      </c>
      <c r="J12" s="3153">
        <f t="shared" si="1"/>
        <v>0.98</v>
      </c>
      <c r="K12" s="3153">
        <f>S5</f>
        <v>1</v>
      </c>
      <c r="L12" s="3153">
        <v>0.9</v>
      </c>
      <c r="M12" s="3255">
        <f t="shared" si="0"/>
        <v>0.79153303399615138</v>
      </c>
      <c r="N12" s="3153">
        <f t="shared" si="2"/>
        <v>1.01</v>
      </c>
      <c r="O12" s="3153">
        <f t="shared" ca="1" si="4"/>
        <v>6.2</v>
      </c>
      <c r="P12" s="3153">
        <f t="shared" ca="1" si="3"/>
        <v>386.63</v>
      </c>
      <c r="T12" s="3157"/>
    </row>
    <row r="13" spans="1:21">
      <c r="A13" s="3144">
        <v>12</v>
      </c>
      <c r="B13" s="3144" t="s">
        <v>3417</v>
      </c>
      <c r="C13" s="3150" t="s">
        <v>3421</v>
      </c>
      <c r="D13" s="3151" t="s">
        <v>3622</v>
      </c>
      <c r="E13" s="3151" t="s">
        <v>3607</v>
      </c>
      <c r="F13" s="3152" t="s">
        <v>3419</v>
      </c>
      <c r="G13" s="3152" t="s">
        <v>3420</v>
      </c>
      <c r="H13" s="3153">
        <v>56.56</v>
      </c>
      <c r="I13" s="3153">
        <v>44.77</v>
      </c>
      <c r="J13" s="3153">
        <f t="shared" si="1"/>
        <v>0.98</v>
      </c>
      <c r="K13" s="3153">
        <f>S5</f>
        <v>1</v>
      </c>
      <c r="L13" s="3153">
        <f>S4</f>
        <v>0.7</v>
      </c>
      <c r="M13" s="3255">
        <f t="shared" si="0"/>
        <v>0.79154879773691655</v>
      </c>
      <c r="N13" s="3153">
        <f t="shared" si="2"/>
        <v>1.01</v>
      </c>
      <c r="O13" s="3153">
        <f t="shared" ca="1" si="4"/>
        <v>4.9000000000000004</v>
      </c>
      <c r="P13" s="3153">
        <f t="shared" ca="1" si="3"/>
        <v>277.14</v>
      </c>
      <c r="T13" s="3157"/>
    </row>
    <row r="14" spans="1:21">
      <c r="A14" s="3144">
        <v>13</v>
      </c>
      <c r="B14" s="3144" t="s">
        <v>3417</v>
      </c>
      <c r="C14" s="3150" t="s">
        <v>3422</v>
      </c>
      <c r="D14" s="3151" t="s">
        <v>3623</v>
      </c>
      <c r="E14" s="3151" t="s">
        <v>3607</v>
      </c>
      <c r="F14" s="3152" t="s">
        <v>3419</v>
      </c>
      <c r="G14" s="3152" t="s">
        <v>3420</v>
      </c>
      <c r="H14" s="3153">
        <v>121.49</v>
      </c>
      <c r="I14" s="3153">
        <v>96.19</v>
      </c>
      <c r="J14" s="3153">
        <f t="shared" si="1"/>
        <v>1</v>
      </c>
      <c r="K14" s="3153">
        <f>S5</f>
        <v>1</v>
      </c>
      <c r="L14" s="3153">
        <f>L13</f>
        <v>0.7</v>
      </c>
      <c r="M14" s="3255">
        <f>I14/H14</f>
        <v>0.79175240760556431</v>
      </c>
      <c r="N14" s="3153">
        <f t="shared" si="2"/>
        <v>1.01</v>
      </c>
      <c r="O14" s="3153">
        <f t="shared" ca="1" si="4"/>
        <v>4.9000000000000004</v>
      </c>
      <c r="P14" s="3153">
        <f t="shared" ca="1" si="3"/>
        <v>595.29999999999995</v>
      </c>
      <c r="S14" s="3163" t="s">
        <v>3423</v>
      </c>
      <c r="T14" s="3157">
        <f>(1+0.7*2)/3</f>
        <v>0.79999999999999993</v>
      </c>
    </row>
    <row r="15" spans="1:21">
      <c r="A15" s="3144">
        <v>14</v>
      </c>
      <c r="B15" s="3144" t="s">
        <v>3417</v>
      </c>
      <c r="C15" s="3150" t="s">
        <v>3424</v>
      </c>
      <c r="D15" s="3151" t="s">
        <v>3624</v>
      </c>
      <c r="E15" s="3151" t="s">
        <v>3607</v>
      </c>
      <c r="F15" s="3152" t="s">
        <v>3419</v>
      </c>
      <c r="G15" s="3152" t="s">
        <v>3420</v>
      </c>
      <c r="H15" s="3153">
        <v>120.04</v>
      </c>
      <c r="I15" s="3153">
        <v>95.01</v>
      </c>
      <c r="J15" s="3153">
        <f t="shared" si="1"/>
        <v>1</v>
      </c>
      <c r="K15" s="3153">
        <f>S5</f>
        <v>1</v>
      </c>
      <c r="L15" s="3153">
        <f>L13</f>
        <v>0.7</v>
      </c>
      <c r="M15" s="3255">
        <f t="shared" ref="M15:M53" si="5">I15/H15</f>
        <v>0.79148617127624121</v>
      </c>
      <c r="N15" s="3153">
        <f t="shared" si="2"/>
        <v>1.01</v>
      </c>
      <c r="O15" s="3153">
        <f t="shared" ca="1" si="4"/>
        <v>4.9000000000000004</v>
      </c>
      <c r="P15" s="3153">
        <f t="shared" ca="1" si="3"/>
        <v>588.20000000000005</v>
      </c>
      <c r="S15" s="3149" t="s">
        <v>3425</v>
      </c>
      <c r="T15" s="3164">
        <f>ROUND((1+0.7*3)/4,1)</f>
        <v>0.8</v>
      </c>
    </row>
    <row r="16" spans="1:21">
      <c r="A16" s="3144">
        <v>15</v>
      </c>
      <c r="B16" s="3144" t="s">
        <v>3417</v>
      </c>
      <c r="C16" s="3145" t="s">
        <v>3426</v>
      </c>
      <c r="D16" s="3146" t="s">
        <v>3625</v>
      </c>
      <c r="E16" s="3151" t="s">
        <v>3607</v>
      </c>
      <c r="F16" s="3147" t="s">
        <v>3405</v>
      </c>
      <c r="G16" s="3147" t="s">
        <v>3420</v>
      </c>
      <c r="H16" s="3148">
        <v>183.14</v>
      </c>
      <c r="I16" s="3638">
        <v>144.94999999999999</v>
      </c>
      <c r="J16" s="3638">
        <f t="shared" si="1"/>
        <v>1</v>
      </c>
      <c r="K16" s="3638">
        <f>T19</f>
        <v>0.9</v>
      </c>
      <c r="L16" s="3638">
        <f>L13</f>
        <v>0.7</v>
      </c>
      <c r="M16" s="3642">
        <f t="shared" si="5"/>
        <v>0.79147100578792184</v>
      </c>
      <c r="N16" s="3153">
        <f t="shared" si="2"/>
        <v>1.01</v>
      </c>
      <c r="O16" s="3638">
        <f t="shared" ca="1" si="4"/>
        <v>4.5</v>
      </c>
      <c r="P16" s="3638">
        <f t="shared" ca="1" si="3"/>
        <v>824.13</v>
      </c>
      <c r="S16" s="3149" t="s">
        <v>3427</v>
      </c>
      <c r="T16" s="3157">
        <f>ROUND((1+0.5*4)/5,1)</f>
        <v>0.6</v>
      </c>
    </row>
    <row r="17" spans="1:22">
      <c r="A17" s="3144">
        <v>16</v>
      </c>
      <c r="B17" s="3144" t="s">
        <v>3417</v>
      </c>
      <c r="C17" s="3145" t="s">
        <v>3428</v>
      </c>
      <c r="D17" s="3146" t="s">
        <v>3626</v>
      </c>
      <c r="E17" s="3151" t="s">
        <v>3607</v>
      </c>
      <c r="F17" s="3147" t="s">
        <v>3405</v>
      </c>
      <c r="G17" s="3147" t="s">
        <v>3420</v>
      </c>
      <c r="H17" s="3148">
        <v>184.08</v>
      </c>
      <c r="I17" s="3638">
        <v>145.69999999999999</v>
      </c>
      <c r="J17" s="3638">
        <f t="shared" si="1"/>
        <v>1</v>
      </c>
      <c r="K17" s="3638">
        <f>K16</f>
        <v>0.9</v>
      </c>
      <c r="L17" s="3638">
        <f>L13</f>
        <v>0.7</v>
      </c>
      <c r="M17" s="3642">
        <f t="shared" si="5"/>
        <v>0.7915036940460668</v>
      </c>
      <c r="N17" s="3153">
        <f t="shared" si="2"/>
        <v>1.01</v>
      </c>
      <c r="O17" s="3638">
        <f t="shared" ca="1" si="4"/>
        <v>4.5</v>
      </c>
      <c r="P17" s="3638">
        <f t="shared" ca="1" si="3"/>
        <v>828.36</v>
      </c>
      <c r="S17" s="3149" t="s">
        <v>3429</v>
      </c>
      <c r="T17" s="3157">
        <f>ROUND((2+3*0.5)/5,1)</f>
        <v>0.7</v>
      </c>
    </row>
    <row r="18" spans="1:22">
      <c r="A18" s="3144">
        <v>17</v>
      </c>
      <c r="B18" s="3144" t="s">
        <v>3417</v>
      </c>
      <c r="C18" s="3145" t="s">
        <v>3430</v>
      </c>
      <c r="D18" s="3146" t="s">
        <v>3627</v>
      </c>
      <c r="E18" s="3151" t="s">
        <v>3607</v>
      </c>
      <c r="F18" s="3147" t="s">
        <v>3405</v>
      </c>
      <c r="G18" s="3147" t="s">
        <v>3420</v>
      </c>
      <c r="H18" s="3148">
        <v>205.65</v>
      </c>
      <c r="I18" s="3638">
        <v>162.77000000000001</v>
      </c>
      <c r="J18" s="3638">
        <f t="shared" si="1"/>
        <v>1</v>
      </c>
      <c r="K18" s="3638">
        <f>K16</f>
        <v>0.9</v>
      </c>
      <c r="L18" s="3638">
        <f>L13</f>
        <v>0.7</v>
      </c>
      <c r="M18" s="3642">
        <f t="shared" si="5"/>
        <v>0.79149039630440066</v>
      </c>
      <c r="N18" s="3153">
        <f t="shared" si="2"/>
        <v>1.01</v>
      </c>
      <c r="O18" s="3638">
        <f t="shared" ca="1" si="4"/>
        <v>4.5</v>
      </c>
      <c r="P18" s="3638">
        <f t="shared" ca="1" si="3"/>
        <v>925.43</v>
      </c>
      <c r="S18" s="3149" t="s">
        <v>3431</v>
      </c>
      <c r="T18" s="3157">
        <f>ROUND((1+0.5*2)/3,1)</f>
        <v>0.7</v>
      </c>
    </row>
    <row r="19" spans="1:22">
      <c r="A19" s="3144">
        <v>18</v>
      </c>
      <c r="B19" s="3144" t="s">
        <v>3417</v>
      </c>
      <c r="C19" s="3145" t="s">
        <v>3432</v>
      </c>
      <c r="D19" s="3146" t="s">
        <v>3628</v>
      </c>
      <c r="E19" s="3151" t="s">
        <v>3607</v>
      </c>
      <c r="F19" s="3147" t="s">
        <v>3405</v>
      </c>
      <c r="G19" s="3147" t="s">
        <v>3420</v>
      </c>
      <c r="H19" s="3148">
        <v>319.12</v>
      </c>
      <c r="I19" s="3638">
        <v>252.58</v>
      </c>
      <c r="J19" s="3638">
        <f t="shared" si="1"/>
        <v>0.98</v>
      </c>
      <c r="K19" s="3638">
        <f>K16</f>
        <v>0.9</v>
      </c>
      <c r="L19" s="3638">
        <f>L13</f>
        <v>0.7</v>
      </c>
      <c r="M19" s="3642">
        <f t="shared" si="5"/>
        <v>0.79148909501128106</v>
      </c>
      <c r="N19" s="3153">
        <f t="shared" si="2"/>
        <v>1.01</v>
      </c>
      <c r="O19" s="3638">
        <f t="shared" ca="1" si="4"/>
        <v>4.4000000000000004</v>
      </c>
      <c r="P19" s="3638">
        <f t="shared" ca="1" si="3"/>
        <v>1404.13</v>
      </c>
      <c r="S19" s="3149" t="s">
        <v>3433</v>
      </c>
      <c r="T19" s="3157">
        <f>ROUND((1+0.7)/2,1)</f>
        <v>0.9</v>
      </c>
    </row>
    <row r="20" spans="1:22">
      <c r="A20" s="3144">
        <v>19</v>
      </c>
      <c r="B20" s="3144" t="s">
        <v>3417</v>
      </c>
      <c r="C20" s="3145" t="s">
        <v>3434</v>
      </c>
      <c r="D20" s="3146" t="s">
        <v>3629</v>
      </c>
      <c r="E20" s="3151" t="s">
        <v>3607</v>
      </c>
      <c r="F20" s="3147" t="s">
        <v>3405</v>
      </c>
      <c r="G20" s="3147" t="s">
        <v>3420</v>
      </c>
      <c r="H20" s="3148">
        <v>233.7</v>
      </c>
      <c r="I20" s="3638">
        <v>184.97</v>
      </c>
      <c r="J20" s="3638">
        <f t="shared" si="1"/>
        <v>1</v>
      </c>
      <c r="K20" s="3638">
        <f>K16</f>
        <v>0.9</v>
      </c>
      <c r="L20" s="3638">
        <f>S3</f>
        <v>0.9</v>
      </c>
      <c r="M20" s="3642">
        <f t="shared" si="5"/>
        <v>0.79148480958493794</v>
      </c>
      <c r="N20" s="3153">
        <f t="shared" si="2"/>
        <v>1.01</v>
      </c>
      <c r="O20" s="3638">
        <f t="shared" ca="1" si="4"/>
        <v>5.7</v>
      </c>
      <c r="P20" s="3638">
        <f t="shared" ca="1" si="3"/>
        <v>1332.09</v>
      </c>
      <c r="S20" s="3149" t="s">
        <v>3435</v>
      </c>
      <c r="T20" s="3157">
        <f>ROUND((1+0.5*2)/3,1)</f>
        <v>0.7</v>
      </c>
    </row>
    <row r="21" spans="1:22">
      <c r="A21" s="3144">
        <v>20</v>
      </c>
      <c r="B21" s="3144" t="s">
        <v>3417</v>
      </c>
      <c r="C21" s="3145" t="s">
        <v>3436</v>
      </c>
      <c r="D21" s="3146" t="s">
        <v>3630</v>
      </c>
      <c r="E21" s="3151" t="s">
        <v>3607</v>
      </c>
      <c r="F21" s="3147" t="s">
        <v>3405</v>
      </c>
      <c r="G21" s="3147" t="s">
        <v>3420</v>
      </c>
      <c r="H21" s="3148">
        <v>279.70999999999998</v>
      </c>
      <c r="I21" s="3638">
        <v>221.39</v>
      </c>
      <c r="J21" s="3638">
        <f t="shared" si="1"/>
        <v>1</v>
      </c>
      <c r="K21" s="3638">
        <f>K16</f>
        <v>0.9</v>
      </c>
      <c r="L21" s="3638">
        <f>S3</f>
        <v>0.9</v>
      </c>
      <c r="M21" s="3642">
        <f t="shared" si="5"/>
        <v>0.79149833756390553</v>
      </c>
      <c r="N21" s="3153">
        <f t="shared" si="2"/>
        <v>1.01</v>
      </c>
      <c r="O21" s="3638">
        <f t="shared" ca="1" si="4"/>
        <v>5.7</v>
      </c>
      <c r="P21" s="3638">
        <f t="shared" ca="1" si="3"/>
        <v>1594.35</v>
      </c>
      <c r="R21" s="3155" t="s">
        <v>3381</v>
      </c>
      <c r="S21" s="3155" t="s">
        <v>3385</v>
      </c>
      <c r="T21" s="3155" t="s">
        <v>3386</v>
      </c>
      <c r="U21" s="3155" t="s">
        <v>3437</v>
      </c>
    </row>
    <row r="22" spans="1:22">
      <c r="A22" s="3144">
        <v>21</v>
      </c>
      <c r="B22" s="3144" t="s">
        <v>3417</v>
      </c>
      <c r="C22" s="3145" t="s">
        <v>3438</v>
      </c>
      <c r="D22" s="3146" t="s">
        <v>3631</v>
      </c>
      <c r="E22" s="3151" t="s">
        <v>3607</v>
      </c>
      <c r="F22" s="3147" t="s">
        <v>3405</v>
      </c>
      <c r="G22" s="3147" t="s">
        <v>3420</v>
      </c>
      <c r="H22" s="3148">
        <v>263.67</v>
      </c>
      <c r="I22" s="3638">
        <v>208.69</v>
      </c>
      <c r="J22" s="3638">
        <f t="shared" si="1"/>
        <v>1</v>
      </c>
      <c r="K22" s="3638">
        <f>K16</f>
        <v>0.9</v>
      </c>
      <c r="L22" s="3638">
        <f>S3</f>
        <v>0.9</v>
      </c>
      <c r="M22" s="3642">
        <f t="shared" si="5"/>
        <v>0.791481776463003</v>
      </c>
      <c r="N22" s="3153">
        <f t="shared" si="2"/>
        <v>1.01</v>
      </c>
      <c r="O22" s="3638">
        <f ca="1">ROUND($O$2*J22*K22*L22*N22,1)</f>
        <v>5.7</v>
      </c>
      <c r="P22" s="3638">
        <f t="shared" ca="1" si="3"/>
        <v>1502.92</v>
      </c>
      <c r="R22" s="3155" t="s">
        <v>3392</v>
      </c>
      <c r="S22" s="3155" t="s">
        <v>3439</v>
      </c>
      <c r="T22" s="3155">
        <f>SUM(H2:H3)</f>
        <v>277.11</v>
      </c>
      <c r="U22" s="3155">
        <f ca="1">ROUND(SUM(P2:P3)/T22,1)</f>
        <v>7</v>
      </c>
      <c r="V22" s="3149">
        <f ca="1">ROUND(T22*U22,2)</f>
        <v>1939.77</v>
      </c>
    </row>
    <row r="23" spans="1:22">
      <c r="A23" s="3144">
        <v>22</v>
      </c>
      <c r="B23" s="3144" t="s">
        <v>3417</v>
      </c>
      <c r="C23" s="3145" t="s">
        <v>3440</v>
      </c>
      <c r="D23" s="3146" t="s">
        <v>3632</v>
      </c>
      <c r="E23" s="3151" t="s">
        <v>3607</v>
      </c>
      <c r="F23" s="3147" t="s">
        <v>3405</v>
      </c>
      <c r="G23" s="3147" t="s">
        <v>3420</v>
      </c>
      <c r="H23" s="3148">
        <v>342.44</v>
      </c>
      <c r="I23" s="3638">
        <v>271.04000000000002</v>
      </c>
      <c r="J23" s="3638">
        <f t="shared" si="1"/>
        <v>0.98</v>
      </c>
      <c r="K23" s="3638">
        <f>K16</f>
        <v>0.9</v>
      </c>
      <c r="L23" s="3638">
        <f>S3</f>
        <v>0.9</v>
      </c>
      <c r="M23" s="3642">
        <f t="shared" si="5"/>
        <v>0.79149632052330343</v>
      </c>
      <c r="N23" s="3153">
        <f t="shared" si="2"/>
        <v>1.01</v>
      </c>
      <c r="O23" s="3638">
        <f t="shared" ca="1" si="4"/>
        <v>5.6</v>
      </c>
      <c r="P23" s="3638">
        <f t="shared" ca="1" si="3"/>
        <v>1917.66</v>
      </c>
      <c r="R23" s="3438" t="s">
        <v>3400</v>
      </c>
      <c r="S23" s="3155" t="s">
        <v>3439</v>
      </c>
      <c r="T23" s="3155">
        <f>H4</f>
        <v>56.02</v>
      </c>
      <c r="U23" s="3155">
        <f ca="1">O4</f>
        <v>4.9000000000000004</v>
      </c>
      <c r="V23" s="3149">
        <f t="shared" ref="V23:V31" ca="1" si="6">ROUND(T23*U23,2)</f>
        <v>274.5</v>
      </c>
    </row>
    <row r="24" spans="1:22">
      <c r="A24" s="3144">
        <v>23</v>
      </c>
      <c r="B24" s="3144" t="s">
        <v>3417</v>
      </c>
      <c r="C24" s="3145" t="s">
        <v>3441</v>
      </c>
      <c r="D24" s="3146" t="s">
        <v>3633</v>
      </c>
      <c r="E24" s="3151" t="s">
        <v>3607</v>
      </c>
      <c r="F24" s="3147" t="s">
        <v>3405</v>
      </c>
      <c r="G24" s="3147" t="s">
        <v>3420</v>
      </c>
      <c r="H24" s="3148">
        <v>312.77999999999997</v>
      </c>
      <c r="I24" s="3638">
        <v>247.56</v>
      </c>
      <c r="J24" s="3638">
        <f t="shared" si="1"/>
        <v>0.98</v>
      </c>
      <c r="K24" s="3638">
        <f>K16</f>
        <v>0.9</v>
      </c>
      <c r="L24" s="3638">
        <f>S4</f>
        <v>0.7</v>
      </c>
      <c r="M24" s="3642">
        <f t="shared" si="5"/>
        <v>0.79148283138308084</v>
      </c>
      <c r="N24" s="3153">
        <f t="shared" si="2"/>
        <v>1.01</v>
      </c>
      <c r="O24" s="3638">
        <f t="shared" ca="1" si="4"/>
        <v>4.4000000000000004</v>
      </c>
      <c r="P24" s="3638">
        <f t="shared" ca="1" si="3"/>
        <v>1376.23</v>
      </c>
      <c r="R24" s="3438"/>
      <c r="S24" s="3155" t="s">
        <v>3442</v>
      </c>
      <c r="T24" s="3155">
        <f>SUM(H5:H8)</f>
        <v>775.62999999999988</v>
      </c>
      <c r="U24" s="3155">
        <f ca="1">ROUND(SUM(P5:P8)/T24,1)</f>
        <v>4</v>
      </c>
      <c r="V24" s="3149">
        <f t="shared" ca="1" si="6"/>
        <v>3102.52</v>
      </c>
    </row>
    <row r="25" spans="1:22">
      <c r="A25" s="3144">
        <v>24</v>
      </c>
      <c r="B25" s="3144" t="s">
        <v>3417</v>
      </c>
      <c r="C25" s="3145" t="s">
        <v>3443</v>
      </c>
      <c r="D25" s="3146" t="s">
        <v>3634</v>
      </c>
      <c r="E25" s="3151" t="s">
        <v>3607</v>
      </c>
      <c r="F25" s="3147" t="s">
        <v>3405</v>
      </c>
      <c r="G25" s="3147" t="s">
        <v>3420</v>
      </c>
      <c r="H25" s="3148">
        <v>283.81</v>
      </c>
      <c r="I25" s="3638">
        <v>224.63</v>
      </c>
      <c r="J25" s="3638">
        <f t="shared" si="1"/>
        <v>1</v>
      </c>
      <c r="K25" s="3638">
        <f>K16</f>
        <v>0.9</v>
      </c>
      <c r="L25" s="3638">
        <f>S4</f>
        <v>0.7</v>
      </c>
      <c r="M25" s="3642">
        <f t="shared" si="5"/>
        <v>0.79148021563722204</v>
      </c>
      <c r="N25" s="3153">
        <f t="shared" si="2"/>
        <v>1.01</v>
      </c>
      <c r="O25" s="3638">
        <f t="shared" ca="1" si="4"/>
        <v>4.5</v>
      </c>
      <c r="P25" s="3638">
        <f t="shared" ca="1" si="3"/>
        <v>1277.1500000000001</v>
      </c>
      <c r="R25" s="3438"/>
      <c r="S25" s="3155" t="s">
        <v>3444</v>
      </c>
      <c r="T25" s="3155">
        <f>SUM(H9:H11)</f>
        <v>758.26</v>
      </c>
      <c r="U25" s="3155">
        <f ca="1">ROUND(SUM(P9:P11)/T25,1)</f>
        <v>3.3</v>
      </c>
      <c r="V25" s="3149">
        <f t="shared" ca="1" si="6"/>
        <v>2502.2600000000002</v>
      </c>
    </row>
    <row r="26" spans="1:22">
      <c r="A26" s="3144">
        <v>25</v>
      </c>
      <c r="B26" s="3144" t="s">
        <v>3417</v>
      </c>
      <c r="C26" s="3165" t="s">
        <v>3445</v>
      </c>
      <c r="D26" s="3166" t="s">
        <v>3635</v>
      </c>
      <c r="E26" s="3151" t="s">
        <v>3607</v>
      </c>
      <c r="F26" s="3167" t="s">
        <v>3446</v>
      </c>
      <c r="G26" s="3167" t="s">
        <v>3420</v>
      </c>
      <c r="H26" s="3168">
        <v>79.17</v>
      </c>
      <c r="I26" s="3168">
        <v>62.66</v>
      </c>
      <c r="J26" s="3168">
        <f t="shared" si="1"/>
        <v>0.98</v>
      </c>
      <c r="K26" s="3168">
        <f>S6</f>
        <v>0.7</v>
      </c>
      <c r="L26" s="3168">
        <f>S3</f>
        <v>0.9</v>
      </c>
      <c r="M26" s="3641">
        <f t="shared" si="5"/>
        <v>0.79146141215106725</v>
      </c>
      <c r="N26" s="3153">
        <f t="shared" si="2"/>
        <v>1.01</v>
      </c>
      <c r="O26" s="3168">
        <f t="shared" ca="1" si="4"/>
        <v>4.4000000000000004</v>
      </c>
      <c r="P26" s="3168">
        <f t="shared" ca="1" si="3"/>
        <v>348.35</v>
      </c>
      <c r="R26" s="3438" t="s">
        <v>3417</v>
      </c>
      <c r="S26" s="3155" t="s">
        <v>3439</v>
      </c>
      <c r="T26" s="3155">
        <f>SUM(H12:H15)</f>
        <v>360.45</v>
      </c>
      <c r="U26" s="3155">
        <f ca="1">ROUND(SUM(P12:P15)/T26,1)</f>
        <v>5.0999999999999996</v>
      </c>
      <c r="V26" s="3149">
        <f t="shared" ca="1" si="6"/>
        <v>1838.3</v>
      </c>
    </row>
    <row r="27" spans="1:22">
      <c r="A27" s="3144">
        <v>26</v>
      </c>
      <c r="B27" s="3144" t="s">
        <v>3417</v>
      </c>
      <c r="C27" s="3165" t="s">
        <v>3447</v>
      </c>
      <c r="D27" s="3166" t="s">
        <v>3636</v>
      </c>
      <c r="E27" s="3151" t="s">
        <v>3607</v>
      </c>
      <c r="F27" s="3167" t="s">
        <v>3446</v>
      </c>
      <c r="G27" s="3167" t="s">
        <v>3420</v>
      </c>
      <c r="H27" s="3168">
        <v>119.32</v>
      </c>
      <c r="I27" s="3168">
        <v>94.44</v>
      </c>
      <c r="J27" s="3168">
        <f t="shared" si="1"/>
        <v>1</v>
      </c>
      <c r="K27" s="3168">
        <f>K26</f>
        <v>0.7</v>
      </c>
      <c r="L27" s="3168">
        <f>S3</f>
        <v>0.9</v>
      </c>
      <c r="M27" s="3641">
        <f t="shared" si="5"/>
        <v>0.7914850821320818</v>
      </c>
      <c r="N27" s="3153">
        <f t="shared" si="2"/>
        <v>1.01</v>
      </c>
      <c r="O27" s="3168">
        <f t="shared" ca="1" si="4"/>
        <v>4.5</v>
      </c>
      <c r="P27" s="3168">
        <f t="shared" ca="1" si="3"/>
        <v>536.94000000000005</v>
      </c>
      <c r="R27" s="3438"/>
      <c r="S27" s="3155" t="s">
        <v>3442</v>
      </c>
      <c r="T27" s="3155">
        <f>SUM(H16:H25)</f>
        <v>2608.1</v>
      </c>
      <c r="U27" s="3155">
        <f ca="1">ROUND(SUM(P16:P25)/T27,1)</f>
        <v>5</v>
      </c>
      <c r="V27" s="3149">
        <f t="shared" ca="1" si="6"/>
        <v>13040.5</v>
      </c>
    </row>
    <row r="28" spans="1:22">
      <c r="A28" s="3144">
        <v>27</v>
      </c>
      <c r="B28" s="3144" t="s">
        <v>3417</v>
      </c>
      <c r="C28" s="3165" t="s">
        <v>3448</v>
      </c>
      <c r="D28" s="3166" t="s">
        <v>3637</v>
      </c>
      <c r="E28" s="3151" t="s">
        <v>3607</v>
      </c>
      <c r="F28" s="3167" t="s">
        <v>3446</v>
      </c>
      <c r="G28" s="3167" t="s">
        <v>3420</v>
      </c>
      <c r="H28" s="3168">
        <v>117.06</v>
      </c>
      <c r="I28" s="3168">
        <v>92.65</v>
      </c>
      <c r="J28" s="3168">
        <f t="shared" si="1"/>
        <v>1</v>
      </c>
      <c r="K28" s="3168">
        <f>K27</f>
        <v>0.7</v>
      </c>
      <c r="L28" s="3168">
        <f>S4</f>
        <v>0.7</v>
      </c>
      <c r="M28" s="3641">
        <f t="shared" si="5"/>
        <v>0.79147445754314028</v>
      </c>
      <c r="N28" s="3153">
        <f t="shared" si="2"/>
        <v>1.01</v>
      </c>
      <c r="O28" s="3168">
        <f t="shared" ca="1" si="4"/>
        <v>3.5</v>
      </c>
      <c r="P28" s="3168">
        <f t="shared" ca="1" si="3"/>
        <v>409.71</v>
      </c>
      <c r="R28" s="3438"/>
      <c r="S28" s="3155" t="s">
        <v>3449</v>
      </c>
      <c r="T28" s="3155">
        <f>SUM(H26:H32)</f>
        <v>712.41</v>
      </c>
      <c r="U28" s="3155">
        <f ca="1">ROUND(SUM(P26:P32)/T28,1)</f>
        <v>3.7</v>
      </c>
      <c r="V28" s="3149">
        <f t="shared" ca="1" si="6"/>
        <v>2635.92</v>
      </c>
    </row>
    <row r="29" spans="1:22">
      <c r="A29" s="3144">
        <v>28</v>
      </c>
      <c r="B29" s="3144" t="s">
        <v>3417</v>
      </c>
      <c r="C29" s="3165" t="s">
        <v>3450</v>
      </c>
      <c r="D29" s="3166" t="s">
        <v>3638</v>
      </c>
      <c r="E29" s="3151" t="s">
        <v>3607</v>
      </c>
      <c r="F29" s="3167" t="s">
        <v>3446</v>
      </c>
      <c r="G29" s="3167" t="s">
        <v>3420</v>
      </c>
      <c r="H29" s="3168">
        <v>118.8</v>
      </c>
      <c r="I29" s="3168">
        <v>94.03</v>
      </c>
      <c r="J29" s="3168">
        <f t="shared" si="1"/>
        <v>1</v>
      </c>
      <c r="K29" s="3168">
        <f>K28</f>
        <v>0.7</v>
      </c>
      <c r="L29" s="3168">
        <f>S4</f>
        <v>0.7</v>
      </c>
      <c r="M29" s="3641">
        <f t="shared" si="5"/>
        <v>0.79149831649831648</v>
      </c>
      <c r="N29" s="3153">
        <f t="shared" si="2"/>
        <v>1.01</v>
      </c>
      <c r="O29" s="3168">
        <f t="shared" ca="1" si="4"/>
        <v>3.5</v>
      </c>
      <c r="P29" s="3168">
        <f t="shared" ca="1" si="3"/>
        <v>415.8</v>
      </c>
      <c r="R29" s="3438"/>
      <c r="S29" s="3155" t="s">
        <v>3451</v>
      </c>
      <c r="T29" s="3155">
        <f>SUM(H39:H53)</f>
        <v>2039.01</v>
      </c>
      <c r="U29" s="3155">
        <f ca="1">ROUND(SUM(P39:P53)/T29,1)</f>
        <v>1.4</v>
      </c>
      <c r="V29" s="3149">
        <f t="shared" ca="1" si="6"/>
        <v>2854.61</v>
      </c>
    </row>
    <row r="30" spans="1:22">
      <c r="A30" s="3144">
        <v>29</v>
      </c>
      <c r="B30" s="3144" t="s">
        <v>3417</v>
      </c>
      <c r="C30" s="3165" t="s">
        <v>3639</v>
      </c>
      <c r="D30" s="3166" t="s">
        <v>3640</v>
      </c>
      <c r="E30" s="3151" t="s">
        <v>3607</v>
      </c>
      <c r="F30" s="3167" t="s">
        <v>3446</v>
      </c>
      <c r="G30" s="3167" t="s">
        <v>3420</v>
      </c>
      <c r="H30" s="3168">
        <v>56.77</v>
      </c>
      <c r="I30" s="3168">
        <v>44.93</v>
      </c>
      <c r="J30" s="3168">
        <f t="shared" si="1"/>
        <v>0.98</v>
      </c>
      <c r="K30" s="3168">
        <f>K28</f>
        <v>0.7</v>
      </c>
      <c r="L30" s="3168">
        <f>S4</f>
        <v>0.7</v>
      </c>
      <c r="M30" s="3641">
        <f t="shared" si="5"/>
        <v>0.79143914039105157</v>
      </c>
      <c r="N30" s="3153">
        <f t="shared" si="2"/>
        <v>1.01</v>
      </c>
      <c r="O30" s="3168">
        <f t="shared" ca="1" si="4"/>
        <v>3.4</v>
      </c>
      <c r="P30" s="3168">
        <f t="shared" ca="1" si="3"/>
        <v>193.02</v>
      </c>
      <c r="R30" s="3438" t="s">
        <v>3452</v>
      </c>
      <c r="S30" s="3155" t="s">
        <v>3442</v>
      </c>
      <c r="T30" s="3155">
        <f>SUM(H33:H35)</f>
        <v>254.44</v>
      </c>
      <c r="U30" s="3155">
        <f ca="1">ROUND(SUM(P33:P35)/T30,1)</f>
        <v>7</v>
      </c>
      <c r="V30" s="3149">
        <f t="shared" ca="1" si="6"/>
        <v>1781.08</v>
      </c>
    </row>
    <row r="31" spans="1:22">
      <c r="A31" s="3144">
        <v>30</v>
      </c>
      <c r="B31" s="3144" t="s">
        <v>3417</v>
      </c>
      <c r="C31" s="3165" t="s">
        <v>3453</v>
      </c>
      <c r="D31" s="3166" t="s">
        <v>3641</v>
      </c>
      <c r="E31" s="3151" t="s">
        <v>3607</v>
      </c>
      <c r="F31" s="3167" t="s">
        <v>3446</v>
      </c>
      <c r="G31" s="3167" t="s">
        <v>3420</v>
      </c>
      <c r="H31" s="3168">
        <v>112.15</v>
      </c>
      <c r="I31" s="3168">
        <v>71.650000000000006</v>
      </c>
      <c r="J31" s="3168">
        <f t="shared" si="1"/>
        <v>1</v>
      </c>
      <c r="K31" s="3168">
        <f>K30</f>
        <v>0.7</v>
      </c>
      <c r="L31" s="3168">
        <f>S4</f>
        <v>0.7</v>
      </c>
      <c r="M31" s="3641">
        <f t="shared" si="5"/>
        <v>0.63887650468123047</v>
      </c>
      <c r="N31" s="3153">
        <f t="shared" si="2"/>
        <v>1</v>
      </c>
      <c r="O31" s="3168">
        <f t="shared" ca="1" si="4"/>
        <v>3.4</v>
      </c>
      <c r="P31" s="3168">
        <f t="shared" ca="1" si="3"/>
        <v>381.31</v>
      </c>
      <c r="R31" s="3438"/>
      <c r="S31" s="3155" t="s">
        <v>3444</v>
      </c>
      <c r="T31" s="3155">
        <f>SUM(H36:H38)</f>
        <v>943.27</v>
      </c>
      <c r="U31" s="3155">
        <f ca="1">ROUND(SUM(P36:P38)/T31,1)</f>
        <v>4.8</v>
      </c>
      <c r="V31" s="3149">
        <f t="shared" ca="1" si="6"/>
        <v>4527.7</v>
      </c>
    </row>
    <row r="32" spans="1:22">
      <c r="A32" s="3144">
        <v>31</v>
      </c>
      <c r="B32" s="3144" t="s">
        <v>3417</v>
      </c>
      <c r="C32" s="3165" t="s">
        <v>3454</v>
      </c>
      <c r="D32" s="3166" t="s">
        <v>3642</v>
      </c>
      <c r="E32" s="3151" t="s">
        <v>3607</v>
      </c>
      <c r="F32" s="3167" t="s">
        <v>3446</v>
      </c>
      <c r="G32" s="3167" t="s">
        <v>3420</v>
      </c>
      <c r="H32" s="3168">
        <v>109.14</v>
      </c>
      <c r="I32" s="3168">
        <v>69.73</v>
      </c>
      <c r="J32" s="3168">
        <f t="shared" si="1"/>
        <v>1</v>
      </c>
      <c r="K32" s="3168">
        <f>K31</f>
        <v>0.7</v>
      </c>
      <c r="L32" s="3168">
        <f>S4</f>
        <v>0.7</v>
      </c>
      <c r="M32" s="3641">
        <f t="shared" si="5"/>
        <v>0.63890415979475901</v>
      </c>
      <c r="N32" s="3153">
        <f t="shared" si="2"/>
        <v>1</v>
      </c>
      <c r="O32" s="3168">
        <f t="shared" ca="1" si="4"/>
        <v>3.4</v>
      </c>
      <c r="P32" s="3168">
        <f t="shared" ca="1" si="3"/>
        <v>371.08</v>
      </c>
      <c r="R32" s="3438" t="s">
        <v>2593</v>
      </c>
      <c r="S32" s="3438"/>
      <c r="T32" s="3169">
        <f>SUM(T22:T31)</f>
        <v>8784.6999999999989</v>
      </c>
      <c r="U32" s="3169">
        <f ca="1">ROUND(V32/T32,1)</f>
        <v>3.9</v>
      </c>
      <c r="V32" s="3170">
        <f ca="1">SUM(V22:V31)</f>
        <v>34497.159999999996</v>
      </c>
    </row>
    <row r="33" spans="1:21">
      <c r="A33" s="3144">
        <v>32</v>
      </c>
      <c r="B33" s="3144" t="s">
        <v>3452</v>
      </c>
      <c r="C33" s="3150" t="s">
        <v>3455</v>
      </c>
      <c r="D33" s="3151" t="s">
        <v>3643</v>
      </c>
      <c r="E33" s="3151" t="s">
        <v>3607</v>
      </c>
      <c r="F33" s="3152" t="s">
        <v>3419</v>
      </c>
      <c r="G33" s="3152" t="s">
        <v>3394</v>
      </c>
      <c r="H33" s="3153">
        <v>101.15</v>
      </c>
      <c r="I33" s="3153">
        <v>69.84</v>
      </c>
      <c r="J33" s="3153">
        <f t="shared" si="1"/>
        <v>1</v>
      </c>
      <c r="K33" s="3153">
        <v>1</v>
      </c>
      <c r="L33" s="3153">
        <f>S2</f>
        <v>1</v>
      </c>
      <c r="M33" s="3255">
        <f t="shared" si="5"/>
        <v>0.69045971329708355</v>
      </c>
      <c r="N33" s="3153">
        <f t="shared" si="2"/>
        <v>1</v>
      </c>
      <c r="O33" s="3153">
        <f t="shared" ca="1" si="4"/>
        <v>7</v>
      </c>
      <c r="P33" s="3153">
        <f t="shared" ca="1" si="3"/>
        <v>708.05</v>
      </c>
    </row>
    <row r="34" spans="1:21">
      <c r="A34" s="3144">
        <v>33</v>
      </c>
      <c r="B34" s="3144" t="s">
        <v>3452</v>
      </c>
      <c r="C34" s="3150" t="s">
        <v>3456</v>
      </c>
      <c r="D34" s="3151" t="s">
        <v>3644</v>
      </c>
      <c r="E34" s="3151" t="s">
        <v>3607</v>
      </c>
      <c r="F34" s="3152" t="s">
        <v>3419</v>
      </c>
      <c r="G34" s="3152" t="s">
        <v>3394</v>
      </c>
      <c r="H34" s="3153">
        <v>104.42</v>
      </c>
      <c r="I34" s="3153">
        <v>72.099999999999994</v>
      </c>
      <c r="J34" s="3153">
        <f t="shared" si="1"/>
        <v>1</v>
      </c>
      <c r="K34" s="3153">
        <v>1</v>
      </c>
      <c r="L34" s="3153">
        <f>S2</f>
        <v>1</v>
      </c>
      <c r="M34" s="3255">
        <f t="shared" si="5"/>
        <v>0.69048075081402027</v>
      </c>
      <c r="N34" s="3153">
        <f t="shared" si="2"/>
        <v>1</v>
      </c>
      <c r="O34" s="3153">
        <f t="shared" ca="1" si="4"/>
        <v>7</v>
      </c>
      <c r="P34" s="3153">
        <f t="shared" ca="1" si="3"/>
        <v>730.94</v>
      </c>
    </row>
    <row r="35" spans="1:21">
      <c r="A35" s="3144">
        <v>34</v>
      </c>
      <c r="B35" s="3144" t="s">
        <v>3452</v>
      </c>
      <c r="C35" s="3150" t="s">
        <v>3457</v>
      </c>
      <c r="D35" s="3151" t="s">
        <v>3645</v>
      </c>
      <c r="E35" s="3151" t="s">
        <v>3607</v>
      </c>
      <c r="F35" s="3152" t="s">
        <v>3419</v>
      </c>
      <c r="G35" s="3152" t="s">
        <v>3394</v>
      </c>
      <c r="H35" s="3153">
        <v>48.87</v>
      </c>
      <c r="I35" s="3153">
        <v>33.74</v>
      </c>
      <c r="J35" s="3153">
        <f t="shared" si="1"/>
        <v>0.98</v>
      </c>
      <c r="K35" s="3153">
        <v>1</v>
      </c>
      <c r="L35" s="3153">
        <f>S2</f>
        <v>1</v>
      </c>
      <c r="M35" s="3255">
        <f t="shared" si="5"/>
        <v>0.69040311029261314</v>
      </c>
      <c r="N35" s="3153">
        <f t="shared" si="2"/>
        <v>1</v>
      </c>
      <c r="O35" s="3153">
        <f t="shared" ca="1" si="4"/>
        <v>6.9</v>
      </c>
      <c r="P35" s="3153">
        <f t="shared" ca="1" si="3"/>
        <v>337.2</v>
      </c>
      <c r="S35" s="3149" t="str">
        <f>E2</f>
        <v>北京新弘明成商业管理有限责任公司</v>
      </c>
      <c r="T35" s="3149">
        <f>SUMIF(E2:E53,S35,H2:H53)</f>
        <v>7675.58</v>
      </c>
    </row>
    <row r="36" spans="1:21">
      <c r="A36" s="3144">
        <v>35</v>
      </c>
      <c r="B36" s="3158" t="s">
        <v>3452</v>
      </c>
      <c r="C36" s="3159" t="s">
        <v>3458</v>
      </c>
      <c r="D36" s="3160" t="s">
        <v>3646</v>
      </c>
      <c r="E36" s="3151" t="s">
        <v>3607</v>
      </c>
      <c r="F36" s="3161" t="s">
        <v>3414</v>
      </c>
      <c r="G36" s="3161" t="s">
        <v>3394</v>
      </c>
      <c r="H36" s="3162">
        <v>359.07</v>
      </c>
      <c r="I36" s="3162">
        <v>247.92</v>
      </c>
      <c r="J36" s="3162">
        <f t="shared" si="1"/>
        <v>0.98</v>
      </c>
      <c r="K36" s="3162">
        <f>T20</f>
        <v>0.7</v>
      </c>
      <c r="L36" s="3162">
        <f>S2</f>
        <v>1</v>
      </c>
      <c r="M36" s="3640">
        <f t="shared" si="5"/>
        <v>0.6904503300192163</v>
      </c>
      <c r="N36" s="3153">
        <f t="shared" si="2"/>
        <v>1</v>
      </c>
      <c r="O36" s="3162">
        <f t="shared" ca="1" si="4"/>
        <v>4.8</v>
      </c>
      <c r="P36" s="3162">
        <f t="shared" ca="1" si="3"/>
        <v>1723.54</v>
      </c>
      <c r="S36" s="3149" t="str">
        <f>E42</f>
        <v>北京首城置业有限公司</v>
      </c>
      <c r="T36" s="3149">
        <f>SUMIF(E2:E54,S36,H2:H54)</f>
        <v>1109.1200000000001</v>
      </c>
    </row>
    <row r="37" spans="1:21">
      <c r="A37" s="3144">
        <v>36</v>
      </c>
      <c r="B37" s="3158" t="s">
        <v>3452</v>
      </c>
      <c r="C37" s="3159" t="s">
        <v>3459</v>
      </c>
      <c r="D37" s="3160" t="s">
        <v>3647</v>
      </c>
      <c r="E37" s="3151" t="s">
        <v>3607</v>
      </c>
      <c r="F37" s="3161" t="s">
        <v>3414</v>
      </c>
      <c r="G37" s="3161" t="s">
        <v>3394</v>
      </c>
      <c r="H37" s="3162">
        <v>320.08999999999997</v>
      </c>
      <c r="I37" s="3162">
        <v>221.01</v>
      </c>
      <c r="J37" s="3162">
        <f t="shared" si="1"/>
        <v>0.98</v>
      </c>
      <c r="K37" s="3162">
        <f>T20</f>
        <v>0.7</v>
      </c>
      <c r="L37" s="3162">
        <f>S2</f>
        <v>1</v>
      </c>
      <c r="M37" s="3640">
        <f t="shared" si="5"/>
        <v>0.69046205754631518</v>
      </c>
      <c r="N37" s="3153">
        <f t="shared" si="2"/>
        <v>1</v>
      </c>
      <c r="O37" s="3162">
        <f t="shared" ca="1" si="4"/>
        <v>4.8</v>
      </c>
      <c r="P37" s="3162">
        <f t="shared" ca="1" si="3"/>
        <v>1536.43</v>
      </c>
      <c r="T37" s="3149">
        <f>T35+T36</f>
        <v>8784.7000000000007</v>
      </c>
    </row>
    <row r="38" spans="1:21">
      <c r="A38" s="3144">
        <v>37</v>
      </c>
      <c r="B38" s="3158" t="s">
        <v>3452</v>
      </c>
      <c r="C38" s="3159" t="s">
        <v>3460</v>
      </c>
      <c r="D38" s="3160" t="s">
        <v>3648</v>
      </c>
      <c r="E38" s="3151" t="s">
        <v>3607</v>
      </c>
      <c r="F38" s="3161" t="s">
        <v>3414</v>
      </c>
      <c r="G38" s="3161" t="s">
        <v>3394</v>
      </c>
      <c r="H38" s="3162">
        <v>264.11</v>
      </c>
      <c r="I38" s="3162">
        <v>182.36</v>
      </c>
      <c r="J38" s="3162">
        <f t="shared" si="1"/>
        <v>1</v>
      </c>
      <c r="K38" s="3162">
        <f>T20</f>
        <v>0.7</v>
      </c>
      <c r="L38" s="3162">
        <f>S2</f>
        <v>1</v>
      </c>
      <c r="M38" s="3640">
        <f t="shared" si="5"/>
        <v>0.69046987997425313</v>
      </c>
      <c r="N38" s="3153">
        <f t="shared" si="2"/>
        <v>1</v>
      </c>
      <c r="O38" s="3162">
        <f t="shared" ca="1" si="4"/>
        <v>4.9000000000000004</v>
      </c>
      <c r="P38" s="3162">
        <f t="shared" ca="1" si="3"/>
        <v>1294.1400000000001</v>
      </c>
    </row>
    <row r="39" spans="1:21" ht="27">
      <c r="A39" s="3144">
        <v>1</v>
      </c>
      <c r="B39" s="3144" t="s">
        <v>3417</v>
      </c>
      <c r="C39" s="3171" t="s">
        <v>3461</v>
      </c>
      <c r="D39" s="3172" t="s">
        <v>3649</v>
      </c>
      <c r="E39" s="3151" t="s">
        <v>3607</v>
      </c>
      <c r="F39" s="3173" t="s">
        <v>3462</v>
      </c>
      <c r="G39" s="3173" t="s">
        <v>3463</v>
      </c>
      <c r="H39" s="3174">
        <v>131.88</v>
      </c>
      <c r="I39" s="3174">
        <v>73.47</v>
      </c>
      <c r="J39" s="3174">
        <f>IF(H39&lt;100,0.98,1)</f>
        <v>1</v>
      </c>
      <c r="K39" s="3174">
        <v>1</v>
      </c>
      <c r="L39" s="3174"/>
      <c r="M39" s="3636">
        <f t="shared" si="5"/>
        <v>0.55709736123748865</v>
      </c>
      <c r="N39" s="3174"/>
      <c r="O39" s="3174">
        <f ca="1">ROUND('结果一览表-库房'!D37,1)</f>
        <v>1.4</v>
      </c>
      <c r="P39" s="3174">
        <f t="shared" ca="1" si="3"/>
        <v>184.63</v>
      </c>
      <c r="R39" s="3157"/>
      <c r="S39" s="3157"/>
      <c r="T39" s="3157"/>
      <c r="U39" s="3157"/>
    </row>
    <row r="40" spans="1:21" ht="27">
      <c r="A40" s="3144">
        <v>2</v>
      </c>
      <c r="B40" s="3144" t="s">
        <v>3417</v>
      </c>
      <c r="C40" s="3171" t="s">
        <v>3464</v>
      </c>
      <c r="D40" s="3172" t="s">
        <v>3650</v>
      </c>
      <c r="E40" s="3151" t="s">
        <v>3607</v>
      </c>
      <c r="F40" s="3173" t="s">
        <v>3462</v>
      </c>
      <c r="G40" s="3173" t="s">
        <v>3463</v>
      </c>
      <c r="H40" s="3174">
        <v>134.19</v>
      </c>
      <c r="I40" s="3174">
        <v>74.760000000000005</v>
      </c>
      <c r="J40" s="3174">
        <f t="shared" ref="J40:J53" si="7">IF(H40&lt;100,0.98,1)</f>
        <v>1</v>
      </c>
      <c r="K40" s="3174">
        <v>1</v>
      </c>
      <c r="L40" s="3174"/>
      <c r="M40" s="3636">
        <f t="shared" si="5"/>
        <v>0.55712050078247266</v>
      </c>
      <c r="N40" s="3174"/>
      <c r="O40" s="3174">
        <f ca="1">ROUND($O$39*J40*K40,1)</f>
        <v>1.4</v>
      </c>
      <c r="P40" s="3174">
        <f t="shared" ca="1" si="3"/>
        <v>187.87</v>
      </c>
      <c r="R40" s="3157"/>
      <c r="S40" s="3157"/>
      <c r="T40" s="3157"/>
      <c r="U40" s="3157"/>
    </row>
    <row r="41" spans="1:21" ht="27">
      <c r="A41" s="3144">
        <v>3</v>
      </c>
      <c r="B41" s="3144" t="s">
        <v>3417</v>
      </c>
      <c r="C41" s="3171" t="s">
        <v>3465</v>
      </c>
      <c r="D41" s="3172" t="s">
        <v>3651</v>
      </c>
      <c r="E41" s="3151" t="s">
        <v>3607</v>
      </c>
      <c r="F41" s="3173" t="s">
        <v>3462</v>
      </c>
      <c r="G41" s="3173" t="s">
        <v>3463</v>
      </c>
      <c r="H41" s="3174">
        <v>137.80000000000001</v>
      </c>
      <c r="I41" s="3174">
        <v>76.77</v>
      </c>
      <c r="J41" s="3174">
        <f t="shared" si="7"/>
        <v>1</v>
      </c>
      <c r="K41" s="3174">
        <v>1</v>
      </c>
      <c r="L41" s="3174"/>
      <c r="M41" s="3636">
        <f t="shared" si="5"/>
        <v>0.55711175616835984</v>
      </c>
      <c r="N41" s="3174"/>
      <c r="O41" s="3174">
        <f t="shared" ref="O41:O53" ca="1" si="8">ROUND($O$39*J41*K41,1)</f>
        <v>1.4</v>
      </c>
      <c r="P41" s="3174">
        <f t="shared" ca="1" si="3"/>
        <v>192.92</v>
      </c>
    </row>
    <row r="42" spans="1:21" ht="27">
      <c r="A42" s="3144">
        <v>4</v>
      </c>
      <c r="B42" s="3144" t="s">
        <v>3417</v>
      </c>
      <c r="C42" s="3171" t="s">
        <v>3466</v>
      </c>
      <c r="D42" s="3175" t="s">
        <v>3467</v>
      </c>
      <c r="E42" s="3175" t="s">
        <v>3468</v>
      </c>
      <c r="F42" s="3173" t="s">
        <v>3462</v>
      </c>
      <c r="G42" s="3173" t="s">
        <v>3463</v>
      </c>
      <c r="H42" s="3174">
        <v>153.52000000000001</v>
      </c>
      <c r="I42" s="3637">
        <f>ROUND(H42*$M$41,2)</f>
        <v>85.53</v>
      </c>
      <c r="J42" s="3174">
        <f t="shared" si="7"/>
        <v>1</v>
      </c>
      <c r="K42" s="3174">
        <v>1</v>
      </c>
      <c r="L42" s="3174"/>
      <c r="M42" s="3636">
        <f t="shared" si="5"/>
        <v>0.55712610734757684</v>
      </c>
      <c r="N42" s="3174"/>
      <c r="O42" s="3174">
        <f t="shared" ca="1" si="8"/>
        <v>1.4</v>
      </c>
      <c r="P42" s="3174">
        <f t="shared" ca="1" si="3"/>
        <v>214.93</v>
      </c>
    </row>
    <row r="43" spans="1:21" ht="27">
      <c r="A43" s="3144">
        <v>5</v>
      </c>
      <c r="B43" s="3144" t="s">
        <v>3417</v>
      </c>
      <c r="C43" s="3171" t="s">
        <v>3469</v>
      </c>
      <c r="D43" s="3175" t="s">
        <v>3467</v>
      </c>
      <c r="E43" s="3175" t="s">
        <v>3468</v>
      </c>
      <c r="F43" s="3173" t="s">
        <v>3462</v>
      </c>
      <c r="G43" s="3173" t="s">
        <v>3463</v>
      </c>
      <c r="H43" s="3174">
        <v>91.97</v>
      </c>
      <c r="I43" s="3637">
        <f>ROUND(H43*$M$41,2)</f>
        <v>51.24</v>
      </c>
      <c r="J43" s="3174">
        <f t="shared" si="7"/>
        <v>0.98</v>
      </c>
      <c r="K43" s="3174">
        <v>1</v>
      </c>
      <c r="L43" s="3174"/>
      <c r="M43" s="3636">
        <f t="shared" si="5"/>
        <v>0.55713819723822988</v>
      </c>
      <c r="N43" s="3174"/>
      <c r="O43" s="3174">
        <f t="shared" ca="1" si="8"/>
        <v>1.4</v>
      </c>
      <c r="P43" s="3174">
        <f t="shared" ca="1" si="3"/>
        <v>128.76</v>
      </c>
    </row>
    <row r="44" spans="1:21" ht="27">
      <c r="A44" s="3144">
        <v>6</v>
      </c>
      <c r="B44" s="3144" t="s">
        <v>3417</v>
      </c>
      <c r="C44" s="3171" t="s">
        <v>3470</v>
      </c>
      <c r="D44" s="3172" t="s">
        <v>3652</v>
      </c>
      <c r="E44" s="3151" t="s">
        <v>3607</v>
      </c>
      <c r="F44" s="3173" t="s">
        <v>3462</v>
      </c>
      <c r="G44" s="3173" t="s">
        <v>3463</v>
      </c>
      <c r="H44" s="3174">
        <v>124.97</v>
      </c>
      <c r="I44" s="3174">
        <v>69.62</v>
      </c>
      <c r="J44" s="3174">
        <f t="shared" si="7"/>
        <v>1</v>
      </c>
      <c r="K44" s="3174">
        <v>1</v>
      </c>
      <c r="L44" s="3174"/>
      <c r="M44" s="3636">
        <f t="shared" si="5"/>
        <v>0.55709370248859735</v>
      </c>
      <c r="N44" s="3174"/>
      <c r="O44" s="3174">
        <f t="shared" ca="1" si="8"/>
        <v>1.4</v>
      </c>
      <c r="P44" s="3174">
        <f t="shared" ca="1" si="3"/>
        <v>174.96</v>
      </c>
    </row>
    <row r="45" spans="1:21" ht="27">
      <c r="A45" s="3144">
        <v>7</v>
      </c>
      <c r="B45" s="3144" t="s">
        <v>3417</v>
      </c>
      <c r="C45" s="3171" t="s">
        <v>3471</v>
      </c>
      <c r="D45" s="3175" t="s">
        <v>3467</v>
      </c>
      <c r="E45" s="3175" t="s">
        <v>3468</v>
      </c>
      <c r="F45" s="3173" t="s">
        <v>3462</v>
      </c>
      <c r="G45" s="3173" t="s">
        <v>3463</v>
      </c>
      <c r="H45" s="3174">
        <v>123.94</v>
      </c>
      <c r="I45" s="3637">
        <f>ROUND(H45*$M$41,2)</f>
        <v>69.05</v>
      </c>
      <c r="J45" s="3174">
        <f t="shared" si="7"/>
        <v>1</v>
      </c>
      <c r="K45" s="3174">
        <v>1</v>
      </c>
      <c r="L45" s="3174"/>
      <c r="M45" s="3636">
        <f t="shared" si="5"/>
        <v>0.55712441503953525</v>
      </c>
      <c r="N45" s="3174"/>
      <c r="O45" s="3174">
        <f t="shared" ca="1" si="8"/>
        <v>1.4</v>
      </c>
      <c r="P45" s="3174">
        <f t="shared" ca="1" si="3"/>
        <v>173.52</v>
      </c>
    </row>
    <row r="46" spans="1:21" ht="27">
      <c r="A46" s="3144">
        <v>8</v>
      </c>
      <c r="B46" s="3144" t="s">
        <v>3417</v>
      </c>
      <c r="C46" s="3171" t="s">
        <v>3472</v>
      </c>
      <c r="D46" s="3175" t="s">
        <v>3467</v>
      </c>
      <c r="E46" s="3175" t="s">
        <v>3468</v>
      </c>
      <c r="F46" s="3173" t="s">
        <v>3462</v>
      </c>
      <c r="G46" s="3173" t="s">
        <v>3463</v>
      </c>
      <c r="H46" s="3174">
        <v>124.97</v>
      </c>
      <c r="I46" s="3637">
        <f>ROUND(H46*$M$41,2)</f>
        <v>69.62</v>
      </c>
      <c r="J46" s="3174">
        <f t="shared" si="7"/>
        <v>1</v>
      </c>
      <c r="K46" s="3174">
        <v>1</v>
      </c>
      <c r="L46" s="3174"/>
      <c r="M46" s="3636">
        <f t="shared" si="5"/>
        <v>0.55709370248859735</v>
      </c>
      <c r="N46" s="3174"/>
      <c r="O46" s="3174">
        <f t="shared" ca="1" si="8"/>
        <v>1.4</v>
      </c>
      <c r="P46" s="3174">
        <f t="shared" ca="1" si="3"/>
        <v>174.96</v>
      </c>
    </row>
    <row r="47" spans="1:21" ht="27">
      <c r="A47" s="3144">
        <v>9</v>
      </c>
      <c r="B47" s="3144" t="s">
        <v>3417</v>
      </c>
      <c r="C47" s="3171" t="s">
        <v>3473</v>
      </c>
      <c r="D47" s="3172" t="s">
        <v>3653</v>
      </c>
      <c r="E47" s="3151" t="s">
        <v>3607</v>
      </c>
      <c r="F47" s="3173" t="s">
        <v>3462</v>
      </c>
      <c r="G47" s="3173" t="s">
        <v>3463</v>
      </c>
      <c r="H47" s="3174">
        <v>97.68</v>
      </c>
      <c r="I47" s="3174">
        <v>54.42</v>
      </c>
      <c r="J47" s="3174">
        <f t="shared" si="7"/>
        <v>0.98</v>
      </c>
      <c r="K47" s="3174">
        <v>1</v>
      </c>
      <c r="L47" s="3174"/>
      <c r="M47" s="3636">
        <f t="shared" si="5"/>
        <v>0.55712530712530706</v>
      </c>
      <c r="N47" s="3174"/>
      <c r="O47" s="3174">
        <f t="shared" ca="1" si="8"/>
        <v>1.4</v>
      </c>
      <c r="P47" s="3174">
        <f t="shared" ca="1" si="3"/>
        <v>136.75</v>
      </c>
    </row>
    <row r="48" spans="1:21" ht="27">
      <c r="A48" s="3144">
        <v>10</v>
      </c>
      <c r="B48" s="3144" t="s">
        <v>3417</v>
      </c>
      <c r="C48" s="3171" t="s">
        <v>3474</v>
      </c>
      <c r="D48" s="3172" t="s">
        <v>3654</v>
      </c>
      <c r="E48" s="3151" t="s">
        <v>3607</v>
      </c>
      <c r="F48" s="3173" t="s">
        <v>3462</v>
      </c>
      <c r="G48" s="3173" t="s">
        <v>3463</v>
      </c>
      <c r="H48" s="3174">
        <v>137.05000000000001</v>
      </c>
      <c r="I48" s="3174">
        <v>76.349999999999994</v>
      </c>
      <c r="J48" s="3174">
        <f t="shared" si="7"/>
        <v>1</v>
      </c>
      <c r="K48" s="3174">
        <v>1</v>
      </c>
      <c r="L48" s="3174"/>
      <c r="M48" s="3636">
        <f t="shared" si="5"/>
        <v>0.5570959503830718</v>
      </c>
      <c r="N48" s="3174"/>
      <c r="O48" s="3174">
        <f t="shared" ca="1" si="8"/>
        <v>1.4</v>
      </c>
      <c r="P48" s="3174">
        <f t="shared" ca="1" si="3"/>
        <v>191.87</v>
      </c>
    </row>
    <row r="49" spans="1:16" ht="27">
      <c r="A49" s="3144">
        <v>11</v>
      </c>
      <c r="B49" s="3144" t="s">
        <v>3417</v>
      </c>
      <c r="C49" s="3171" t="s">
        <v>3475</v>
      </c>
      <c r="D49" s="3172" t="s">
        <v>3655</v>
      </c>
      <c r="E49" s="3151" t="s">
        <v>3607</v>
      </c>
      <c r="F49" s="3173" t="s">
        <v>3462</v>
      </c>
      <c r="G49" s="3173" t="s">
        <v>3463</v>
      </c>
      <c r="H49" s="3174">
        <v>166.32</v>
      </c>
      <c r="I49" s="3174">
        <v>92.66</v>
      </c>
      <c r="J49" s="3174">
        <f t="shared" si="7"/>
        <v>1</v>
      </c>
      <c r="K49" s="3174">
        <v>1</v>
      </c>
      <c r="L49" s="3174"/>
      <c r="M49" s="3636">
        <f t="shared" si="5"/>
        <v>0.55711880711880712</v>
      </c>
      <c r="N49" s="3174"/>
      <c r="O49" s="3174">
        <f t="shared" ca="1" si="8"/>
        <v>1.4</v>
      </c>
      <c r="P49" s="3174">
        <f t="shared" ca="1" si="3"/>
        <v>232.85</v>
      </c>
    </row>
    <row r="50" spans="1:16" ht="27">
      <c r="A50" s="3144">
        <v>12</v>
      </c>
      <c r="B50" s="3144" t="s">
        <v>3417</v>
      </c>
      <c r="C50" s="3171" t="s">
        <v>3476</v>
      </c>
      <c r="D50" s="3175" t="s">
        <v>3467</v>
      </c>
      <c r="E50" s="3175" t="s">
        <v>3468</v>
      </c>
      <c r="F50" s="3173" t="s">
        <v>3462</v>
      </c>
      <c r="G50" s="3173" t="s">
        <v>3463</v>
      </c>
      <c r="H50" s="3174">
        <v>164.96</v>
      </c>
      <c r="I50" s="3637">
        <f t="shared" ref="I50:I53" si="9">ROUND(H50*$M$41,2)</f>
        <v>91.9</v>
      </c>
      <c r="J50" s="3174">
        <f t="shared" si="7"/>
        <v>1</v>
      </c>
      <c r="K50" s="3174">
        <v>1</v>
      </c>
      <c r="L50" s="3174"/>
      <c r="M50" s="3636">
        <f t="shared" si="5"/>
        <v>0.5571047526673133</v>
      </c>
      <c r="N50" s="3174"/>
      <c r="O50" s="3174">
        <f t="shared" ca="1" si="8"/>
        <v>1.4</v>
      </c>
      <c r="P50" s="3174">
        <f t="shared" ca="1" si="3"/>
        <v>230.94</v>
      </c>
    </row>
    <row r="51" spans="1:16" ht="27">
      <c r="A51" s="3144">
        <v>13</v>
      </c>
      <c r="B51" s="3144" t="s">
        <v>3417</v>
      </c>
      <c r="C51" s="3171" t="s">
        <v>3477</v>
      </c>
      <c r="D51" s="3175" t="s">
        <v>3467</v>
      </c>
      <c r="E51" s="3175" t="s">
        <v>3468</v>
      </c>
      <c r="F51" s="3173" t="s">
        <v>3462</v>
      </c>
      <c r="G51" s="3173" t="s">
        <v>3463</v>
      </c>
      <c r="H51" s="3174">
        <v>168.1</v>
      </c>
      <c r="I51" s="3637">
        <f t="shared" si="9"/>
        <v>93.65</v>
      </c>
      <c r="J51" s="3174">
        <f t="shared" si="7"/>
        <v>1</v>
      </c>
      <c r="K51" s="3174">
        <v>1</v>
      </c>
      <c r="L51" s="3174"/>
      <c r="M51" s="3636">
        <f t="shared" si="5"/>
        <v>0.55710886377156454</v>
      </c>
      <c r="N51" s="3174"/>
      <c r="O51" s="3174">
        <f t="shared" ca="1" si="8"/>
        <v>1.4</v>
      </c>
      <c r="P51" s="3174">
        <f t="shared" ca="1" si="3"/>
        <v>235.34</v>
      </c>
    </row>
    <row r="52" spans="1:16" ht="27">
      <c r="A52" s="3144">
        <v>14</v>
      </c>
      <c r="B52" s="3144" t="s">
        <v>3417</v>
      </c>
      <c r="C52" s="3171" t="s">
        <v>3478</v>
      </c>
      <c r="D52" s="3175" t="s">
        <v>3467</v>
      </c>
      <c r="E52" s="3175" t="s">
        <v>3468</v>
      </c>
      <c r="F52" s="3173" t="s">
        <v>3462</v>
      </c>
      <c r="G52" s="3173" t="s">
        <v>3463</v>
      </c>
      <c r="H52" s="3174">
        <v>157.13</v>
      </c>
      <c r="I52" s="3637">
        <f t="shared" si="9"/>
        <v>87.54</v>
      </c>
      <c r="J52" s="3174">
        <f t="shared" si="7"/>
        <v>1</v>
      </c>
      <c r="K52" s="3174">
        <v>1</v>
      </c>
      <c r="L52" s="3174"/>
      <c r="M52" s="3636">
        <f t="shared" si="5"/>
        <v>0.55711830967988296</v>
      </c>
      <c r="N52" s="3174"/>
      <c r="O52" s="3174">
        <f t="shared" ca="1" si="8"/>
        <v>1.4</v>
      </c>
      <c r="P52" s="3174">
        <f t="shared" ca="1" si="3"/>
        <v>219.98</v>
      </c>
    </row>
    <row r="53" spans="1:16" ht="27">
      <c r="A53" s="3144">
        <v>15</v>
      </c>
      <c r="B53" s="3144" t="s">
        <v>3417</v>
      </c>
      <c r="C53" s="3171" t="s">
        <v>3479</v>
      </c>
      <c r="D53" s="3175" t="s">
        <v>3467</v>
      </c>
      <c r="E53" s="3175" t="s">
        <v>3468</v>
      </c>
      <c r="F53" s="3173" t="s">
        <v>3462</v>
      </c>
      <c r="G53" s="3173" t="s">
        <v>3463</v>
      </c>
      <c r="H53" s="3174">
        <v>124.53</v>
      </c>
      <c r="I53" s="3637">
        <f t="shared" si="9"/>
        <v>69.38</v>
      </c>
      <c r="J53" s="3174">
        <f t="shared" si="7"/>
        <v>1</v>
      </c>
      <c r="K53" s="3174">
        <v>1</v>
      </c>
      <c r="L53" s="3174"/>
      <c r="M53" s="3636">
        <f t="shared" si="5"/>
        <v>0.55713482694932948</v>
      </c>
      <c r="N53" s="3174"/>
      <c r="O53" s="3174">
        <f t="shared" ca="1" si="8"/>
        <v>1.4</v>
      </c>
      <c r="P53" s="3174">
        <f t="shared" ca="1" si="3"/>
        <v>174.34</v>
      </c>
    </row>
    <row r="54" spans="1:16">
      <c r="H54" s="3176">
        <f>SUM(H2:H53)</f>
        <v>8784.7000000000007</v>
      </c>
      <c r="I54" s="3176">
        <f>SUM(I2:I53)</f>
        <v>6512.2199999999984</v>
      </c>
      <c r="O54" s="3177">
        <f ca="1">ROUND(P54/H54,1)</f>
        <v>3.9</v>
      </c>
      <c r="P54" s="3176">
        <f ca="1">SUM(P2:P53)</f>
        <v>34495.889999999985</v>
      </c>
    </row>
  </sheetData>
  <autoFilter ref="A1:V54" xr:uid="{00000000-0009-0000-0000-000012000000}"/>
  <mergeCells count="4">
    <mergeCell ref="R23:R25"/>
    <mergeCell ref="R26:R29"/>
    <mergeCell ref="R30:R31"/>
    <mergeCell ref="R32:S32"/>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6" t="str">
        <f>项目基本情况!B1</f>
        <v>北京市房地产市场价值预评估</v>
      </c>
      <c r="C37" s="3256"/>
      <c r="D37" s="3256"/>
      <c r="E37" s="3256"/>
      <c r="F37" s="3256"/>
      <c r="G37" s="3256"/>
      <c r="H37" s="3256"/>
      <c r="I37" s="325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71D8F-E016-438D-86C9-7742E591E2CA}">
  <sheetPr>
    <tabColor rgb="FFFFC000"/>
  </sheetPr>
  <dimension ref="A1:P45"/>
  <sheetViews>
    <sheetView topLeftCell="C1" zoomScale="90" zoomScaleNormal="90" workbookViewId="0">
      <selection activeCell="C35" sqref="C35"/>
    </sheetView>
  </sheetViews>
  <sheetFormatPr defaultRowHeight="13.5"/>
  <cols>
    <col min="1" max="1" width="6.375" style="3181" customWidth="1"/>
    <col min="2" max="2" width="19.375" style="3156" customWidth="1"/>
    <col min="3" max="3" width="7" style="3181" customWidth="1"/>
    <col min="4" max="4" width="3.25" style="3181" customWidth="1"/>
    <col min="5" max="5" width="7.375" style="3181" customWidth="1"/>
    <col min="6" max="6" width="3.5" style="3181" customWidth="1"/>
    <col min="7" max="7" width="19.375" style="3226" customWidth="1"/>
    <col min="8" max="8" width="19.5" style="3181" customWidth="1"/>
    <col min="9" max="9" width="8.625" style="3181" customWidth="1"/>
    <col min="10" max="10" width="10.5" style="3149" customWidth="1"/>
    <col min="11" max="11" width="4.875" style="3149" customWidth="1"/>
    <col min="12" max="12" width="16.375" style="3149" customWidth="1"/>
    <col min="13" max="16" width="8.125" style="3181" customWidth="1"/>
    <col min="17" max="256" width="9" style="3181"/>
    <col min="257" max="257" width="6.375" style="3181" customWidth="1"/>
    <col min="258" max="258" width="19.375" style="3181" customWidth="1"/>
    <col min="259" max="259" width="7" style="3181" customWidth="1"/>
    <col min="260" max="260" width="3.25" style="3181" customWidth="1"/>
    <col min="261" max="261" width="7.375" style="3181" customWidth="1"/>
    <col min="262" max="262" width="3.5" style="3181" customWidth="1"/>
    <col min="263" max="263" width="19.375" style="3181" customWidth="1"/>
    <col min="264" max="264" width="19.5" style="3181" customWidth="1"/>
    <col min="265" max="265" width="8.625" style="3181" customWidth="1"/>
    <col min="266" max="266" width="10.5" style="3181" customWidth="1"/>
    <col min="267" max="267" width="4.875" style="3181" customWidth="1"/>
    <col min="268" max="268" width="16.375" style="3181" customWidth="1"/>
    <col min="269" max="272" width="8.125" style="3181" customWidth="1"/>
    <col min="273" max="512" width="9" style="3181"/>
    <col min="513" max="513" width="6.375" style="3181" customWidth="1"/>
    <col min="514" max="514" width="19.375" style="3181" customWidth="1"/>
    <col min="515" max="515" width="7" style="3181" customWidth="1"/>
    <col min="516" max="516" width="3.25" style="3181" customWidth="1"/>
    <col min="517" max="517" width="7.375" style="3181" customWidth="1"/>
    <col min="518" max="518" width="3.5" style="3181" customWidth="1"/>
    <col min="519" max="519" width="19.375" style="3181" customWidth="1"/>
    <col min="520" max="520" width="19.5" style="3181" customWidth="1"/>
    <col min="521" max="521" width="8.625" style="3181" customWidth="1"/>
    <col min="522" max="522" width="10.5" style="3181" customWidth="1"/>
    <col min="523" max="523" width="4.875" style="3181" customWidth="1"/>
    <col min="524" max="524" width="16.375" style="3181" customWidth="1"/>
    <col min="525" max="528" width="8.125" style="3181" customWidth="1"/>
    <col min="529" max="768" width="9" style="3181"/>
    <col min="769" max="769" width="6.375" style="3181" customWidth="1"/>
    <col min="770" max="770" width="19.375" style="3181" customWidth="1"/>
    <col min="771" max="771" width="7" style="3181" customWidth="1"/>
    <col min="772" max="772" width="3.25" style="3181" customWidth="1"/>
    <col min="773" max="773" width="7.375" style="3181" customWidth="1"/>
    <col min="774" max="774" width="3.5" style="3181" customWidth="1"/>
    <col min="775" max="775" width="19.375" style="3181" customWidth="1"/>
    <col min="776" max="776" width="19.5" style="3181" customWidth="1"/>
    <col min="777" max="777" width="8.625" style="3181" customWidth="1"/>
    <col min="778" max="778" width="10.5" style="3181" customWidth="1"/>
    <col min="779" max="779" width="4.875" style="3181" customWidth="1"/>
    <col min="780" max="780" width="16.375" style="3181" customWidth="1"/>
    <col min="781" max="784" width="8.125" style="3181" customWidth="1"/>
    <col min="785" max="1024" width="9" style="3181"/>
    <col min="1025" max="1025" width="6.375" style="3181" customWidth="1"/>
    <col min="1026" max="1026" width="19.375" style="3181" customWidth="1"/>
    <col min="1027" max="1027" width="7" style="3181" customWidth="1"/>
    <col min="1028" max="1028" width="3.25" style="3181" customWidth="1"/>
    <col min="1029" max="1029" width="7.375" style="3181" customWidth="1"/>
    <col min="1030" max="1030" width="3.5" style="3181" customWidth="1"/>
    <col min="1031" max="1031" width="19.375" style="3181" customWidth="1"/>
    <col min="1032" max="1032" width="19.5" style="3181" customWidth="1"/>
    <col min="1033" max="1033" width="8.625" style="3181" customWidth="1"/>
    <col min="1034" max="1034" width="10.5" style="3181" customWidth="1"/>
    <col min="1035" max="1035" width="4.875" style="3181" customWidth="1"/>
    <col min="1036" max="1036" width="16.375" style="3181" customWidth="1"/>
    <col min="1037" max="1040" width="8.125" style="3181" customWidth="1"/>
    <col min="1041" max="1280" width="9" style="3181"/>
    <col min="1281" max="1281" width="6.375" style="3181" customWidth="1"/>
    <col min="1282" max="1282" width="19.375" style="3181" customWidth="1"/>
    <col min="1283" max="1283" width="7" style="3181" customWidth="1"/>
    <col min="1284" max="1284" width="3.25" style="3181" customWidth="1"/>
    <col min="1285" max="1285" width="7.375" style="3181" customWidth="1"/>
    <col min="1286" max="1286" width="3.5" style="3181" customWidth="1"/>
    <col min="1287" max="1287" width="19.375" style="3181" customWidth="1"/>
    <col min="1288" max="1288" width="19.5" style="3181" customWidth="1"/>
    <col min="1289" max="1289" width="8.625" style="3181" customWidth="1"/>
    <col min="1290" max="1290" width="10.5" style="3181" customWidth="1"/>
    <col min="1291" max="1291" width="4.875" style="3181" customWidth="1"/>
    <col min="1292" max="1292" width="16.375" style="3181" customWidth="1"/>
    <col min="1293" max="1296" width="8.125" style="3181" customWidth="1"/>
    <col min="1297" max="1536" width="9" style="3181"/>
    <col min="1537" max="1537" width="6.375" style="3181" customWidth="1"/>
    <col min="1538" max="1538" width="19.375" style="3181" customWidth="1"/>
    <col min="1539" max="1539" width="7" style="3181" customWidth="1"/>
    <col min="1540" max="1540" width="3.25" style="3181" customWidth="1"/>
    <col min="1541" max="1541" width="7.375" style="3181" customWidth="1"/>
    <col min="1542" max="1542" width="3.5" style="3181" customWidth="1"/>
    <col min="1543" max="1543" width="19.375" style="3181" customWidth="1"/>
    <col min="1544" max="1544" width="19.5" style="3181" customWidth="1"/>
    <col min="1545" max="1545" width="8.625" style="3181" customWidth="1"/>
    <col min="1546" max="1546" width="10.5" style="3181" customWidth="1"/>
    <col min="1547" max="1547" width="4.875" style="3181" customWidth="1"/>
    <col min="1548" max="1548" width="16.375" style="3181" customWidth="1"/>
    <col min="1549" max="1552" width="8.125" style="3181" customWidth="1"/>
    <col min="1553" max="1792" width="9" style="3181"/>
    <col min="1793" max="1793" width="6.375" style="3181" customWidth="1"/>
    <col min="1794" max="1794" width="19.375" style="3181" customWidth="1"/>
    <col min="1795" max="1795" width="7" style="3181" customWidth="1"/>
    <col min="1796" max="1796" width="3.25" style="3181" customWidth="1"/>
    <col min="1797" max="1797" width="7.375" style="3181" customWidth="1"/>
    <col min="1798" max="1798" width="3.5" style="3181" customWidth="1"/>
    <col min="1799" max="1799" width="19.375" style="3181" customWidth="1"/>
    <col min="1800" max="1800" width="19.5" style="3181" customWidth="1"/>
    <col min="1801" max="1801" width="8.625" style="3181" customWidth="1"/>
    <col min="1802" max="1802" width="10.5" style="3181" customWidth="1"/>
    <col min="1803" max="1803" width="4.875" style="3181" customWidth="1"/>
    <col min="1804" max="1804" width="16.375" style="3181" customWidth="1"/>
    <col min="1805" max="1808" width="8.125" style="3181" customWidth="1"/>
    <col min="1809" max="2048" width="9" style="3181"/>
    <col min="2049" max="2049" width="6.375" style="3181" customWidth="1"/>
    <col min="2050" max="2050" width="19.375" style="3181" customWidth="1"/>
    <col min="2051" max="2051" width="7" style="3181" customWidth="1"/>
    <col min="2052" max="2052" width="3.25" style="3181" customWidth="1"/>
    <col min="2053" max="2053" width="7.375" style="3181" customWidth="1"/>
    <col min="2054" max="2054" width="3.5" style="3181" customWidth="1"/>
    <col min="2055" max="2055" width="19.375" style="3181" customWidth="1"/>
    <col min="2056" max="2056" width="19.5" style="3181" customWidth="1"/>
    <col min="2057" max="2057" width="8.625" style="3181" customWidth="1"/>
    <col min="2058" max="2058" width="10.5" style="3181" customWidth="1"/>
    <col min="2059" max="2059" width="4.875" style="3181" customWidth="1"/>
    <col min="2060" max="2060" width="16.375" style="3181" customWidth="1"/>
    <col min="2061" max="2064" width="8.125" style="3181" customWidth="1"/>
    <col min="2065" max="2304" width="9" style="3181"/>
    <col min="2305" max="2305" width="6.375" style="3181" customWidth="1"/>
    <col min="2306" max="2306" width="19.375" style="3181" customWidth="1"/>
    <col min="2307" max="2307" width="7" style="3181" customWidth="1"/>
    <col min="2308" max="2308" width="3.25" style="3181" customWidth="1"/>
    <col min="2309" max="2309" width="7.375" style="3181" customWidth="1"/>
    <col min="2310" max="2310" width="3.5" style="3181" customWidth="1"/>
    <col min="2311" max="2311" width="19.375" style="3181" customWidth="1"/>
    <col min="2312" max="2312" width="19.5" style="3181" customWidth="1"/>
    <col min="2313" max="2313" width="8.625" style="3181" customWidth="1"/>
    <col min="2314" max="2314" width="10.5" style="3181" customWidth="1"/>
    <col min="2315" max="2315" width="4.875" style="3181" customWidth="1"/>
    <col min="2316" max="2316" width="16.375" style="3181" customWidth="1"/>
    <col min="2317" max="2320" width="8.125" style="3181" customWidth="1"/>
    <col min="2321" max="2560" width="9" style="3181"/>
    <col min="2561" max="2561" width="6.375" style="3181" customWidth="1"/>
    <col min="2562" max="2562" width="19.375" style="3181" customWidth="1"/>
    <col min="2563" max="2563" width="7" style="3181" customWidth="1"/>
    <col min="2564" max="2564" width="3.25" style="3181" customWidth="1"/>
    <col min="2565" max="2565" width="7.375" style="3181" customWidth="1"/>
    <col min="2566" max="2566" width="3.5" style="3181" customWidth="1"/>
    <col min="2567" max="2567" width="19.375" style="3181" customWidth="1"/>
    <col min="2568" max="2568" width="19.5" style="3181" customWidth="1"/>
    <col min="2569" max="2569" width="8.625" style="3181" customWidth="1"/>
    <col min="2570" max="2570" width="10.5" style="3181" customWidth="1"/>
    <col min="2571" max="2571" width="4.875" style="3181" customWidth="1"/>
    <col min="2572" max="2572" width="16.375" style="3181" customWidth="1"/>
    <col min="2573" max="2576" width="8.125" style="3181" customWidth="1"/>
    <col min="2577" max="2816" width="9" style="3181"/>
    <col min="2817" max="2817" width="6.375" style="3181" customWidth="1"/>
    <col min="2818" max="2818" width="19.375" style="3181" customWidth="1"/>
    <col min="2819" max="2819" width="7" style="3181" customWidth="1"/>
    <col min="2820" max="2820" width="3.25" style="3181" customWidth="1"/>
    <col min="2821" max="2821" width="7.375" style="3181" customWidth="1"/>
    <col min="2822" max="2822" width="3.5" style="3181" customWidth="1"/>
    <col min="2823" max="2823" width="19.375" style="3181" customWidth="1"/>
    <col min="2824" max="2824" width="19.5" style="3181" customWidth="1"/>
    <col min="2825" max="2825" width="8.625" style="3181" customWidth="1"/>
    <col min="2826" max="2826" width="10.5" style="3181" customWidth="1"/>
    <col min="2827" max="2827" width="4.875" style="3181" customWidth="1"/>
    <col min="2828" max="2828" width="16.375" style="3181" customWidth="1"/>
    <col min="2829" max="2832" width="8.125" style="3181" customWidth="1"/>
    <col min="2833" max="3072" width="9" style="3181"/>
    <col min="3073" max="3073" width="6.375" style="3181" customWidth="1"/>
    <col min="3074" max="3074" width="19.375" style="3181" customWidth="1"/>
    <col min="3075" max="3075" width="7" style="3181" customWidth="1"/>
    <col min="3076" max="3076" width="3.25" style="3181" customWidth="1"/>
    <col min="3077" max="3077" width="7.375" style="3181" customWidth="1"/>
    <col min="3078" max="3078" width="3.5" style="3181" customWidth="1"/>
    <col min="3079" max="3079" width="19.375" style="3181" customWidth="1"/>
    <col min="3080" max="3080" width="19.5" style="3181" customWidth="1"/>
    <col min="3081" max="3081" width="8.625" style="3181" customWidth="1"/>
    <col min="3082" max="3082" width="10.5" style="3181" customWidth="1"/>
    <col min="3083" max="3083" width="4.875" style="3181" customWidth="1"/>
    <col min="3084" max="3084" width="16.375" style="3181" customWidth="1"/>
    <col min="3085" max="3088" width="8.125" style="3181" customWidth="1"/>
    <col min="3089" max="3328" width="9" style="3181"/>
    <col min="3329" max="3329" width="6.375" style="3181" customWidth="1"/>
    <col min="3330" max="3330" width="19.375" style="3181" customWidth="1"/>
    <col min="3331" max="3331" width="7" style="3181" customWidth="1"/>
    <col min="3332" max="3332" width="3.25" style="3181" customWidth="1"/>
    <col min="3333" max="3333" width="7.375" style="3181" customWidth="1"/>
    <col min="3334" max="3334" width="3.5" style="3181" customWidth="1"/>
    <col min="3335" max="3335" width="19.375" style="3181" customWidth="1"/>
    <col min="3336" max="3336" width="19.5" style="3181" customWidth="1"/>
    <col min="3337" max="3337" width="8.625" style="3181" customWidth="1"/>
    <col min="3338" max="3338" width="10.5" style="3181" customWidth="1"/>
    <col min="3339" max="3339" width="4.875" style="3181" customWidth="1"/>
    <col min="3340" max="3340" width="16.375" style="3181" customWidth="1"/>
    <col min="3341" max="3344" width="8.125" style="3181" customWidth="1"/>
    <col min="3345" max="3584" width="9" style="3181"/>
    <col min="3585" max="3585" width="6.375" style="3181" customWidth="1"/>
    <col min="3586" max="3586" width="19.375" style="3181" customWidth="1"/>
    <col min="3587" max="3587" width="7" style="3181" customWidth="1"/>
    <col min="3588" max="3588" width="3.25" style="3181" customWidth="1"/>
    <col min="3589" max="3589" width="7.375" style="3181" customWidth="1"/>
    <col min="3590" max="3590" width="3.5" style="3181" customWidth="1"/>
    <col min="3591" max="3591" width="19.375" style="3181" customWidth="1"/>
    <col min="3592" max="3592" width="19.5" style="3181" customWidth="1"/>
    <col min="3593" max="3593" width="8.625" style="3181" customWidth="1"/>
    <col min="3594" max="3594" width="10.5" style="3181" customWidth="1"/>
    <col min="3595" max="3595" width="4.875" style="3181" customWidth="1"/>
    <col min="3596" max="3596" width="16.375" style="3181" customWidth="1"/>
    <col min="3597" max="3600" width="8.125" style="3181" customWidth="1"/>
    <col min="3601" max="3840" width="9" style="3181"/>
    <col min="3841" max="3841" width="6.375" style="3181" customWidth="1"/>
    <col min="3842" max="3842" width="19.375" style="3181" customWidth="1"/>
    <col min="3843" max="3843" width="7" style="3181" customWidth="1"/>
    <col min="3844" max="3844" width="3.25" style="3181" customWidth="1"/>
    <col min="3845" max="3845" width="7.375" style="3181" customWidth="1"/>
    <col min="3846" max="3846" width="3.5" style="3181" customWidth="1"/>
    <col min="3847" max="3847" width="19.375" style="3181" customWidth="1"/>
    <col min="3848" max="3848" width="19.5" style="3181" customWidth="1"/>
    <col min="3849" max="3849" width="8.625" style="3181" customWidth="1"/>
    <col min="3850" max="3850" width="10.5" style="3181" customWidth="1"/>
    <col min="3851" max="3851" width="4.875" style="3181" customWidth="1"/>
    <col min="3852" max="3852" width="16.375" style="3181" customWidth="1"/>
    <col min="3853" max="3856" width="8.125" style="3181" customWidth="1"/>
    <col min="3857" max="4096" width="9" style="3181"/>
    <col min="4097" max="4097" width="6.375" style="3181" customWidth="1"/>
    <col min="4098" max="4098" width="19.375" style="3181" customWidth="1"/>
    <col min="4099" max="4099" width="7" style="3181" customWidth="1"/>
    <col min="4100" max="4100" width="3.25" style="3181" customWidth="1"/>
    <col min="4101" max="4101" width="7.375" style="3181" customWidth="1"/>
    <col min="4102" max="4102" width="3.5" style="3181" customWidth="1"/>
    <col min="4103" max="4103" width="19.375" style="3181" customWidth="1"/>
    <col min="4104" max="4104" width="19.5" style="3181" customWidth="1"/>
    <col min="4105" max="4105" width="8.625" style="3181" customWidth="1"/>
    <col min="4106" max="4106" width="10.5" style="3181" customWidth="1"/>
    <col min="4107" max="4107" width="4.875" style="3181" customWidth="1"/>
    <col min="4108" max="4108" width="16.375" style="3181" customWidth="1"/>
    <col min="4109" max="4112" width="8.125" style="3181" customWidth="1"/>
    <col min="4113" max="4352" width="9" style="3181"/>
    <col min="4353" max="4353" width="6.375" style="3181" customWidth="1"/>
    <col min="4354" max="4354" width="19.375" style="3181" customWidth="1"/>
    <col min="4355" max="4355" width="7" style="3181" customWidth="1"/>
    <col min="4356" max="4356" width="3.25" style="3181" customWidth="1"/>
    <col min="4357" max="4357" width="7.375" style="3181" customWidth="1"/>
    <col min="4358" max="4358" width="3.5" style="3181" customWidth="1"/>
    <col min="4359" max="4359" width="19.375" style="3181" customWidth="1"/>
    <col min="4360" max="4360" width="19.5" style="3181" customWidth="1"/>
    <col min="4361" max="4361" width="8.625" style="3181" customWidth="1"/>
    <col min="4362" max="4362" width="10.5" style="3181" customWidth="1"/>
    <col min="4363" max="4363" width="4.875" style="3181" customWidth="1"/>
    <col min="4364" max="4364" width="16.375" style="3181" customWidth="1"/>
    <col min="4365" max="4368" width="8.125" style="3181" customWidth="1"/>
    <col min="4369" max="4608" width="9" style="3181"/>
    <col min="4609" max="4609" width="6.375" style="3181" customWidth="1"/>
    <col min="4610" max="4610" width="19.375" style="3181" customWidth="1"/>
    <col min="4611" max="4611" width="7" style="3181" customWidth="1"/>
    <col min="4612" max="4612" width="3.25" style="3181" customWidth="1"/>
    <col min="4613" max="4613" width="7.375" style="3181" customWidth="1"/>
    <col min="4614" max="4614" width="3.5" style="3181" customWidth="1"/>
    <col min="4615" max="4615" width="19.375" style="3181" customWidth="1"/>
    <col min="4616" max="4616" width="19.5" style="3181" customWidth="1"/>
    <col min="4617" max="4617" width="8.625" style="3181" customWidth="1"/>
    <col min="4618" max="4618" width="10.5" style="3181" customWidth="1"/>
    <col min="4619" max="4619" width="4.875" style="3181" customWidth="1"/>
    <col min="4620" max="4620" width="16.375" style="3181" customWidth="1"/>
    <col min="4621" max="4624" width="8.125" style="3181" customWidth="1"/>
    <col min="4625" max="4864" width="9" style="3181"/>
    <col min="4865" max="4865" width="6.375" style="3181" customWidth="1"/>
    <col min="4866" max="4866" width="19.375" style="3181" customWidth="1"/>
    <col min="4867" max="4867" width="7" style="3181" customWidth="1"/>
    <col min="4868" max="4868" width="3.25" style="3181" customWidth="1"/>
    <col min="4869" max="4869" width="7.375" style="3181" customWidth="1"/>
    <col min="4870" max="4870" width="3.5" style="3181" customWidth="1"/>
    <col min="4871" max="4871" width="19.375" style="3181" customWidth="1"/>
    <col min="4872" max="4872" width="19.5" style="3181" customWidth="1"/>
    <col min="4873" max="4873" width="8.625" style="3181" customWidth="1"/>
    <col min="4874" max="4874" width="10.5" style="3181" customWidth="1"/>
    <col min="4875" max="4875" width="4.875" style="3181" customWidth="1"/>
    <col min="4876" max="4876" width="16.375" style="3181" customWidth="1"/>
    <col min="4877" max="4880" width="8.125" style="3181" customWidth="1"/>
    <col min="4881" max="5120" width="9" style="3181"/>
    <col min="5121" max="5121" width="6.375" style="3181" customWidth="1"/>
    <col min="5122" max="5122" width="19.375" style="3181" customWidth="1"/>
    <col min="5123" max="5123" width="7" style="3181" customWidth="1"/>
    <col min="5124" max="5124" width="3.25" style="3181" customWidth="1"/>
    <col min="5125" max="5125" width="7.375" style="3181" customWidth="1"/>
    <col min="5126" max="5126" width="3.5" style="3181" customWidth="1"/>
    <col min="5127" max="5127" width="19.375" style="3181" customWidth="1"/>
    <col min="5128" max="5128" width="19.5" style="3181" customWidth="1"/>
    <col min="5129" max="5129" width="8.625" style="3181" customWidth="1"/>
    <col min="5130" max="5130" width="10.5" style="3181" customWidth="1"/>
    <col min="5131" max="5131" width="4.875" style="3181" customWidth="1"/>
    <col min="5132" max="5132" width="16.375" style="3181" customWidth="1"/>
    <col min="5133" max="5136" width="8.125" style="3181" customWidth="1"/>
    <col min="5137" max="5376" width="9" style="3181"/>
    <col min="5377" max="5377" width="6.375" style="3181" customWidth="1"/>
    <col min="5378" max="5378" width="19.375" style="3181" customWidth="1"/>
    <col min="5379" max="5379" width="7" style="3181" customWidth="1"/>
    <col min="5380" max="5380" width="3.25" style="3181" customWidth="1"/>
    <col min="5381" max="5381" width="7.375" style="3181" customWidth="1"/>
    <col min="5382" max="5382" width="3.5" style="3181" customWidth="1"/>
    <col min="5383" max="5383" width="19.375" style="3181" customWidth="1"/>
    <col min="5384" max="5384" width="19.5" style="3181" customWidth="1"/>
    <col min="5385" max="5385" width="8.625" style="3181" customWidth="1"/>
    <col min="5386" max="5386" width="10.5" style="3181" customWidth="1"/>
    <col min="5387" max="5387" width="4.875" style="3181" customWidth="1"/>
    <col min="5388" max="5388" width="16.375" style="3181" customWidth="1"/>
    <col min="5389" max="5392" width="8.125" style="3181" customWidth="1"/>
    <col min="5393" max="5632" width="9" style="3181"/>
    <col min="5633" max="5633" width="6.375" style="3181" customWidth="1"/>
    <col min="5634" max="5634" width="19.375" style="3181" customWidth="1"/>
    <col min="5635" max="5635" width="7" style="3181" customWidth="1"/>
    <col min="5636" max="5636" width="3.25" style="3181" customWidth="1"/>
    <col min="5637" max="5637" width="7.375" style="3181" customWidth="1"/>
    <col min="5638" max="5638" width="3.5" style="3181" customWidth="1"/>
    <col min="5639" max="5639" width="19.375" style="3181" customWidth="1"/>
    <col min="5640" max="5640" width="19.5" style="3181" customWidth="1"/>
    <col min="5641" max="5641" width="8.625" style="3181" customWidth="1"/>
    <col min="5642" max="5642" width="10.5" style="3181" customWidth="1"/>
    <col min="5643" max="5643" width="4.875" style="3181" customWidth="1"/>
    <col min="5644" max="5644" width="16.375" style="3181" customWidth="1"/>
    <col min="5645" max="5648" width="8.125" style="3181" customWidth="1"/>
    <col min="5649" max="5888" width="9" style="3181"/>
    <col min="5889" max="5889" width="6.375" style="3181" customWidth="1"/>
    <col min="5890" max="5890" width="19.375" style="3181" customWidth="1"/>
    <col min="5891" max="5891" width="7" style="3181" customWidth="1"/>
    <col min="5892" max="5892" width="3.25" style="3181" customWidth="1"/>
    <col min="5893" max="5893" width="7.375" style="3181" customWidth="1"/>
    <col min="5894" max="5894" width="3.5" style="3181" customWidth="1"/>
    <col min="5895" max="5895" width="19.375" style="3181" customWidth="1"/>
    <col min="5896" max="5896" width="19.5" style="3181" customWidth="1"/>
    <col min="5897" max="5897" width="8.625" style="3181" customWidth="1"/>
    <col min="5898" max="5898" width="10.5" style="3181" customWidth="1"/>
    <col min="5899" max="5899" width="4.875" style="3181" customWidth="1"/>
    <col min="5900" max="5900" width="16.375" style="3181" customWidth="1"/>
    <col min="5901" max="5904" width="8.125" style="3181" customWidth="1"/>
    <col min="5905" max="6144" width="9" style="3181"/>
    <col min="6145" max="6145" width="6.375" style="3181" customWidth="1"/>
    <col min="6146" max="6146" width="19.375" style="3181" customWidth="1"/>
    <col min="6147" max="6147" width="7" style="3181" customWidth="1"/>
    <col min="6148" max="6148" width="3.25" style="3181" customWidth="1"/>
    <col min="6149" max="6149" width="7.375" style="3181" customWidth="1"/>
    <col min="6150" max="6150" width="3.5" style="3181" customWidth="1"/>
    <col min="6151" max="6151" width="19.375" style="3181" customWidth="1"/>
    <col min="6152" max="6152" width="19.5" style="3181" customWidth="1"/>
    <col min="6153" max="6153" width="8.625" style="3181" customWidth="1"/>
    <col min="6154" max="6154" width="10.5" style="3181" customWidth="1"/>
    <col min="6155" max="6155" width="4.875" style="3181" customWidth="1"/>
    <col min="6156" max="6156" width="16.375" style="3181" customWidth="1"/>
    <col min="6157" max="6160" width="8.125" style="3181" customWidth="1"/>
    <col min="6161" max="6400" width="9" style="3181"/>
    <col min="6401" max="6401" width="6.375" style="3181" customWidth="1"/>
    <col min="6402" max="6402" width="19.375" style="3181" customWidth="1"/>
    <col min="6403" max="6403" width="7" style="3181" customWidth="1"/>
    <col min="6404" max="6404" width="3.25" style="3181" customWidth="1"/>
    <col min="6405" max="6405" width="7.375" style="3181" customWidth="1"/>
    <col min="6406" max="6406" width="3.5" style="3181" customWidth="1"/>
    <col min="6407" max="6407" width="19.375" style="3181" customWidth="1"/>
    <col min="6408" max="6408" width="19.5" style="3181" customWidth="1"/>
    <col min="6409" max="6409" width="8.625" style="3181" customWidth="1"/>
    <col min="6410" max="6410" width="10.5" style="3181" customWidth="1"/>
    <col min="6411" max="6411" width="4.875" style="3181" customWidth="1"/>
    <col min="6412" max="6412" width="16.375" style="3181" customWidth="1"/>
    <col min="6413" max="6416" width="8.125" style="3181" customWidth="1"/>
    <col min="6417" max="6656" width="9" style="3181"/>
    <col min="6657" max="6657" width="6.375" style="3181" customWidth="1"/>
    <col min="6658" max="6658" width="19.375" style="3181" customWidth="1"/>
    <col min="6659" max="6659" width="7" style="3181" customWidth="1"/>
    <col min="6660" max="6660" width="3.25" style="3181" customWidth="1"/>
    <col min="6661" max="6661" width="7.375" style="3181" customWidth="1"/>
    <col min="6662" max="6662" width="3.5" style="3181" customWidth="1"/>
    <col min="6663" max="6663" width="19.375" style="3181" customWidth="1"/>
    <col min="6664" max="6664" width="19.5" style="3181" customWidth="1"/>
    <col min="6665" max="6665" width="8.625" style="3181" customWidth="1"/>
    <col min="6666" max="6666" width="10.5" style="3181" customWidth="1"/>
    <col min="6667" max="6667" width="4.875" style="3181" customWidth="1"/>
    <col min="6668" max="6668" width="16.375" style="3181" customWidth="1"/>
    <col min="6669" max="6672" width="8.125" style="3181" customWidth="1"/>
    <col min="6673" max="6912" width="9" style="3181"/>
    <col min="6913" max="6913" width="6.375" style="3181" customWidth="1"/>
    <col min="6914" max="6914" width="19.375" style="3181" customWidth="1"/>
    <col min="6915" max="6915" width="7" style="3181" customWidth="1"/>
    <col min="6916" max="6916" width="3.25" style="3181" customWidth="1"/>
    <col min="6917" max="6917" width="7.375" style="3181" customWidth="1"/>
    <col min="6918" max="6918" width="3.5" style="3181" customWidth="1"/>
    <col min="6919" max="6919" width="19.375" style="3181" customWidth="1"/>
    <col min="6920" max="6920" width="19.5" style="3181" customWidth="1"/>
    <col min="6921" max="6921" width="8.625" style="3181" customWidth="1"/>
    <col min="6922" max="6922" width="10.5" style="3181" customWidth="1"/>
    <col min="6923" max="6923" width="4.875" style="3181" customWidth="1"/>
    <col min="6924" max="6924" width="16.375" style="3181" customWidth="1"/>
    <col min="6925" max="6928" width="8.125" style="3181" customWidth="1"/>
    <col min="6929" max="7168" width="9" style="3181"/>
    <col min="7169" max="7169" width="6.375" style="3181" customWidth="1"/>
    <col min="7170" max="7170" width="19.375" style="3181" customWidth="1"/>
    <col min="7171" max="7171" width="7" style="3181" customWidth="1"/>
    <col min="7172" max="7172" width="3.25" style="3181" customWidth="1"/>
    <col min="7173" max="7173" width="7.375" style="3181" customWidth="1"/>
    <col min="7174" max="7174" width="3.5" style="3181" customWidth="1"/>
    <col min="7175" max="7175" width="19.375" style="3181" customWidth="1"/>
    <col min="7176" max="7176" width="19.5" style="3181" customWidth="1"/>
    <col min="7177" max="7177" width="8.625" style="3181" customWidth="1"/>
    <col min="7178" max="7178" width="10.5" style="3181" customWidth="1"/>
    <col min="7179" max="7179" width="4.875" style="3181" customWidth="1"/>
    <col min="7180" max="7180" width="16.375" style="3181" customWidth="1"/>
    <col min="7181" max="7184" width="8.125" style="3181" customWidth="1"/>
    <col min="7185" max="7424" width="9" style="3181"/>
    <col min="7425" max="7425" width="6.375" style="3181" customWidth="1"/>
    <col min="7426" max="7426" width="19.375" style="3181" customWidth="1"/>
    <col min="7427" max="7427" width="7" style="3181" customWidth="1"/>
    <col min="7428" max="7428" width="3.25" style="3181" customWidth="1"/>
    <col min="7429" max="7429" width="7.375" style="3181" customWidth="1"/>
    <col min="7430" max="7430" width="3.5" style="3181" customWidth="1"/>
    <col min="7431" max="7431" width="19.375" style="3181" customWidth="1"/>
    <col min="7432" max="7432" width="19.5" style="3181" customWidth="1"/>
    <col min="7433" max="7433" width="8.625" style="3181" customWidth="1"/>
    <col min="7434" max="7434" width="10.5" style="3181" customWidth="1"/>
    <col min="7435" max="7435" width="4.875" style="3181" customWidth="1"/>
    <col min="7436" max="7436" width="16.375" style="3181" customWidth="1"/>
    <col min="7437" max="7440" width="8.125" style="3181" customWidth="1"/>
    <col min="7441" max="7680" width="9" style="3181"/>
    <col min="7681" max="7681" width="6.375" style="3181" customWidth="1"/>
    <col min="7682" max="7682" width="19.375" style="3181" customWidth="1"/>
    <col min="7683" max="7683" width="7" style="3181" customWidth="1"/>
    <col min="7684" max="7684" width="3.25" style="3181" customWidth="1"/>
    <col min="7685" max="7685" width="7.375" style="3181" customWidth="1"/>
    <col min="7686" max="7686" width="3.5" style="3181" customWidth="1"/>
    <col min="7687" max="7687" width="19.375" style="3181" customWidth="1"/>
    <col min="7688" max="7688" width="19.5" style="3181" customWidth="1"/>
    <col min="7689" max="7689" width="8.625" style="3181" customWidth="1"/>
    <col min="7690" max="7690" width="10.5" style="3181" customWidth="1"/>
    <col min="7691" max="7691" width="4.875" style="3181" customWidth="1"/>
    <col min="7692" max="7692" width="16.375" style="3181" customWidth="1"/>
    <col min="7693" max="7696" width="8.125" style="3181" customWidth="1"/>
    <col min="7697" max="7936" width="9" style="3181"/>
    <col min="7937" max="7937" width="6.375" style="3181" customWidth="1"/>
    <col min="7938" max="7938" width="19.375" style="3181" customWidth="1"/>
    <col min="7939" max="7939" width="7" style="3181" customWidth="1"/>
    <col min="7940" max="7940" width="3.25" style="3181" customWidth="1"/>
    <col min="7941" max="7941" width="7.375" style="3181" customWidth="1"/>
    <col min="7942" max="7942" width="3.5" style="3181" customWidth="1"/>
    <col min="7943" max="7943" width="19.375" style="3181" customWidth="1"/>
    <col min="7944" max="7944" width="19.5" style="3181" customWidth="1"/>
    <col min="7945" max="7945" width="8.625" style="3181" customWidth="1"/>
    <col min="7946" max="7946" width="10.5" style="3181" customWidth="1"/>
    <col min="7947" max="7947" width="4.875" style="3181" customWidth="1"/>
    <col min="7948" max="7948" width="16.375" style="3181" customWidth="1"/>
    <col min="7949" max="7952" width="8.125" style="3181" customWidth="1"/>
    <col min="7953" max="8192" width="9" style="3181"/>
    <col min="8193" max="8193" width="6.375" style="3181" customWidth="1"/>
    <col min="8194" max="8194" width="19.375" style="3181" customWidth="1"/>
    <col min="8195" max="8195" width="7" style="3181" customWidth="1"/>
    <col min="8196" max="8196" width="3.25" style="3181" customWidth="1"/>
    <col min="8197" max="8197" width="7.375" style="3181" customWidth="1"/>
    <col min="8198" max="8198" width="3.5" style="3181" customWidth="1"/>
    <col min="8199" max="8199" width="19.375" style="3181" customWidth="1"/>
    <col min="8200" max="8200" width="19.5" style="3181" customWidth="1"/>
    <col min="8201" max="8201" width="8.625" style="3181" customWidth="1"/>
    <col min="8202" max="8202" width="10.5" style="3181" customWidth="1"/>
    <col min="8203" max="8203" width="4.875" style="3181" customWidth="1"/>
    <col min="8204" max="8204" width="16.375" style="3181" customWidth="1"/>
    <col min="8205" max="8208" width="8.125" style="3181" customWidth="1"/>
    <col min="8209" max="8448" width="9" style="3181"/>
    <col min="8449" max="8449" width="6.375" style="3181" customWidth="1"/>
    <col min="8450" max="8450" width="19.375" style="3181" customWidth="1"/>
    <col min="8451" max="8451" width="7" style="3181" customWidth="1"/>
    <col min="8452" max="8452" width="3.25" style="3181" customWidth="1"/>
    <col min="8453" max="8453" width="7.375" style="3181" customWidth="1"/>
    <col min="8454" max="8454" width="3.5" style="3181" customWidth="1"/>
    <col min="8455" max="8455" width="19.375" style="3181" customWidth="1"/>
    <col min="8456" max="8456" width="19.5" style="3181" customWidth="1"/>
    <col min="8457" max="8457" width="8.625" style="3181" customWidth="1"/>
    <col min="8458" max="8458" width="10.5" style="3181" customWidth="1"/>
    <col min="8459" max="8459" width="4.875" style="3181" customWidth="1"/>
    <col min="8460" max="8460" width="16.375" style="3181" customWidth="1"/>
    <col min="8461" max="8464" width="8.125" style="3181" customWidth="1"/>
    <col min="8465" max="8704" width="9" style="3181"/>
    <col min="8705" max="8705" width="6.375" style="3181" customWidth="1"/>
    <col min="8706" max="8706" width="19.375" style="3181" customWidth="1"/>
    <col min="8707" max="8707" width="7" style="3181" customWidth="1"/>
    <col min="8708" max="8708" width="3.25" style="3181" customWidth="1"/>
    <col min="8709" max="8709" width="7.375" style="3181" customWidth="1"/>
    <col min="8710" max="8710" width="3.5" style="3181" customWidth="1"/>
    <col min="8711" max="8711" width="19.375" style="3181" customWidth="1"/>
    <col min="8712" max="8712" width="19.5" style="3181" customWidth="1"/>
    <col min="8713" max="8713" width="8.625" style="3181" customWidth="1"/>
    <col min="8714" max="8714" width="10.5" style="3181" customWidth="1"/>
    <col min="8715" max="8715" width="4.875" style="3181" customWidth="1"/>
    <col min="8716" max="8716" width="16.375" style="3181" customWidth="1"/>
    <col min="8717" max="8720" width="8.125" style="3181" customWidth="1"/>
    <col min="8721" max="8960" width="9" style="3181"/>
    <col min="8961" max="8961" width="6.375" style="3181" customWidth="1"/>
    <col min="8962" max="8962" width="19.375" style="3181" customWidth="1"/>
    <col min="8963" max="8963" width="7" style="3181" customWidth="1"/>
    <col min="8964" max="8964" width="3.25" style="3181" customWidth="1"/>
    <col min="8965" max="8965" width="7.375" style="3181" customWidth="1"/>
    <col min="8966" max="8966" width="3.5" style="3181" customWidth="1"/>
    <col min="8967" max="8967" width="19.375" style="3181" customWidth="1"/>
    <col min="8968" max="8968" width="19.5" style="3181" customWidth="1"/>
    <col min="8969" max="8969" width="8.625" style="3181" customWidth="1"/>
    <col min="8970" max="8970" width="10.5" style="3181" customWidth="1"/>
    <col min="8971" max="8971" width="4.875" style="3181" customWidth="1"/>
    <col min="8972" max="8972" width="16.375" style="3181" customWidth="1"/>
    <col min="8973" max="8976" width="8.125" style="3181" customWidth="1"/>
    <col min="8977" max="9216" width="9" style="3181"/>
    <col min="9217" max="9217" width="6.375" style="3181" customWidth="1"/>
    <col min="9218" max="9218" width="19.375" style="3181" customWidth="1"/>
    <col min="9219" max="9219" width="7" style="3181" customWidth="1"/>
    <col min="9220" max="9220" width="3.25" style="3181" customWidth="1"/>
    <col min="9221" max="9221" width="7.375" style="3181" customWidth="1"/>
    <col min="9222" max="9222" width="3.5" style="3181" customWidth="1"/>
    <col min="9223" max="9223" width="19.375" style="3181" customWidth="1"/>
    <col min="9224" max="9224" width="19.5" style="3181" customWidth="1"/>
    <col min="9225" max="9225" width="8.625" style="3181" customWidth="1"/>
    <col min="9226" max="9226" width="10.5" style="3181" customWidth="1"/>
    <col min="9227" max="9227" width="4.875" style="3181" customWidth="1"/>
    <col min="9228" max="9228" width="16.375" style="3181" customWidth="1"/>
    <col min="9229" max="9232" width="8.125" style="3181" customWidth="1"/>
    <col min="9233" max="9472" width="9" style="3181"/>
    <col min="9473" max="9473" width="6.375" style="3181" customWidth="1"/>
    <col min="9474" max="9474" width="19.375" style="3181" customWidth="1"/>
    <col min="9475" max="9475" width="7" style="3181" customWidth="1"/>
    <col min="9476" max="9476" width="3.25" style="3181" customWidth="1"/>
    <col min="9477" max="9477" width="7.375" style="3181" customWidth="1"/>
    <col min="9478" max="9478" width="3.5" style="3181" customWidth="1"/>
    <col min="9479" max="9479" width="19.375" style="3181" customWidth="1"/>
    <col min="9480" max="9480" width="19.5" style="3181" customWidth="1"/>
    <col min="9481" max="9481" width="8.625" style="3181" customWidth="1"/>
    <col min="9482" max="9482" width="10.5" style="3181" customWidth="1"/>
    <col min="9483" max="9483" width="4.875" style="3181" customWidth="1"/>
    <col min="9484" max="9484" width="16.375" style="3181" customWidth="1"/>
    <col min="9485" max="9488" width="8.125" style="3181" customWidth="1"/>
    <col min="9489" max="9728" width="9" style="3181"/>
    <col min="9729" max="9729" width="6.375" style="3181" customWidth="1"/>
    <col min="9730" max="9730" width="19.375" style="3181" customWidth="1"/>
    <col min="9731" max="9731" width="7" style="3181" customWidth="1"/>
    <col min="9732" max="9732" width="3.25" style="3181" customWidth="1"/>
    <col min="9733" max="9733" width="7.375" style="3181" customWidth="1"/>
    <col min="9734" max="9734" width="3.5" style="3181" customWidth="1"/>
    <col min="9735" max="9735" width="19.375" style="3181" customWidth="1"/>
    <col min="9736" max="9736" width="19.5" style="3181" customWidth="1"/>
    <col min="9737" max="9737" width="8.625" style="3181" customWidth="1"/>
    <col min="9738" max="9738" width="10.5" style="3181" customWidth="1"/>
    <col min="9739" max="9739" width="4.875" style="3181" customWidth="1"/>
    <col min="9740" max="9740" width="16.375" style="3181" customWidth="1"/>
    <col min="9741" max="9744" width="8.125" style="3181" customWidth="1"/>
    <col min="9745" max="9984" width="9" style="3181"/>
    <col min="9985" max="9985" width="6.375" style="3181" customWidth="1"/>
    <col min="9986" max="9986" width="19.375" style="3181" customWidth="1"/>
    <col min="9987" max="9987" width="7" style="3181" customWidth="1"/>
    <col min="9988" max="9988" width="3.25" style="3181" customWidth="1"/>
    <col min="9989" max="9989" width="7.375" style="3181" customWidth="1"/>
    <col min="9990" max="9990" width="3.5" style="3181" customWidth="1"/>
    <col min="9991" max="9991" width="19.375" style="3181" customWidth="1"/>
    <col min="9992" max="9992" width="19.5" style="3181" customWidth="1"/>
    <col min="9993" max="9993" width="8.625" style="3181" customWidth="1"/>
    <col min="9994" max="9994" width="10.5" style="3181" customWidth="1"/>
    <col min="9995" max="9995" width="4.875" style="3181" customWidth="1"/>
    <col min="9996" max="9996" width="16.375" style="3181" customWidth="1"/>
    <col min="9997" max="10000" width="8.125" style="3181" customWidth="1"/>
    <col min="10001" max="10240" width="9" style="3181"/>
    <col min="10241" max="10241" width="6.375" style="3181" customWidth="1"/>
    <col min="10242" max="10242" width="19.375" style="3181" customWidth="1"/>
    <col min="10243" max="10243" width="7" style="3181" customWidth="1"/>
    <col min="10244" max="10244" width="3.25" style="3181" customWidth="1"/>
    <col min="10245" max="10245" width="7.375" style="3181" customWidth="1"/>
    <col min="10246" max="10246" width="3.5" style="3181" customWidth="1"/>
    <col min="10247" max="10247" width="19.375" style="3181" customWidth="1"/>
    <col min="10248" max="10248" width="19.5" style="3181" customWidth="1"/>
    <col min="10249" max="10249" width="8.625" style="3181" customWidth="1"/>
    <col min="10250" max="10250" width="10.5" style="3181" customWidth="1"/>
    <col min="10251" max="10251" width="4.875" style="3181" customWidth="1"/>
    <col min="10252" max="10252" width="16.375" style="3181" customWidth="1"/>
    <col min="10253" max="10256" width="8.125" style="3181" customWidth="1"/>
    <col min="10257" max="10496" width="9" style="3181"/>
    <col min="10497" max="10497" width="6.375" style="3181" customWidth="1"/>
    <col min="10498" max="10498" width="19.375" style="3181" customWidth="1"/>
    <col min="10499" max="10499" width="7" style="3181" customWidth="1"/>
    <col min="10500" max="10500" width="3.25" style="3181" customWidth="1"/>
    <col min="10501" max="10501" width="7.375" style="3181" customWidth="1"/>
    <col min="10502" max="10502" width="3.5" style="3181" customWidth="1"/>
    <col min="10503" max="10503" width="19.375" style="3181" customWidth="1"/>
    <col min="10504" max="10504" width="19.5" style="3181" customWidth="1"/>
    <col min="10505" max="10505" width="8.625" style="3181" customWidth="1"/>
    <col min="10506" max="10506" width="10.5" style="3181" customWidth="1"/>
    <col min="10507" max="10507" width="4.875" style="3181" customWidth="1"/>
    <col min="10508" max="10508" width="16.375" style="3181" customWidth="1"/>
    <col min="10509" max="10512" width="8.125" style="3181" customWidth="1"/>
    <col min="10513" max="10752" width="9" style="3181"/>
    <col min="10753" max="10753" width="6.375" style="3181" customWidth="1"/>
    <col min="10754" max="10754" width="19.375" style="3181" customWidth="1"/>
    <col min="10755" max="10755" width="7" style="3181" customWidth="1"/>
    <col min="10756" max="10756" width="3.25" style="3181" customWidth="1"/>
    <col min="10757" max="10757" width="7.375" style="3181" customWidth="1"/>
    <col min="10758" max="10758" width="3.5" style="3181" customWidth="1"/>
    <col min="10759" max="10759" width="19.375" style="3181" customWidth="1"/>
    <col min="10760" max="10760" width="19.5" style="3181" customWidth="1"/>
    <col min="10761" max="10761" width="8.625" style="3181" customWidth="1"/>
    <col min="10762" max="10762" width="10.5" style="3181" customWidth="1"/>
    <col min="10763" max="10763" width="4.875" style="3181" customWidth="1"/>
    <col min="10764" max="10764" width="16.375" style="3181" customWidth="1"/>
    <col min="10765" max="10768" width="8.125" style="3181" customWidth="1"/>
    <col min="10769" max="11008" width="9" style="3181"/>
    <col min="11009" max="11009" width="6.375" style="3181" customWidth="1"/>
    <col min="11010" max="11010" width="19.375" style="3181" customWidth="1"/>
    <col min="11011" max="11011" width="7" style="3181" customWidth="1"/>
    <col min="11012" max="11012" width="3.25" style="3181" customWidth="1"/>
    <col min="11013" max="11013" width="7.375" style="3181" customWidth="1"/>
    <col min="11014" max="11014" width="3.5" style="3181" customWidth="1"/>
    <col min="11015" max="11015" width="19.375" style="3181" customWidth="1"/>
    <col min="11016" max="11016" width="19.5" style="3181" customWidth="1"/>
    <col min="11017" max="11017" width="8.625" style="3181" customWidth="1"/>
    <col min="11018" max="11018" width="10.5" style="3181" customWidth="1"/>
    <col min="11019" max="11019" width="4.875" style="3181" customWidth="1"/>
    <col min="11020" max="11020" width="16.375" style="3181" customWidth="1"/>
    <col min="11021" max="11024" width="8.125" style="3181" customWidth="1"/>
    <col min="11025" max="11264" width="9" style="3181"/>
    <col min="11265" max="11265" width="6.375" style="3181" customWidth="1"/>
    <col min="11266" max="11266" width="19.375" style="3181" customWidth="1"/>
    <col min="11267" max="11267" width="7" style="3181" customWidth="1"/>
    <col min="11268" max="11268" width="3.25" style="3181" customWidth="1"/>
    <col min="11269" max="11269" width="7.375" style="3181" customWidth="1"/>
    <col min="11270" max="11270" width="3.5" style="3181" customWidth="1"/>
    <col min="11271" max="11271" width="19.375" style="3181" customWidth="1"/>
    <col min="11272" max="11272" width="19.5" style="3181" customWidth="1"/>
    <col min="11273" max="11273" width="8.625" style="3181" customWidth="1"/>
    <col min="11274" max="11274" width="10.5" style="3181" customWidth="1"/>
    <col min="11275" max="11275" width="4.875" style="3181" customWidth="1"/>
    <col min="11276" max="11276" width="16.375" style="3181" customWidth="1"/>
    <col min="11277" max="11280" width="8.125" style="3181" customWidth="1"/>
    <col min="11281" max="11520" width="9" style="3181"/>
    <col min="11521" max="11521" width="6.375" style="3181" customWidth="1"/>
    <col min="11522" max="11522" width="19.375" style="3181" customWidth="1"/>
    <col min="11523" max="11523" width="7" style="3181" customWidth="1"/>
    <col min="11524" max="11524" width="3.25" style="3181" customWidth="1"/>
    <col min="11525" max="11525" width="7.375" style="3181" customWidth="1"/>
    <col min="11526" max="11526" width="3.5" style="3181" customWidth="1"/>
    <col min="11527" max="11527" width="19.375" style="3181" customWidth="1"/>
    <col min="11528" max="11528" width="19.5" style="3181" customWidth="1"/>
    <col min="11529" max="11529" width="8.625" style="3181" customWidth="1"/>
    <col min="11530" max="11530" width="10.5" style="3181" customWidth="1"/>
    <col min="11531" max="11531" width="4.875" style="3181" customWidth="1"/>
    <col min="11532" max="11532" width="16.375" style="3181" customWidth="1"/>
    <col min="11533" max="11536" width="8.125" style="3181" customWidth="1"/>
    <col min="11537" max="11776" width="9" style="3181"/>
    <col min="11777" max="11777" width="6.375" style="3181" customWidth="1"/>
    <col min="11778" max="11778" width="19.375" style="3181" customWidth="1"/>
    <col min="11779" max="11779" width="7" style="3181" customWidth="1"/>
    <col min="11780" max="11780" width="3.25" style="3181" customWidth="1"/>
    <col min="11781" max="11781" width="7.375" style="3181" customWidth="1"/>
    <col min="11782" max="11782" width="3.5" style="3181" customWidth="1"/>
    <col min="11783" max="11783" width="19.375" style="3181" customWidth="1"/>
    <col min="11784" max="11784" width="19.5" style="3181" customWidth="1"/>
    <col min="11785" max="11785" width="8.625" style="3181" customWidth="1"/>
    <col min="11786" max="11786" width="10.5" style="3181" customWidth="1"/>
    <col min="11787" max="11787" width="4.875" style="3181" customWidth="1"/>
    <col min="11788" max="11788" width="16.375" style="3181" customWidth="1"/>
    <col min="11789" max="11792" width="8.125" style="3181" customWidth="1"/>
    <col min="11793" max="12032" width="9" style="3181"/>
    <col min="12033" max="12033" width="6.375" style="3181" customWidth="1"/>
    <col min="12034" max="12034" width="19.375" style="3181" customWidth="1"/>
    <col min="12035" max="12035" width="7" style="3181" customWidth="1"/>
    <col min="12036" max="12036" width="3.25" style="3181" customWidth="1"/>
    <col min="12037" max="12037" width="7.375" style="3181" customWidth="1"/>
    <col min="12038" max="12038" width="3.5" style="3181" customWidth="1"/>
    <col min="12039" max="12039" width="19.375" style="3181" customWidth="1"/>
    <col min="12040" max="12040" width="19.5" style="3181" customWidth="1"/>
    <col min="12041" max="12041" width="8.625" style="3181" customWidth="1"/>
    <col min="12042" max="12042" width="10.5" style="3181" customWidth="1"/>
    <col min="12043" max="12043" width="4.875" style="3181" customWidth="1"/>
    <col min="12044" max="12044" width="16.375" style="3181" customWidth="1"/>
    <col min="12045" max="12048" width="8.125" style="3181" customWidth="1"/>
    <col min="12049" max="12288" width="9" style="3181"/>
    <col min="12289" max="12289" width="6.375" style="3181" customWidth="1"/>
    <col min="12290" max="12290" width="19.375" style="3181" customWidth="1"/>
    <col min="12291" max="12291" width="7" style="3181" customWidth="1"/>
    <col min="12292" max="12292" width="3.25" style="3181" customWidth="1"/>
    <col min="12293" max="12293" width="7.375" style="3181" customWidth="1"/>
    <col min="12294" max="12294" width="3.5" style="3181" customWidth="1"/>
    <col min="12295" max="12295" width="19.375" style="3181" customWidth="1"/>
    <col min="12296" max="12296" width="19.5" style="3181" customWidth="1"/>
    <col min="12297" max="12297" width="8.625" style="3181" customWidth="1"/>
    <col min="12298" max="12298" width="10.5" style="3181" customWidth="1"/>
    <col min="12299" max="12299" width="4.875" style="3181" customWidth="1"/>
    <col min="12300" max="12300" width="16.375" style="3181" customWidth="1"/>
    <col min="12301" max="12304" width="8.125" style="3181" customWidth="1"/>
    <col min="12305" max="12544" width="9" style="3181"/>
    <col min="12545" max="12545" width="6.375" style="3181" customWidth="1"/>
    <col min="12546" max="12546" width="19.375" style="3181" customWidth="1"/>
    <col min="12547" max="12547" width="7" style="3181" customWidth="1"/>
    <col min="12548" max="12548" width="3.25" style="3181" customWidth="1"/>
    <col min="12549" max="12549" width="7.375" style="3181" customWidth="1"/>
    <col min="12550" max="12550" width="3.5" style="3181" customWidth="1"/>
    <col min="12551" max="12551" width="19.375" style="3181" customWidth="1"/>
    <col min="12552" max="12552" width="19.5" style="3181" customWidth="1"/>
    <col min="12553" max="12553" width="8.625" style="3181" customWidth="1"/>
    <col min="12554" max="12554" width="10.5" style="3181" customWidth="1"/>
    <col min="12555" max="12555" width="4.875" style="3181" customWidth="1"/>
    <col min="12556" max="12556" width="16.375" style="3181" customWidth="1"/>
    <col min="12557" max="12560" width="8.125" style="3181" customWidth="1"/>
    <col min="12561" max="12800" width="9" style="3181"/>
    <col min="12801" max="12801" width="6.375" style="3181" customWidth="1"/>
    <col min="12802" max="12802" width="19.375" style="3181" customWidth="1"/>
    <col min="12803" max="12803" width="7" style="3181" customWidth="1"/>
    <col min="12804" max="12804" width="3.25" style="3181" customWidth="1"/>
    <col min="12805" max="12805" width="7.375" style="3181" customWidth="1"/>
    <col min="12806" max="12806" width="3.5" style="3181" customWidth="1"/>
    <col min="12807" max="12807" width="19.375" style="3181" customWidth="1"/>
    <col min="12808" max="12808" width="19.5" style="3181" customWidth="1"/>
    <col min="12809" max="12809" width="8.625" style="3181" customWidth="1"/>
    <col min="12810" max="12810" width="10.5" style="3181" customWidth="1"/>
    <col min="12811" max="12811" width="4.875" style="3181" customWidth="1"/>
    <col min="12812" max="12812" width="16.375" style="3181" customWidth="1"/>
    <col min="12813" max="12816" width="8.125" style="3181" customWidth="1"/>
    <col min="12817" max="13056" width="9" style="3181"/>
    <col min="13057" max="13057" width="6.375" style="3181" customWidth="1"/>
    <col min="13058" max="13058" width="19.375" style="3181" customWidth="1"/>
    <col min="13059" max="13059" width="7" style="3181" customWidth="1"/>
    <col min="13060" max="13060" width="3.25" style="3181" customWidth="1"/>
    <col min="13061" max="13061" width="7.375" style="3181" customWidth="1"/>
    <col min="13062" max="13062" width="3.5" style="3181" customWidth="1"/>
    <col min="13063" max="13063" width="19.375" style="3181" customWidth="1"/>
    <col min="13064" max="13064" width="19.5" style="3181" customWidth="1"/>
    <col min="13065" max="13065" width="8.625" style="3181" customWidth="1"/>
    <col min="13066" max="13066" width="10.5" style="3181" customWidth="1"/>
    <col min="13067" max="13067" width="4.875" style="3181" customWidth="1"/>
    <col min="13068" max="13068" width="16.375" style="3181" customWidth="1"/>
    <col min="13069" max="13072" width="8.125" style="3181" customWidth="1"/>
    <col min="13073" max="13312" width="9" style="3181"/>
    <col min="13313" max="13313" width="6.375" style="3181" customWidth="1"/>
    <col min="13314" max="13314" width="19.375" style="3181" customWidth="1"/>
    <col min="13315" max="13315" width="7" style="3181" customWidth="1"/>
    <col min="13316" max="13316" width="3.25" style="3181" customWidth="1"/>
    <col min="13317" max="13317" width="7.375" style="3181" customWidth="1"/>
    <col min="13318" max="13318" width="3.5" style="3181" customWidth="1"/>
    <col min="13319" max="13319" width="19.375" style="3181" customWidth="1"/>
    <col min="13320" max="13320" width="19.5" style="3181" customWidth="1"/>
    <col min="13321" max="13321" width="8.625" style="3181" customWidth="1"/>
    <col min="13322" max="13322" width="10.5" style="3181" customWidth="1"/>
    <col min="13323" max="13323" width="4.875" style="3181" customWidth="1"/>
    <col min="13324" max="13324" width="16.375" style="3181" customWidth="1"/>
    <col min="13325" max="13328" width="8.125" style="3181" customWidth="1"/>
    <col min="13329" max="13568" width="9" style="3181"/>
    <col min="13569" max="13569" width="6.375" style="3181" customWidth="1"/>
    <col min="13570" max="13570" width="19.375" style="3181" customWidth="1"/>
    <col min="13571" max="13571" width="7" style="3181" customWidth="1"/>
    <col min="13572" max="13572" width="3.25" style="3181" customWidth="1"/>
    <col min="13573" max="13573" width="7.375" style="3181" customWidth="1"/>
    <col min="13574" max="13574" width="3.5" style="3181" customWidth="1"/>
    <col min="13575" max="13575" width="19.375" style="3181" customWidth="1"/>
    <col min="13576" max="13576" width="19.5" style="3181" customWidth="1"/>
    <col min="13577" max="13577" width="8.625" style="3181" customWidth="1"/>
    <col min="13578" max="13578" width="10.5" style="3181" customWidth="1"/>
    <col min="13579" max="13579" width="4.875" style="3181" customWidth="1"/>
    <col min="13580" max="13580" width="16.375" style="3181" customWidth="1"/>
    <col min="13581" max="13584" width="8.125" style="3181" customWidth="1"/>
    <col min="13585" max="13824" width="9" style="3181"/>
    <col min="13825" max="13825" width="6.375" style="3181" customWidth="1"/>
    <col min="13826" max="13826" width="19.375" style="3181" customWidth="1"/>
    <col min="13827" max="13827" width="7" style="3181" customWidth="1"/>
    <col min="13828" max="13828" width="3.25" style="3181" customWidth="1"/>
    <col min="13829" max="13829" width="7.375" style="3181" customWidth="1"/>
    <col min="13830" max="13830" width="3.5" style="3181" customWidth="1"/>
    <col min="13831" max="13831" width="19.375" style="3181" customWidth="1"/>
    <col min="13832" max="13832" width="19.5" style="3181" customWidth="1"/>
    <col min="13833" max="13833" width="8.625" style="3181" customWidth="1"/>
    <col min="13834" max="13834" width="10.5" style="3181" customWidth="1"/>
    <col min="13835" max="13835" width="4.875" style="3181" customWidth="1"/>
    <col min="13836" max="13836" width="16.375" style="3181" customWidth="1"/>
    <col min="13837" max="13840" width="8.125" style="3181" customWidth="1"/>
    <col min="13841" max="14080" width="9" style="3181"/>
    <col min="14081" max="14081" width="6.375" style="3181" customWidth="1"/>
    <col min="14082" max="14082" width="19.375" style="3181" customWidth="1"/>
    <col min="14083" max="14083" width="7" style="3181" customWidth="1"/>
    <col min="14084" max="14084" width="3.25" style="3181" customWidth="1"/>
    <col min="14085" max="14085" width="7.375" style="3181" customWidth="1"/>
    <col min="14086" max="14086" width="3.5" style="3181" customWidth="1"/>
    <col min="14087" max="14087" width="19.375" style="3181" customWidth="1"/>
    <col min="14088" max="14088" width="19.5" style="3181" customWidth="1"/>
    <col min="14089" max="14089" width="8.625" style="3181" customWidth="1"/>
    <col min="14090" max="14090" width="10.5" style="3181" customWidth="1"/>
    <col min="14091" max="14091" width="4.875" style="3181" customWidth="1"/>
    <col min="14092" max="14092" width="16.375" style="3181" customWidth="1"/>
    <col min="14093" max="14096" width="8.125" style="3181" customWidth="1"/>
    <col min="14097" max="14336" width="9" style="3181"/>
    <col min="14337" max="14337" width="6.375" style="3181" customWidth="1"/>
    <col min="14338" max="14338" width="19.375" style="3181" customWidth="1"/>
    <col min="14339" max="14339" width="7" style="3181" customWidth="1"/>
    <col min="14340" max="14340" width="3.25" style="3181" customWidth="1"/>
    <col min="14341" max="14341" width="7.375" style="3181" customWidth="1"/>
    <col min="14342" max="14342" width="3.5" style="3181" customWidth="1"/>
    <col min="14343" max="14343" width="19.375" style="3181" customWidth="1"/>
    <col min="14344" max="14344" width="19.5" style="3181" customWidth="1"/>
    <col min="14345" max="14345" width="8.625" style="3181" customWidth="1"/>
    <col min="14346" max="14346" width="10.5" style="3181" customWidth="1"/>
    <col min="14347" max="14347" width="4.875" style="3181" customWidth="1"/>
    <col min="14348" max="14348" width="16.375" style="3181" customWidth="1"/>
    <col min="14349" max="14352" width="8.125" style="3181" customWidth="1"/>
    <col min="14353" max="14592" width="9" style="3181"/>
    <col min="14593" max="14593" width="6.375" style="3181" customWidth="1"/>
    <col min="14594" max="14594" width="19.375" style="3181" customWidth="1"/>
    <col min="14595" max="14595" width="7" style="3181" customWidth="1"/>
    <col min="14596" max="14596" width="3.25" style="3181" customWidth="1"/>
    <col min="14597" max="14597" width="7.375" style="3181" customWidth="1"/>
    <col min="14598" max="14598" width="3.5" style="3181" customWidth="1"/>
    <col min="14599" max="14599" width="19.375" style="3181" customWidth="1"/>
    <col min="14600" max="14600" width="19.5" style="3181" customWidth="1"/>
    <col min="14601" max="14601" width="8.625" style="3181" customWidth="1"/>
    <col min="14602" max="14602" width="10.5" style="3181" customWidth="1"/>
    <col min="14603" max="14603" width="4.875" style="3181" customWidth="1"/>
    <col min="14604" max="14604" width="16.375" style="3181" customWidth="1"/>
    <col min="14605" max="14608" width="8.125" style="3181" customWidth="1"/>
    <col min="14609" max="14848" width="9" style="3181"/>
    <col min="14849" max="14849" width="6.375" style="3181" customWidth="1"/>
    <col min="14850" max="14850" width="19.375" style="3181" customWidth="1"/>
    <col min="14851" max="14851" width="7" style="3181" customWidth="1"/>
    <col min="14852" max="14852" width="3.25" style="3181" customWidth="1"/>
    <col min="14853" max="14853" width="7.375" style="3181" customWidth="1"/>
    <col min="14854" max="14854" width="3.5" style="3181" customWidth="1"/>
    <col min="14855" max="14855" width="19.375" style="3181" customWidth="1"/>
    <col min="14856" max="14856" width="19.5" style="3181" customWidth="1"/>
    <col min="14857" max="14857" width="8.625" style="3181" customWidth="1"/>
    <col min="14858" max="14858" width="10.5" style="3181" customWidth="1"/>
    <col min="14859" max="14859" width="4.875" style="3181" customWidth="1"/>
    <col min="14860" max="14860" width="16.375" style="3181" customWidth="1"/>
    <col min="14861" max="14864" width="8.125" style="3181" customWidth="1"/>
    <col min="14865" max="15104" width="9" style="3181"/>
    <col min="15105" max="15105" width="6.375" style="3181" customWidth="1"/>
    <col min="15106" max="15106" width="19.375" style="3181" customWidth="1"/>
    <col min="15107" max="15107" width="7" style="3181" customWidth="1"/>
    <col min="15108" max="15108" width="3.25" style="3181" customWidth="1"/>
    <col min="15109" max="15109" width="7.375" style="3181" customWidth="1"/>
    <col min="15110" max="15110" width="3.5" style="3181" customWidth="1"/>
    <col min="15111" max="15111" width="19.375" style="3181" customWidth="1"/>
    <col min="15112" max="15112" width="19.5" style="3181" customWidth="1"/>
    <col min="15113" max="15113" width="8.625" style="3181" customWidth="1"/>
    <col min="15114" max="15114" width="10.5" style="3181" customWidth="1"/>
    <col min="15115" max="15115" width="4.875" style="3181" customWidth="1"/>
    <col min="15116" max="15116" width="16.375" style="3181" customWidth="1"/>
    <col min="15117" max="15120" width="8.125" style="3181" customWidth="1"/>
    <col min="15121" max="15360" width="9" style="3181"/>
    <col min="15361" max="15361" width="6.375" style="3181" customWidth="1"/>
    <col min="15362" max="15362" width="19.375" style="3181" customWidth="1"/>
    <col min="15363" max="15363" width="7" style="3181" customWidth="1"/>
    <col min="15364" max="15364" width="3.25" style="3181" customWidth="1"/>
    <col min="15365" max="15365" width="7.375" style="3181" customWidth="1"/>
    <col min="15366" max="15366" width="3.5" style="3181" customWidth="1"/>
    <col min="15367" max="15367" width="19.375" style="3181" customWidth="1"/>
    <col min="15368" max="15368" width="19.5" style="3181" customWidth="1"/>
    <col min="15369" max="15369" width="8.625" style="3181" customWidth="1"/>
    <col min="15370" max="15370" width="10.5" style="3181" customWidth="1"/>
    <col min="15371" max="15371" width="4.875" style="3181" customWidth="1"/>
    <col min="15372" max="15372" width="16.375" style="3181" customWidth="1"/>
    <col min="15373" max="15376" width="8.125" style="3181" customWidth="1"/>
    <col min="15377" max="15616" width="9" style="3181"/>
    <col min="15617" max="15617" width="6.375" style="3181" customWidth="1"/>
    <col min="15618" max="15618" width="19.375" style="3181" customWidth="1"/>
    <col min="15619" max="15619" width="7" style="3181" customWidth="1"/>
    <col min="15620" max="15620" width="3.25" style="3181" customWidth="1"/>
    <col min="15621" max="15621" width="7.375" style="3181" customWidth="1"/>
    <col min="15622" max="15622" width="3.5" style="3181" customWidth="1"/>
    <col min="15623" max="15623" width="19.375" style="3181" customWidth="1"/>
    <col min="15624" max="15624" width="19.5" style="3181" customWidth="1"/>
    <col min="15625" max="15625" width="8.625" style="3181" customWidth="1"/>
    <col min="15626" max="15626" width="10.5" style="3181" customWidth="1"/>
    <col min="15627" max="15627" width="4.875" style="3181" customWidth="1"/>
    <col min="15628" max="15628" width="16.375" style="3181" customWidth="1"/>
    <col min="15629" max="15632" width="8.125" style="3181" customWidth="1"/>
    <col min="15633" max="15872" width="9" style="3181"/>
    <col min="15873" max="15873" width="6.375" style="3181" customWidth="1"/>
    <col min="15874" max="15874" width="19.375" style="3181" customWidth="1"/>
    <col min="15875" max="15875" width="7" style="3181" customWidth="1"/>
    <col min="15876" max="15876" width="3.25" style="3181" customWidth="1"/>
    <col min="15877" max="15877" width="7.375" style="3181" customWidth="1"/>
    <col min="15878" max="15878" width="3.5" style="3181" customWidth="1"/>
    <col min="15879" max="15879" width="19.375" style="3181" customWidth="1"/>
    <col min="15880" max="15880" width="19.5" style="3181" customWidth="1"/>
    <col min="15881" max="15881" width="8.625" style="3181" customWidth="1"/>
    <col min="15882" max="15882" width="10.5" style="3181" customWidth="1"/>
    <col min="15883" max="15883" width="4.875" style="3181" customWidth="1"/>
    <col min="15884" max="15884" width="16.375" style="3181" customWidth="1"/>
    <col min="15885" max="15888" width="8.125" style="3181" customWidth="1"/>
    <col min="15889" max="16128" width="9" style="3181"/>
    <col min="16129" max="16129" width="6.375" style="3181" customWidth="1"/>
    <col min="16130" max="16130" width="19.375" style="3181" customWidth="1"/>
    <col min="16131" max="16131" width="7" style="3181" customWidth="1"/>
    <col min="16132" max="16132" width="3.25" style="3181" customWidth="1"/>
    <col min="16133" max="16133" width="7.375" style="3181" customWidth="1"/>
    <col min="16134" max="16134" width="3.5" style="3181" customWidth="1"/>
    <col min="16135" max="16135" width="19.375" style="3181" customWidth="1"/>
    <col min="16136" max="16136" width="19.5" style="3181" customWidth="1"/>
    <col min="16137" max="16137" width="8.625" style="3181" customWidth="1"/>
    <col min="16138" max="16138" width="10.5" style="3181" customWidth="1"/>
    <col min="16139" max="16139" width="4.875" style="3181" customWidth="1"/>
    <col min="16140" max="16140" width="16.375" style="3181" customWidth="1"/>
    <col min="16141" max="16144" width="8.125" style="3181" customWidth="1"/>
    <col min="16145" max="16384" width="9" style="3181"/>
  </cols>
  <sheetData>
    <row r="1" spans="1:16">
      <c r="A1" s="3467" t="s">
        <v>3480</v>
      </c>
      <c r="B1" s="3467"/>
      <c r="C1" s="3467"/>
      <c r="D1" s="3467"/>
      <c r="E1" s="3467"/>
      <c r="F1" s="3467"/>
      <c r="G1" s="3467"/>
      <c r="H1" s="3467"/>
      <c r="I1" s="3467"/>
      <c r="K1" s="3468" t="s">
        <v>3481</v>
      </c>
      <c r="L1" s="3178" t="s">
        <v>3482</v>
      </c>
      <c r="M1" s="3179">
        <v>0</v>
      </c>
      <c r="N1" s="3180"/>
      <c r="O1" s="3180"/>
    </row>
    <row r="2" spans="1:16" ht="15.75" customHeight="1">
      <c r="A2" s="3182" t="s">
        <v>2645</v>
      </c>
      <c r="B2" s="3183" t="s">
        <v>3483</v>
      </c>
      <c r="C2" s="3440" t="s">
        <v>3484</v>
      </c>
      <c r="D2" s="3441"/>
      <c r="E2" s="3441"/>
      <c r="F2" s="3442"/>
      <c r="G2" s="3186" t="s">
        <v>3485</v>
      </c>
      <c r="H2" s="3443" t="s">
        <v>3486</v>
      </c>
      <c r="I2" s="3443"/>
      <c r="K2" s="3468"/>
      <c r="L2" s="3178" t="s">
        <v>3487</v>
      </c>
      <c r="M2" s="3187">
        <f>2022-N2</f>
        <v>11</v>
      </c>
      <c r="N2" s="3188">
        <v>2011</v>
      </c>
      <c r="O2" s="3188"/>
    </row>
    <row r="3" spans="1:16">
      <c r="A3" s="3186" t="s">
        <v>3488</v>
      </c>
      <c r="B3" s="3189" t="s">
        <v>3489</v>
      </c>
      <c r="C3" s="3440">
        <f ca="1">'成本法 (元)'!C52</f>
        <v>5214897</v>
      </c>
      <c r="D3" s="3441"/>
      <c r="E3" s="3441"/>
      <c r="F3" s="3442"/>
      <c r="G3" s="3186" t="s">
        <v>3490</v>
      </c>
      <c r="H3" s="3189" t="s">
        <v>3491</v>
      </c>
      <c r="I3" s="3190">
        <f>'[1]数据-基础表'!I13</f>
        <v>146.99</v>
      </c>
      <c r="K3" s="3468"/>
      <c r="L3" s="3178" t="s">
        <v>3492</v>
      </c>
      <c r="M3" s="3191" t="s">
        <v>3493</v>
      </c>
      <c r="N3" s="3188"/>
      <c r="O3" s="3188"/>
    </row>
    <row r="4" spans="1:16">
      <c r="A4" s="3443" t="s">
        <v>3494</v>
      </c>
      <c r="B4" s="3447" t="s">
        <v>3495</v>
      </c>
      <c r="C4" s="3469">
        <f ca="1">ROUND(C3*(I4-I6)/(1-((1+I6)/(1+I4))^I5),0)</f>
        <v>307611</v>
      </c>
      <c r="D4" s="3470"/>
      <c r="E4" s="3470"/>
      <c r="F4" s="3471"/>
      <c r="G4" s="3443" t="s">
        <v>3496</v>
      </c>
      <c r="H4" s="3192" t="s">
        <v>3497</v>
      </c>
      <c r="I4" s="3193">
        <v>0.06</v>
      </c>
      <c r="K4" s="3468"/>
      <c r="L4" s="3178" t="s">
        <v>3498</v>
      </c>
      <c r="M4" s="3194">
        <f>ROUND(1-(1-M1)*M2/M3,2)</f>
        <v>0.82</v>
      </c>
      <c r="N4" s="3188"/>
      <c r="O4" s="3188"/>
    </row>
    <row r="5" spans="1:16" s="3198" customFormat="1" ht="18" customHeight="1">
      <c r="A5" s="3443"/>
      <c r="B5" s="3447"/>
      <c r="C5" s="3472"/>
      <c r="D5" s="3473"/>
      <c r="E5" s="3473"/>
      <c r="F5" s="3474"/>
      <c r="G5" s="3443"/>
      <c r="H5" s="3189" t="s">
        <v>3499</v>
      </c>
      <c r="I5" s="3195">
        <f>项目基本情况!D15</f>
        <v>23.1</v>
      </c>
      <c r="J5" s="3196"/>
      <c r="K5" s="3468"/>
      <c r="L5" s="3178" t="s">
        <v>3500</v>
      </c>
      <c r="M5" s="3197">
        <v>0.5</v>
      </c>
      <c r="N5" s="3188"/>
      <c r="O5" s="3188"/>
    </row>
    <row r="6" spans="1:16" s="3198" customFormat="1" ht="18" customHeight="1">
      <c r="A6" s="3443"/>
      <c r="B6" s="3447"/>
      <c r="C6" s="3475"/>
      <c r="D6" s="3476"/>
      <c r="E6" s="3476"/>
      <c r="F6" s="3477"/>
      <c r="G6" s="3443"/>
      <c r="H6" s="3189" t="s">
        <v>3501</v>
      </c>
      <c r="I6" s="3193">
        <v>3.5000000000000003E-2</v>
      </c>
      <c r="J6" s="3199"/>
      <c r="K6" s="3478" t="s">
        <v>3502</v>
      </c>
      <c r="L6" s="3200" t="s">
        <v>3503</v>
      </c>
      <c r="M6" s="3201" t="s">
        <v>3504</v>
      </c>
      <c r="N6" s="3201" t="s">
        <v>3505</v>
      </c>
      <c r="O6" s="3201" t="s">
        <v>3506</v>
      </c>
      <c r="P6" s="3201" t="s">
        <v>3507</v>
      </c>
    </row>
    <row r="7" spans="1:16" s="3198" customFormat="1" ht="18" customHeight="1">
      <c r="A7" s="3186" t="s">
        <v>3508</v>
      </c>
      <c r="B7" s="3189" t="s">
        <v>3509</v>
      </c>
      <c r="C7" s="3440">
        <f ca="1">'成本法 (元)'!C51</f>
        <v>645295</v>
      </c>
      <c r="D7" s="3441"/>
      <c r="E7" s="3441"/>
      <c r="F7" s="3442"/>
      <c r="G7" s="3186" t="s">
        <v>3510</v>
      </c>
      <c r="H7" s="3189" t="s">
        <v>3511</v>
      </c>
      <c r="I7" s="3202">
        <v>0.8</v>
      </c>
      <c r="K7" s="3478"/>
      <c r="L7" s="3200" t="s">
        <v>3512</v>
      </c>
      <c r="M7" s="3201">
        <v>100</v>
      </c>
      <c r="N7" s="3201" t="s">
        <v>3513</v>
      </c>
      <c r="O7" s="3201">
        <v>90</v>
      </c>
      <c r="P7" s="3203">
        <v>0.3</v>
      </c>
    </row>
    <row r="8" spans="1:16" s="3198" customFormat="1" ht="18" hidden="1" customHeight="1">
      <c r="A8" s="3182" t="s">
        <v>3514</v>
      </c>
      <c r="B8" s="3189" t="s">
        <v>3515</v>
      </c>
      <c r="C8" s="3440">
        <f>ROUND(I8*I3,0)</f>
        <v>514465</v>
      </c>
      <c r="D8" s="3441"/>
      <c r="E8" s="3441"/>
      <c r="F8" s="3442"/>
      <c r="G8" s="3186" t="s">
        <v>3516</v>
      </c>
      <c r="H8" s="3189" t="s">
        <v>3517</v>
      </c>
      <c r="I8" s="3186">
        <v>3500</v>
      </c>
      <c r="J8" s="3204">
        <f>D35</f>
        <v>6.7</v>
      </c>
      <c r="K8" s="3478"/>
      <c r="L8" s="3200" t="s">
        <v>3518</v>
      </c>
      <c r="M8" s="3201">
        <v>100</v>
      </c>
      <c r="N8" s="3201" t="s">
        <v>3513</v>
      </c>
      <c r="O8" s="3201">
        <v>90</v>
      </c>
      <c r="P8" s="3203">
        <v>0.5</v>
      </c>
    </row>
    <row r="9" spans="1:16" s="3198" customFormat="1" ht="18" hidden="1" customHeight="1">
      <c r="A9" s="3182" t="s">
        <v>3519</v>
      </c>
      <c r="B9" s="3189" t="s">
        <v>3520</v>
      </c>
      <c r="C9" s="3440">
        <f>ROUND(C8*H9,0)</f>
        <v>15434</v>
      </c>
      <c r="D9" s="3441"/>
      <c r="E9" s="3441"/>
      <c r="F9" s="3442"/>
      <c r="G9" s="3186" t="s">
        <v>3521</v>
      </c>
      <c r="H9" s="3464">
        <f>'数据-取费表'!B33</f>
        <v>0.03</v>
      </c>
      <c r="I9" s="3464"/>
      <c r="J9" s="3204">
        <f ca="1">D36</f>
        <v>7.54</v>
      </c>
      <c r="K9" s="3478"/>
      <c r="L9" s="3200" t="s">
        <v>3522</v>
      </c>
      <c r="M9" s="3201">
        <v>100</v>
      </c>
      <c r="N9" s="3201" t="s">
        <v>3513</v>
      </c>
      <c r="O9" s="3201">
        <v>90</v>
      </c>
      <c r="P9" s="3203">
        <f>1-P7-P8</f>
        <v>0.19999999999999996</v>
      </c>
    </row>
    <row r="10" spans="1:16" s="3198" customFormat="1" ht="18" hidden="1" customHeight="1">
      <c r="A10" s="3182" t="s">
        <v>3523</v>
      </c>
      <c r="B10" s="3189" t="s">
        <v>3524</v>
      </c>
      <c r="C10" s="3440">
        <f>ROUND(C8*H10,0)</f>
        <v>0</v>
      </c>
      <c r="D10" s="3441"/>
      <c r="E10" s="3441"/>
      <c r="F10" s="3442"/>
      <c r="G10" s="3186" t="s">
        <v>3521</v>
      </c>
      <c r="H10" s="3464">
        <f>'[1]数据-取费表'!B34</f>
        <v>0</v>
      </c>
      <c r="I10" s="3464"/>
      <c r="J10" s="3204">
        <f ca="1">D37</f>
        <v>7</v>
      </c>
      <c r="K10" s="3478"/>
      <c r="L10" s="3205" t="s">
        <v>3500</v>
      </c>
      <c r="M10" s="3206">
        <f>1-M5</f>
        <v>0.5</v>
      </c>
      <c r="N10" s="3201" t="s">
        <v>3498</v>
      </c>
      <c r="O10" s="3207">
        <f>ROUND((O7*P7+O8*P8+O9*P9)/100,2)</f>
        <v>0.9</v>
      </c>
      <c r="P10" s="3208"/>
    </row>
    <row r="11" spans="1:16" s="3198" customFormat="1" ht="29.25" hidden="1" customHeight="1">
      <c r="A11" s="3182" t="s">
        <v>3525</v>
      </c>
      <c r="B11" s="3189" t="s">
        <v>3526</v>
      </c>
      <c r="C11" s="3440">
        <f>ROUND(I11*I3,0)</f>
        <v>29398</v>
      </c>
      <c r="D11" s="3441"/>
      <c r="E11" s="3441"/>
      <c r="F11" s="3442"/>
      <c r="G11" s="3186" t="s">
        <v>3527</v>
      </c>
      <c r="H11" s="3189" t="s">
        <v>3528</v>
      </c>
      <c r="I11" s="3186">
        <f>'[1]数据-取费表'!B28</f>
        <v>200</v>
      </c>
      <c r="J11" s="3196"/>
      <c r="K11" s="3149"/>
      <c r="L11" s="3149"/>
    </row>
    <row r="12" spans="1:16" s="3198" customFormat="1" ht="18" hidden="1" customHeight="1">
      <c r="A12" s="3182" t="s">
        <v>3529</v>
      </c>
      <c r="B12" s="3189" t="s">
        <v>3530</v>
      </c>
      <c r="C12" s="3440">
        <f>ROUND(C8*H12,0)</f>
        <v>7717</v>
      </c>
      <c r="D12" s="3441"/>
      <c r="E12" s="3441"/>
      <c r="F12" s="3442"/>
      <c r="G12" s="3186" t="s">
        <v>3521</v>
      </c>
      <c r="H12" s="3464">
        <f>'[1]数据-取费表'!B36</f>
        <v>1.4999999999999999E-2</v>
      </c>
      <c r="I12" s="3464"/>
      <c r="J12" s="3209" t="s">
        <v>3531</v>
      </c>
      <c r="L12" s="3210"/>
    </row>
    <row r="13" spans="1:16" s="3198" customFormat="1" ht="18" hidden="1" customHeight="1">
      <c r="A13" s="3182" t="s">
        <v>438</v>
      </c>
      <c r="B13" s="3189" t="s">
        <v>3532</v>
      </c>
      <c r="C13" s="3440">
        <f>SUM(C8:F12)</f>
        <v>567014</v>
      </c>
      <c r="D13" s="3441"/>
      <c r="E13" s="3441"/>
      <c r="F13" s="3442"/>
      <c r="G13" s="3443" t="s">
        <v>3533</v>
      </c>
      <c r="H13" s="3443"/>
      <c r="I13" s="3443"/>
      <c r="J13" s="3209" t="s">
        <v>3534</v>
      </c>
      <c r="L13" s="3210"/>
      <c r="N13" s="3198">
        <v>2011</v>
      </c>
    </row>
    <row r="14" spans="1:16" s="3198" customFormat="1" ht="18" hidden="1" customHeight="1">
      <c r="A14" s="3182" t="s">
        <v>3535</v>
      </c>
      <c r="B14" s="3189" t="s">
        <v>3536</v>
      </c>
      <c r="C14" s="3440">
        <f>ROUND(C13*H14,0)</f>
        <v>11340</v>
      </c>
      <c r="D14" s="3441"/>
      <c r="E14" s="3441"/>
      <c r="F14" s="3442"/>
      <c r="G14" s="3186" t="s">
        <v>3537</v>
      </c>
      <c r="H14" s="3464">
        <v>0.02</v>
      </c>
      <c r="I14" s="3464"/>
      <c r="J14" s="3196"/>
      <c r="L14" s="3210"/>
    </row>
    <row r="15" spans="1:16" s="3198" customFormat="1" ht="18" hidden="1" customHeight="1">
      <c r="A15" s="3182" t="s">
        <v>393</v>
      </c>
      <c r="B15" s="3189" t="s">
        <v>3538</v>
      </c>
      <c r="C15" s="3454">
        <f>H15</f>
        <v>0.02</v>
      </c>
      <c r="D15" s="3455"/>
      <c r="E15" s="3462" t="str">
        <f>E18</f>
        <v>V</v>
      </c>
      <c r="F15" s="3463"/>
      <c r="G15" s="3186" t="s">
        <v>3539</v>
      </c>
      <c r="H15" s="3464">
        <v>0.02</v>
      </c>
      <c r="I15" s="3464"/>
      <c r="J15" s="3213"/>
      <c r="K15" s="3214"/>
    </row>
    <row r="16" spans="1:16" s="3198" customFormat="1" ht="18" hidden="1" customHeight="1">
      <c r="A16" s="3215" t="s">
        <v>394</v>
      </c>
      <c r="B16" s="3216" t="s">
        <v>3540</v>
      </c>
      <c r="C16" s="3184">
        <f ca="1">C17</f>
        <v>19953</v>
      </c>
      <c r="D16" s="3185" t="s">
        <v>3541</v>
      </c>
      <c r="E16" s="3217">
        <f ca="1">C18</f>
        <v>6.9000000000000008E-4</v>
      </c>
      <c r="F16" s="3212" t="str">
        <f>E18</f>
        <v>V</v>
      </c>
      <c r="G16" s="3440" t="s">
        <v>3542</v>
      </c>
      <c r="H16" s="3441"/>
      <c r="I16" s="3442"/>
      <c r="J16" s="3196"/>
      <c r="K16" s="3149"/>
    </row>
    <row r="17" spans="1:12" s="3198" customFormat="1" ht="18" hidden="1" customHeight="1">
      <c r="A17" s="3182" t="s">
        <v>3543</v>
      </c>
      <c r="B17" s="3189" t="s">
        <v>3544</v>
      </c>
      <c r="C17" s="3440">
        <f ca="1">ROUND((C13+C14)*I18*(I17/2),0)</f>
        <v>19953</v>
      </c>
      <c r="D17" s="3441"/>
      <c r="E17" s="3441"/>
      <c r="F17" s="3442"/>
      <c r="G17" s="3184" t="s">
        <v>3545</v>
      </c>
      <c r="H17" s="3189" t="s">
        <v>3546</v>
      </c>
      <c r="I17" s="3186">
        <f>'[1]数据-取费表'!B20</f>
        <v>2</v>
      </c>
      <c r="J17" s="3209" t="s">
        <v>3547</v>
      </c>
      <c r="K17" s="3149"/>
      <c r="L17" s="3149"/>
    </row>
    <row r="18" spans="1:12" s="3198" customFormat="1" ht="18" hidden="1" customHeight="1">
      <c r="A18" s="3182" t="s">
        <v>3548</v>
      </c>
      <c r="B18" s="3189" t="s">
        <v>3549</v>
      </c>
      <c r="C18" s="3465">
        <f ca="1">H15*I18*I17/2</f>
        <v>6.9000000000000008E-4</v>
      </c>
      <c r="D18" s="3466"/>
      <c r="E18" s="3462" t="s">
        <v>3550</v>
      </c>
      <c r="F18" s="3463"/>
      <c r="G18" s="3184" t="s">
        <v>3551</v>
      </c>
      <c r="H18" s="3189" t="s">
        <v>3552</v>
      </c>
      <c r="I18" s="3218">
        <f ca="1">'数据-取费表'!B40</f>
        <v>3.4500000000000003E-2</v>
      </c>
      <c r="J18" s="3209" t="s">
        <v>3553</v>
      </c>
      <c r="K18" s="3149"/>
      <c r="L18" s="3149"/>
    </row>
    <row r="19" spans="1:12" s="3198" customFormat="1" ht="27" hidden="1" customHeight="1">
      <c r="A19" s="3182" t="s">
        <v>395</v>
      </c>
      <c r="B19" s="3189" t="s">
        <v>3554</v>
      </c>
      <c r="C19" s="3184">
        <f>C20</f>
        <v>144589</v>
      </c>
      <c r="D19" s="3185" t="s">
        <v>3541</v>
      </c>
      <c r="E19" s="3185">
        <f>C21</f>
        <v>5.0000000000000001E-3</v>
      </c>
      <c r="F19" s="3212" t="str">
        <f>E21</f>
        <v>V</v>
      </c>
      <c r="G19" s="3440" t="s">
        <v>3555</v>
      </c>
      <c r="H19" s="3441"/>
      <c r="I19" s="3442"/>
      <c r="J19" s="3196"/>
      <c r="K19" s="3149"/>
      <c r="L19" s="3149"/>
    </row>
    <row r="20" spans="1:12" s="3198" customFormat="1" ht="26.25" hidden="1" customHeight="1">
      <c r="A20" s="3182" t="s">
        <v>3556</v>
      </c>
      <c r="B20" s="3189" t="s">
        <v>3557</v>
      </c>
      <c r="C20" s="3440">
        <f>ROUND((C13+C14)*I20,0)</f>
        <v>144589</v>
      </c>
      <c r="D20" s="3441"/>
      <c r="E20" s="3441"/>
      <c r="F20" s="3442"/>
      <c r="G20" s="3186" t="s">
        <v>3558</v>
      </c>
      <c r="H20" s="3459" t="s">
        <v>3559</v>
      </c>
      <c r="I20" s="3461">
        <v>0.25</v>
      </c>
      <c r="J20" s="3209" t="s">
        <v>3560</v>
      </c>
      <c r="K20" s="3149"/>
      <c r="L20" s="3149"/>
    </row>
    <row r="21" spans="1:12" s="3198" customFormat="1" ht="27" hidden="1" customHeight="1">
      <c r="A21" s="3182" t="s">
        <v>3556</v>
      </c>
      <c r="B21" s="3189" t="s">
        <v>3561</v>
      </c>
      <c r="C21" s="3454">
        <f>H15*I20</f>
        <v>5.0000000000000001E-3</v>
      </c>
      <c r="D21" s="3455"/>
      <c r="E21" s="3462" t="s">
        <v>3550</v>
      </c>
      <c r="F21" s="3463"/>
      <c r="G21" s="3186" t="s">
        <v>3562</v>
      </c>
      <c r="H21" s="3460"/>
      <c r="I21" s="3461"/>
      <c r="J21" s="3196"/>
      <c r="K21" s="3149"/>
      <c r="L21" s="3149"/>
    </row>
    <row r="22" spans="1:12" s="3198" customFormat="1" ht="18" hidden="1" customHeight="1">
      <c r="A22" s="3182" t="s">
        <v>396</v>
      </c>
      <c r="B22" s="3189" t="s">
        <v>3563</v>
      </c>
      <c r="C22" s="3454">
        <f>ROUND(H22/1.05,4)</f>
        <v>5.33E-2</v>
      </c>
      <c r="D22" s="3455"/>
      <c r="E22" s="3462" t="s">
        <v>3550</v>
      </c>
      <c r="F22" s="3463"/>
      <c r="G22" s="3186" t="s">
        <v>3564</v>
      </c>
      <c r="H22" s="3464">
        <v>5.6000000000000001E-2</v>
      </c>
      <c r="I22" s="3464"/>
      <c r="J22" s="3220"/>
      <c r="K22" s="3149"/>
      <c r="L22" s="3149"/>
    </row>
    <row r="23" spans="1:12" s="3198" customFormat="1" ht="18" customHeight="1">
      <c r="A23" s="3182" t="s">
        <v>3565</v>
      </c>
      <c r="B23" s="3189" t="s">
        <v>3566</v>
      </c>
      <c r="C23" s="3440">
        <f ca="1">'成本法 (元)'!C49</f>
        <v>806619</v>
      </c>
      <c r="D23" s="3441"/>
      <c r="E23" s="3441"/>
      <c r="F23" s="3442"/>
      <c r="G23" s="3440" t="s">
        <v>3567</v>
      </c>
      <c r="H23" s="3441"/>
      <c r="I23" s="3442"/>
      <c r="J23" s="3220"/>
      <c r="K23" s="3149"/>
      <c r="L23" s="3149"/>
    </row>
    <row r="24" spans="1:12" s="3198" customFormat="1" ht="18" customHeight="1">
      <c r="A24" s="3182" t="s">
        <v>3568</v>
      </c>
      <c r="B24" s="3189" t="s">
        <v>3569</v>
      </c>
      <c r="C24" s="3211">
        <f ca="1">C26+C27</f>
        <v>9034</v>
      </c>
      <c r="D24" s="3221" t="s">
        <v>3570</v>
      </c>
      <c r="E24" s="3456">
        <f>H25+H28</f>
        <v>0.13</v>
      </c>
      <c r="F24" s="3457"/>
      <c r="G24" s="3443" t="s">
        <v>3571</v>
      </c>
      <c r="H24" s="3443"/>
      <c r="I24" s="3443"/>
      <c r="J24" s="3220"/>
      <c r="K24" s="3149"/>
      <c r="L24" s="3149"/>
    </row>
    <row r="25" spans="1:12" s="3198" customFormat="1" ht="18" customHeight="1">
      <c r="A25" s="3182" t="s">
        <v>438</v>
      </c>
      <c r="B25" s="3189" t="s">
        <v>3572</v>
      </c>
      <c r="C25" s="3454" t="s">
        <v>3573</v>
      </c>
      <c r="D25" s="3455"/>
      <c r="E25" s="3456">
        <f>H25</f>
        <v>0.12</v>
      </c>
      <c r="F25" s="3457"/>
      <c r="G25" s="3186" t="s">
        <v>3574</v>
      </c>
      <c r="H25" s="3439">
        <v>0.12</v>
      </c>
      <c r="I25" s="3439"/>
      <c r="J25" s="3213"/>
      <c r="K25" s="3149"/>
      <c r="L25" s="3149"/>
    </row>
    <row r="26" spans="1:12" s="3198" customFormat="1" ht="18" customHeight="1">
      <c r="A26" s="3182" t="s">
        <v>3535</v>
      </c>
      <c r="B26" s="3189" t="s">
        <v>3575</v>
      </c>
      <c r="C26" s="3440">
        <f ca="1">ROUND(C23*H26,0)</f>
        <v>8066</v>
      </c>
      <c r="D26" s="3441"/>
      <c r="E26" s="3441"/>
      <c r="F26" s="3442"/>
      <c r="G26" s="3186" t="s">
        <v>3576</v>
      </c>
      <c r="H26" s="3439">
        <v>0.01</v>
      </c>
      <c r="I26" s="3439"/>
      <c r="J26" s="3213"/>
      <c r="K26" s="3149"/>
      <c r="L26" s="3149"/>
    </row>
    <row r="27" spans="1:12" s="3198" customFormat="1" ht="18" customHeight="1">
      <c r="A27" s="3182" t="s">
        <v>393</v>
      </c>
      <c r="B27" s="3189" t="s">
        <v>3577</v>
      </c>
      <c r="C27" s="3440">
        <f ca="1">ROUND(C7*H27,0)</f>
        <v>968</v>
      </c>
      <c r="D27" s="3441"/>
      <c r="E27" s="3441"/>
      <c r="F27" s="3442"/>
      <c r="G27" s="3186" t="s">
        <v>3578</v>
      </c>
      <c r="H27" s="3458">
        <v>1.5E-3</v>
      </c>
      <c r="I27" s="3458"/>
      <c r="J27" s="3196"/>
      <c r="K27" s="3149"/>
      <c r="L27" s="3149"/>
    </row>
    <row r="28" spans="1:12" s="3198" customFormat="1" ht="18" customHeight="1">
      <c r="A28" s="3182" t="s">
        <v>394</v>
      </c>
      <c r="B28" s="3189" t="s">
        <v>3579</v>
      </c>
      <c r="C28" s="3454" t="s">
        <v>3573</v>
      </c>
      <c r="D28" s="3455"/>
      <c r="E28" s="3456">
        <f>H28</f>
        <v>0.01</v>
      </c>
      <c r="F28" s="3457"/>
      <c r="G28" s="3186" t="s">
        <v>3580</v>
      </c>
      <c r="H28" s="3439">
        <v>0.01</v>
      </c>
      <c r="I28" s="3439"/>
      <c r="J28" s="3222"/>
      <c r="K28" s="3149"/>
      <c r="L28" s="3149"/>
    </row>
    <row r="29" spans="1:12" s="3198" customFormat="1" ht="18" customHeight="1">
      <c r="A29" s="3186" t="s">
        <v>3581</v>
      </c>
      <c r="B29" s="3189" t="s">
        <v>3582</v>
      </c>
      <c r="C29" s="3440">
        <f ca="1">ROUND((C4+C24)/(1-E24),0)</f>
        <v>363960</v>
      </c>
      <c r="D29" s="3441"/>
      <c r="E29" s="3441"/>
      <c r="F29" s="3442"/>
      <c r="G29" s="3443" t="s">
        <v>3583</v>
      </c>
      <c r="H29" s="3443"/>
      <c r="I29" s="3443"/>
      <c r="J29" s="3223" t="s">
        <v>3584</v>
      </c>
      <c r="K29" s="3149"/>
      <c r="L29" s="3149"/>
    </row>
    <row r="30" spans="1:12" s="3198" customFormat="1" ht="21" customHeight="1">
      <c r="A30" s="3443" t="s">
        <v>3585</v>
      </c>
      <c r="B30" s="3447" t="s">
        <v>3586</v>
      </c>
      <c r="C30" s="3448">
        <f ca="1">ROUND(C29/I30/I31/I3,2)</f>
        <v>7.54</v>
      </c>
      <c r="D30" s="3449"/>
      <c r="E30" s="3449"/>
      <c r="F30" s="3450"/>
      <c r="G30" s="3443" t="s">
        <v>3587</v>
      </c>
      <c r="H30" s="3189" t="s">
        <v>3588</v>
      </c>
      <c r="I30" s="3186">
        <v>365</v>
      </c>
      <c r="J30" s="3224"/>
      <c r="K30" s="3149"/>
      <c r="L30" s="3149"/>
    </row>
    <row r="31" spans="1:12" s="3198" customFormat="1" ht="18" customHeight="1">
      <c r="A31" s="3443"/>
      <c r="B31" s="3447"/>
      <c r="C31" s="3451"/>
      <c r="D31" s="3452"/>
      <c r="E31" s="3452"/>
      <c r="F31" s="3453"/>
      <c r="G31" s="3443"/>
      <c r="H31" s="3189" t="s">
        <v>3589</v>
      </c>
      <c r="I31" s="3219">
        <v>0.9</v>
      </c>
      <c r="J31" s="3225"/>
      <c r="K31" s="3149"/>
      <c r="L31" s="3149"/>
    </row>
    <row r="32" spans="1:12" s="3198" customFormat="1" ht="18" customHeight="1">
      <c r="A32" s="3181"/>
      <c r="B32" s="3156"/>
      <c r="C32" s="3181"/>
      <c r="D32" s="3181"/>
      <c r="E32" s="3181"/>
      <c r="F32" s="3181"/>
      <c r="G32" s="3226"/>
      <c r="H32" s="3181"/>
      <c r="I32" s="3181"/>
      <c r="J32" s="3196"/>
      <c r="K32" s="3149"/>
      <c r="L32" s="3149"/>
    </row>
    <row r="33" spans="1:13" s="3198" customFormat="1" ht="18" customHeight="1">
      <c r="A33" s="3181"/>
      <c r="B33" s="3445" t="s">
        <v>3590</v>
      </c>
      <c r="C33" s="3445"/>
      <c r="D33" s="3445"/>
      <c r="E33" s="3445"/>
      <c r="F33" s="3445"/>
      <c r="G33" s="3227"/>
      <c r="H33" s="3228"/>
      <c r="I33" s="3181"/>
      <c r="J33" s="3196"/>
      <c r="K33" s="3149"/>
      <c r="L33" s="3149"/>
      <c r="M33" s="3181"/>
    </row>
    <row r="34" spans="1:13" s="3198" customFormat="1" ht="18" customHeight="1">
      <c r="A34" s="3181"/>
      <c r="B34" s="3229" t="s">
        <v>3591</v>
      </c>
      <c r="C34" s="3229" t="s">
        <v>3507</v>
      </c>
      <c r="D34" s="3446" t="s">
        <v>3592</v>
      </c>
      <c r="E34" s="3446"/>
      <c r="F34" s="3446"/>
      <c r="G34" s="3227"/>
      <c r="H34" s="3228"/>
      <c r="I34" s="3181"/>
      <c r="J34" s="3220"/>
      <c r="K34" s="3181"/>
      <c r="L34" s="3181"/>
      <c r="M34" s="3181"/>
    </row>
    <row r="35" spans="1:13">
      <c r="B35" s="3229" t="s">
        <v>3593</v>
      </c>
      <c r="C35" s="3230">
        <v>0.7</v>
      </c>
      <c r="D35" s="3444">
        <f>'比较法-商业-租金'!C48</f>
        <v>6.7</v>
      </c>
      <c r="E35" s="3444"/>
      <c r="F35" s="3444"/>
      <c r="G35" s="3227">
        <f ca="1">D36/D35</f>
        <v>1.1253731343283582</v>
      </c>
      <c r="H35" s="3228"/>
      <c r="K35" s="3181"/>
      <c r="L35" s="3181"/>
    </row>
    <row r="36" spans="1:13" ht="20.100000000000001" customHeight="1">
      <c r="B36" s="3229" t="s">
        <v>3594</v>
      </c>
      <c r="C36" s="3230">
        <f>1-C35</f>
        <v>0.30000000000000004</v>
      </c>
      <c r="D36" s="3444">
        <f ca="1">C30</f>
        <v>7.54</v>
      </c>
      <c r="E36" s="3444"/>
      <c r="F36" s="3444"/>
      <c r="G36" s="3227"/>
      <c r="H36" s="3228"/>
      <c r="J36" s="3181"/>
      <c r="K36" s="3181"/>
      <c r="L36" s="3181"/>
    </row>
    <row r="37" spans="1:13" ht="22.5" customHeight="1">
      <c r="B37" s="3446" t="s">
        <v>3595</v>
      </c>
      <c r="C37" s="3446"/>
      <c r="D37" s="3444">
        <f ca="1">ROUND(C35*D35+C36*D36,1)</f>
        <v>7</v>
      </c>
      <c r="E37" s="3444"/>
      <c r="F37" s="3444"/>
      <c r="G37" s="3227">
        <f ca="1">ROUND(D37*I3/10000,2)</f>
        <v>0.1</v>
      </c>
      <c r="H37" s="3228"/>
      <c r="J37" s="3181"/>
      <c r="K37" s="3181"/>
      <c r="L37" s="3181"/>
    </row>
    <row r="38" spans="1:13" ht="22.5" customHeight="1">
      <c r="B38" s="3229" t="s">
        <v>3596</v>
      </c>
      <c r="C38" s="3229">
        <f ca="1">ROUND(D37*0.9,2)</f>
        <v>6.3</v>
      </c>
      <c r="D38" s="3231" t="s">
        <v>3597</v>
      </c>
      <c r="E38" s="3444">
        <f ca="1">ROUND(D37*1.1,2)</f>
        <v>7.7</v>
      </c>
      <c r="F38" s="3444"/>
      <c r="G38" s="3227" t="s">
        <v>3598</v>
      </c>
      <c r="H38" s="3232">
        <v>12</v>
      </c>
      <c r="J38" s="3181"/>
      <c r="K38" s="3181"/>
      <c r="L38" s="3181"/>
    </row>
    <row r="39" spans="1:13" ht="18" customHeight="1">
      <c r="B39" s="3229" t="s">
        <v>3599</v>
      </c>
      <c r="C39" s="3229">
        <f ca="1">ROUND(C38+H39,2)</f>
        <v>6.35</v>
      </c>
      <c r="D39" s="3231" t="s">
        <v>3597</v>
      </c>
      <c r="E39" s="3444">
        <f ca="1">ROUND(E38+H39,2)</f>
        <v>7.75</v>
      </c>
      <c r="F39" s="3444"/>
      <c r="G39" s="3233" t="s">
        <v>3600</v>
      </c>
      <c r="H39" s="3233">
        <v>0.05</v>
      </c>
      <c r="J39" s="3181"/>
      <c r="K39" s="3181"/>
      <c r="L39" s="3181"/>
    </row>
    <row r="40" spans="1:13" ht="18" customHeight="1">
      <c r="B40" s="3234"/>
      <c r="C40" s="3235"/>
      <c r="D40" s="3228"/>
      <c r="E40" s="3228"/>
      <c r="F40" s="3228"/>
      <c r="G40" s="3227"/>
      <c r="H40" s="3228"/>
      <c r="J40" s="3181"/>
    </row>
    <row r="41" spans="1:13" ht="18" customHeight="1">
      <c r="B41" s="3227" t="s">
        <v>3601</v>
      </c>
      <c r="C41" s="3228"/>
      <c r="D41" s="3228"/>
      <c r="E41" s="3227" t="s">
        <v>3602</v>
      </c>
      <c r="F41" s="3228"/>
      <c r="G41" s="3227"/>
      <c r="H41" s="3227" t="s">
        <v>3603</v>
      </c>
      <c r="J41" s="3181"/>
    </row>
    <row r="42" spans="1:13" ht="29.25" customHeight="1"/>
    <row r="45" spans="1:13">
      <c r="H45" s="3236"/>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117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4196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6</v>
      </c>
      <c r="D10" s="795">
        <f ca="1">IF(B1="",'数据-汇总表'!E6,IF(INDIRECT("'数据-取费表'!c"&amp;$G$1)="住宅",INDIRECT("'数据-取费表'!s"&amp;$G$1),INDIRECT("'数据-取费表'!k"&amp;$G$1)+INDIRECT("'数据-取费表'!s"&amp;$G$1)))</f>
        <v>278.87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6</v>
      </c>
      <c r="D19" s="204">
        <f ca="1">D9+D10</f>
        <v>278.87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1</v>
      </c>
      <c r="D27" s="227">
        <f ca="1">C29</f>
        <v>3.5999999999999999E-3</v>
      </c>
      <c r="E27" s="228" t="s">
        <v>1514</v>
      </c>
      <c r="F27" s="238">
        <f ca="1">IF(B1="",'数据-取费表'!Q16,INDIRECT("'数据-取费表'!q"&amp;$G$1))</f>
        <v>0.18</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101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91</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v>
      </c>
      <c r="D37" s="209">
        <f ca="1">D19</f>
        <v>278.87</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479" t="s">
        <v>1544</v>
      </c>
    </row>
    <row r="43" spans="1:7" ht="13.5" customHeight="1">
      <c r="A43" s="734" t="s">
        <v>347</v>
      </c>
      <c r="B43" s="207" t="s">
        <v>1545</v>
      </c>
      <c r="C43" s="230">
        <f ca="1">ROUND(IF('数据-取费表'!B22&lt;=1,C39*F22*'数据-取费表'!B21/2,C39*(POWER((1+F22),'数据-取费表'!B21/2)-1)),0)</f>
        <v>0</v>
      </c>
      <c r="D43" s="230"/>
      <c r="E43" s="230"/>
      <c r="F43" s="231"/>
      <c r="G43" s="3480"/>
    </row>
    <row r="44" spans="1:7" ht="13.5" customHeight="1">
      <c r="A44" s="734" t="s">
        <v>348</v>
      </c>
      <c r="B44" s="207" t="s">
        <v>1546</v>
      </c>
      <c r="C44" s="230">
        <f ca="1">ROUND(IF('数据-取费表'!B22&lt;=1,C40*F22*'数据-取费表'!B21/2,C40*(POWER((1+F22),'数据-取费表'!B21/2)-1)),4)</f>
        <v>6.9999999999999999E-4</v>
      </c>
      <c r="D44" s="230"/>
      <c r="E44" s="230"/>
      <c r="F44" s="231"/>
      <c r="G44" s="3481"/>
    </row>
    <row r="45" spans="1:7" s="206" customFormat="1" ht="13.5" customHeight="1">
      <c r="A45" s="247" t="s">
        <v>1547</v>
      </c>
      <c r="B45" s="236" t="s">
        <v>1513</v>
      </c>
      <c r="C45" s="237">
        <f ca="1">C46</f>
        <v>19</v>
      </c>
      <c r="D45" s="227">
        <f ca="1">C47</f>
        <v>3.5999999999999999E-3</v>
      </c>
      <c r="E45" s="228" t="s">
        <v>1539</v>
      </c>
      <c r="F45" s="238">
        <f ca="1">F27</f>
        <v>0.18</v>
      </c>
      <c r="G45" s="239" t="s">
        <v>1548</v>
      </c>
    </row>
    <row r="46" spans="1:7" s="206" customFormat="1" ht="13.5" customHeight="1">
      <c r="A46" s="734" t="s">
        <v>346</v>
      </c>
      <c r="B46" s="240" t="s">
        <v>1549</v>
      </c>
      <c r="C46" s="241">
        <f ca="1">ROUND((C33+C39)*F27,0)</f>
        <v>19</v>
      </c>
      <c r="D46" s="255"/>
      <c r="E46" s="228"/>
      <c r="F46" s="238"/>
      <c r="G46" s="239"/>
    </row>
    <row r="47" spans="1:7" s="206" customFormat="1" ht="13.5" customHeight="1">
      <c r="A47" s="734" t="s">
        <v>347</v>
      </c>
      <c r="B47" s="240" t="s">
        <v>1550</v>
      </c>
      <c r="C47" s="230">
        <f ca="1">ROUND(C40*F27,4)</f>
        <v>3.5999999999999999E-3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136</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109</v>
      </c>
      <c r="D51" s="224"/>
      <c r="E51" s="224"/>
      <c r="F51" s="256"/>
      <c r="G51" s="226" t="s">
        <v>1560</v>
      </c>
    </row>
    <row r="52" spans="1:7" s="200" customFormat="1" ht="16.5" thickBot="1">
      <c r="A52" s="257" t="s">
        <v>1561</v>
      </c>
      <c r="B52" s="258"/>
      <c r="C52" s="259">
        <f ca="1">C31+C51</f>
        <v>117</v>
      </c>
      <c r="D52" s="258"/>
      <c r="E52" s="258"/>
      <c r="F52" s="258"/>
      <c r="G52" s="260"/>
    </row>
    <row r="55" spans="1:7" ht="15">
      <c r="B55" s="262" t="s">
        <v>1562</v>
      </c>
      <c r="C55" s="263"/>
    </row>
    <row r="56" spans="1:7">
      <c r="B56" s="265" t="s">
        <v>802</v>
      </c>
      <c r="C56" s="267">
        <f ca="1">1-C57</f>
        <v>6.7999999999999949E-2</v>
      </c>
    </row>
    <row r="57" spans="1:7">
      <c r="B57" s="265" t="s">
        <v>803</v>
      </c>
      <c r="C57" s="266">
        <f ca="1">ROUND(C51/C52,3)</f>
        <v>0.93200000000000005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C25" zoomScale="80" zoomScaleNormal="70" zoomScaleSheetLayoutView="80" workbookViewId="0">
      <selection activeCell="W52" sqref="W5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4" t="s">
        <v>3679</v>
      </c>
      <c r="F1" s="1735" t="s">
        <v>3678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9.8500000000000004E-2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6.7</v>
      </c>
      <c r="C3" s="344" t="s">
        <v>1768</v>
      </c>
      <c r="D3" s="343">
        <f>IF(D1="",'数据-汇总表'!E3,SUMIF('数据-汇总表'!$C19:$C33,D1,'数据-汇总表'!$E19:$E33))</f>
        <v>146.99</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02" t="s">
        <v>1770</v>
      </c>
      <c r="D4" s="3503"/>
      <c r="E4" s="3504" t="s">
        <v>1771</v>
      </c>
      <c r="F4" s="3505"/>
      <c r="G4" s="3502" t="s">
        <v>1772</v>
      </c>
      <c r="H4" s="3503"/>
      <c r="I4" s="3502" t="s">
        <v>1773</v>
      </c>
      <c r="J4" s="3503"/>
      <c r="K4" s="537" t="s">
        <v>1774</v>
      </c>
      <c r="L4" s="2486"/>
      <c r="M4" s="2487"/>
      <c r="N4" s="2487"/>
      <c r="O4" s="2487"/>
      <c r="P4" s="3506" t="s">
        <v>1775</v>
      </c>
      <c r="Q4" s="3507"/>
      <c r="R4" s="3488" t="s">
        <v>1771</v>
      </c>
      <c r="S4" s="3489"/>
      <c r="T4" s="3488" t="s">
        <v>1772</v>
      </c>
      <c r="U4" s="3489"/>
      <c r="V4" s="3485" t="s">
        <v>1773</v>
      </c>
      <c r="W4" s="3485"/>
      <c r="X4" s="1265"/>
      <c r="Y4" s="3488" t="s">
        <v>1775</v>
      </c>
      <c r="Z4" s="3489"/>
      <c r="AA4" s="3482" t="s">
        <v>1771</v>
      </c>
      <c r="AB4" s="3485" t="s">
        <v>1772</v>
      </c>
      <c r="AC4" s="3482" t="s">
        <v>1773</v>
      </c>
    </row>
    <row r="5" spans="1:29" ht="15">
      <c r="A5" s="348"/>
      <c r="B5" s="349"/>
      <c r="C5" s="3494" t="s">
        <v>3676</v>
      </c>
      <c r="D5" s="3495"/>
      <c r="E5" s="3492" t="s">
        <v>3734</v>
      </c>
      <c r="F5" s="3493"/>
      <c r="G5" s="3498" t="str">
        <f>商业案例!K4</f>
        <v>优士阁</v>
      </c>
      <c r="H5" s="3495"/>
      <c r="I5" s="3498" t="str">
        <f>商业案例!K7</f>
        <v>家乐福</v>
      </c>
      <c r="J5" s="3495"/>
      <c r="K5" s="537"/>
      <c r="L5" s="2486"/>
      <c r="M5" s="2487"/>
      <c r="N5" s="2487"/>
      <c r="O5" s="2487"/>
      <c r="P5" s="3508"/>
      <c r="Q5" s="3509"/>
      <c r="R5" s="3490"/>
      <c r="S5" s="3491"/>
      <c r="T5" s="3490"/>
      <c r="U5" s="3491"/>
      <c r="V5" s="3485"/>
      <c r="W5" s="3485"/>
      <c r="X5" s="1265"/>
      <c r="Y5" s="3490"/>
      <c r="Z5" s="3491"/>
      <c r="AA5" s="3483"/>
      <c r="AB5" s="3485"/>
      <c r="AC5" s="3483"/>
    </row>
    <row r="6" spans="1:29" ht="15.75" thickBot="1">
      <c r="A6" s="350"/>
      <c r="B6" s="351"/>
      <c r="C6" s="3496" t="s">
        <v>1677</v>
      </c>
      <c r="D6" s="3497"/>
      <c r="E6" s="3499" t="s">
        <v>1677</v>
      </c>
      <c r="F6" s="3500"/>
      <c r="G6" s="3496" t="s">
        <v>1677</v>
      </c>
      <c r="H6" s="3497"/>
      <c r="I6" s="3496" t="s">
        <v>1677</v>
      </c>
      <c r="J6" s="3497"/>
      <c r="K6" s="537" t="s">
        <v>1678</v>
      </c>
      <c r="L6" s="2486"/>
      <c r="M6" s="2487"/>
      <c r="N6" s="2487"/>
      <c r="O6" s="2487"/>
      <c r="P6" s="3510"/>
      <c r="Q6" s="3511"/>
      <c r="R6" s="3490"/>
      <c r="S6" s="3491"/>
      <c r="T6" s="3512"/>
      <c r="U6" s="3513"/>
      <c r="V6" s="3485"/>
      <c r="W6" s="3485"/>
      <c r="X6" s="1265"/>
      <c r="Y6" s="3512"/>
      <c r="Z6" s="3513"/>
      <c r="AA6" s="3484"/>
      <c r="AB6" s="3485"/>
      <c r="AC6" s="3484"/>
    </row>
    <row r="7" spans="1:29" s="102" customFormat="1" ht="15.75" thickBot="1">
      <c r="A7" s="352" t="s">
        <v>1679</v>
      </c>
      <c r="B7" s="353"/>
      <c r="C7" s="354">
        <f>'数据-取费表'!B2</f>
        <v>45254</v>
      </c>
      <c r="D7" s="355">
        <v>100</v>
      </c>
      <c r="E7" s="356">
        <v>45200</v>
      </c>
      <c r="F7" s="357">
        <f>SUMIF(58:58,YEAR(E7)&amp;"-"&amp;MONTH(E7),59:59)</f>
        <v>100</v>
      </c>
      <c r="G7" s="356">
        <v>45170</v>
      </c>
      <c r="H7" s="355">
        <f>SUMIF(58:58,YEAR(G7)&amp;"-"&amp;MONTH(G7),59:59)</f>
        <v>100</v>
      </c>
      <c r="I7" s="356">
        <v>45200</v>
      </c>
      <c r="J7" s="355">
        <f>SUMIF(58:58,YEAR(I7)&amp;"-"&amp;MONTH(I7),59:59)</f>
        <v>100</v>
      </c>
      <c r="K7" s="38"/>
      <c r="L7" s="2488"/>
      <c r="M7" s="2439"/>
      <c r="N7" s="2439"/>
      <c r="O7" s="2439"/>
      <c r="P7" s="3486" t="s">
        <v>1680</v>
      </c>
      <c r="Q7" s="3514"/>
      <c r="R7" s="664" t="s">
        <v>14</v>
      </c>
      <c r="S7" s="665">
        <f t="shared" ref="S7:S15" si="0">F7</f>
        <v>100</v>
      </c>
      <c r="T7" s="664" t="s">
        <v>14</v>
      </c>
      <c r="U7" s="665">
        <f t="shared" ref="U7:U15" si="1">H7</f>
        <v>100</v>
      </c>
      <c r="V7" s="664" t="s">
        <v>14</v>
      </c>
      <c r="W7" s="665">
        <f t="shared" ref="W7:W15" si="2">J7</f>
        <v>100</v>
      </c>
      <c r="X7" s="666"/>
      <c r="Y7" s="3486" t="s">
        <v>1680</v>
      </c>
      <c r="Z7" s="3487"/>
      <c r="AA7" s="50">
        <f>D7/F7</f>
        <v>1</v>
      </c>
      <c r="AB7" s="50">
        <f>D7/H7</f>
        <v>1</v>
      </c>
      <c r="AC7" s="50">
        <f>D7/J7</f>
        <v>1</v>
      </c>
    </row>
    <row r="8" spans="1:29" s="102" customFormat="1" ht="15.75" thickBot="1">
      <c r="A8" s="352" t="s">
        <v>1681</v>
      </c>
      <c r="B8" s="353"/>
      <c r="C8" s="358" t="s">
        <v>3712</v>
      </c>
      <c r="D8" s="355">
        <v>100</v>
      </c>
      <c r="E8" s="358" t="s">
        <v>3713</v>
      </c>
      <c r="F8" s="357">
        <f>SUMIF(61:61,E8,62:62)-SUMIF(61:61,C8,62:62)+100</f>
        <v>102</v>
      </c>
      <c r="G8" s="358" t="s">
        <v>3713</v>
      </c>
      <c r="H8" s="355">
        <f>SUMIF(61:61,G8,62:62)-SUMIF(61:61,C8,62:62)+100</f>
        <v>102</v>
      </c>
      <c r="I8" s="358" t="s">
        <v>3713</v>
      </c>
      <c r="J8" s="355">
        <f>SUMIF(61:61,I8,62:62)-SUMIF(61:61,C8,62:62)+100</f>
        <v>102</v>
      </c>
      <c r="K8" s="38"/>
      <c r="L8" s="2488"/>
      <c r="M8" s="2439"/>
      <c r="N8" s="2439"/>
      <c r="O8" s="2439"/>
      <c r="P8" s="3486" t="s">
        <v>1683</v>
      </c>
      <c r="Q8" s="3487"/>
      <c r="R8" s="664" t="s">
        <v>14</v>
      </c>
      <c r="S8" s="665">
        <f t="shared" si="0"/>
        <v>102</v>
      </c>
      <c r="T8" s="664" t="s">
        <v>14</v>
      </c>
      <c r="U8" s="665">
        <f t="shared" si="1"/>
        <v>102</v>
      </c>
      <c r="V8" s="664" t="s">
        <v>14</v>
      </c>
      <c r="W8" s="665">
        <f t="shared" si="2"/>
        <v>102</v>
      </c>
      <c r="X8" s="666"/>
      <c r="Y8" s="3486" t="s">
        <v>1683</v>
      </c>
      <c r="Z8" s="3487"/>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01" t="s">
        <v>1686</v>
      </c>
      <c r="Q9" s="530" t="str">
        <f t="shared" ref="Q9:Q15" si="6">B9</f>
        <v>用途</v>
      </c>
      <c r="R9" s="664" t="s">
        <v>14</v>
      </c>
      <c r="S9" s="665">
        <f t="shared" si="0"/>
        <v>100</v>
      </c>
      <c r="T9" s="664" t="s">
        <v>14</v>
      </c>
      <c r="U9" s="665">
        <f t="shared" si="1"/>
        <v>100</v>
      </c>
      <c r="V9" s="664" t="s">
        <v>14</v>
      </c>
      <c r="W9" s="665">
        <f t="shared" si="2"/>
        <v>100</v>
      </c>
      <c r="X9" s="666"/>
      <c r="Y9" s="341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01"/>
      <c r="Q10" s="530" t="str">
        <f t="shared" si="6"/>
        <v>土地使用年限（年）</v>
      </c>
      <c r="R10" s="664" t="s">
        <v>14</v>
      </c>
      <c r="S10" s="665">
        <f t="shared" si="0"/>
        <v>100</v>
      </c>
      <c r="T10" s="664" t="s">
        <v>14</v>
      </c>
      <c r="U10" s="665">
        <f t="shared" si="1"/>
        <v>100</v>
      </c>
      <c r="V10" s="664" t="s">
        <v>14</v>
      </c>
      <c r="W10" s="665">
        <f t="shared" si="2"/>
        <v>100</v>
      </c>
      <c r="X10" s="666"/>
      <c r="Y10" s="341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01"/>
      <c r="Q11" s="530" t="str">
        <f t="shared" si="6"/>
        <v>容积率</v>
      </c>
      <c r="R11" s="664" t="s">
        <v>14</v>
      </c>
      <c r="S11" s="665">
        <f t="shared" si="0"/>
        <v>100</v>
      </c>
      <c r="T11" s="664" t="s">
        <v>14</v>
      </c>
      <c r="U11" s="665">
        <f t="shared" si="1"/>
        <v>100</v>
      </c>
      <c r="V11" s="664" t="s">
        <v>14</v>
      </c>
      <c r="W11" s="665">
        <f t="shared" si="2"/>
        <v>100</v>
      </c>
      <c r="X11" s="666"/>
      <c r="Y11" s="341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01"/>
      <c r="Q12" s="530">
        <f t="shared" si="6"/>
        <v>111</v>
      </c>
      <c r="R12" s="664" t="s">
        <v>14</v>
      </c>
      <c r="S12" s="665">
        <f t="shared" si="0"/>
        <v>100</v>
      </c>
      <c r="T12" s="664" t="s">
        <v>14</v>
      </c>
      <c r="U12" s="665">
        <f t="shared" si="1"/>
        <v>100</v>
      </c>
      <c r="V12" s="664" t="s">
        <v>14</v>
      </c>
      <c r="W12" s="665">
        <f t="shared" si="2"/>
        <v>100</v>
      </c>
      <c r="X12" s="666"/>
      <c r="Y12" s="341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01"/>
      <c r="Q13" s="530">
        <f t="shared" si="6"/>
        <v>111</v>
      </c>
      <c r="R13" s="664" t="s">
        <v>14</v>
      </c>
      <c r="S13" s="665">
        <f t="shared" si="0"/>
        <v>100</v>
      </c>
      <c r="T13" s="664" t="s">
        <v>14</v>
      </c>
      <c r="U13" s="665">
        <f t="shared" si="1"/>
        <v>100</v>
      </c>
      <c r="V13" s="664" t="s">
        <v>14</v>
      </c>
      <c r="W13" s="665">
        <f t="shared" si="2"/>
        <v>100</v>
      </c>
      <c r="X13" s="666"/>
      <c r="Y13" s="341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01"/>
      <c r="Q14" s="530">
        <f t="shared" si="6"/>
        <v>111</v>
      </c>
      <c r="R14" s="664" t="s">
        <v>14</v>
      </c>
      <c r="S14" s="665">
        <f t="shared" si="0"/>
        <v>100</v>
      </c>
      <c r="T14" s="664" t="s">
        <v>14</v>
      </c>
      <c r="U14" s="665">
        <f t="shared" si="1"/>
        <v>100</v>
      </c>
      <c r="V14" s="664" t="s">
        <v>14</v>
      </c>
      <c r="W14" s="665">
        <f t="shared" si="2"/>
        <v>100</v>
      </c>
      <c r="X14" s="666"/>
      <c r="Y14" s="3414"/>
      <c r="Z14" s="50">
        <f t="shared" si="7"/>
        <v>111</v>
      </c>
      <c r="AA14" s="50">
        <f t="shared" si="3"/>
        <v>1</v>
      </c>
      <c r="AB14" s="50">
        <f t="shared" si="4"/>
        <v>1</v>
      </c>
      <c r="AC14" s="50">
        <f t="shared" si="5"/>
        <v>1</v>
      </c>
    </row>
    <row r="15" spans="1:29" ht="30" customHeight="1">
      <c r="A15" s="379" t="s">
        <v>1690</v>
      </c>
      <c r="B15" s="58" t="s">
        <v>1777</v>
      </c>
      <c r="C15" s="1750" t="str">
        <f>估价对象房地状况!C4</f>
        <v>估价对象周边多为住宅、办公配套商业，人流量较大，商业繁华度较好。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515" t="s">
        <v>1691</v>
      </c>
      <c r="Q15" s="1263" t="str">
        <f t="shared" si="6"/>
        <v>商业繁华度</v>
      </c>
      <c r="R15" s="667" t="s">
        <v>14</v>
      </c>
      <c r="S15" s="668">
        <f t="shared" si="0"/>
        <v>100</v>
      </c>
      <c r="T15" s="667" t="s">
        <v>14</v>
      </c>
      <c r="U15" s="668">
        <f t="shared" si="1"/>
        <v>100</v>
      </c>
      <c r="V15" s="667" t="s">
        <v>14</v>
      </c>
      <c r="W15" s="668">
        <f t="shared" si="2"/>
        <v>100</v>
      </c>
      <c r="X15" s="1265"/>
      <c r="Y15" s="351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516"/>
      <c r="Q16" s="1263"/>
      <c r="R16" s="667"/>
      <c r="S16" s="668"/>
      <c r="T16" s="667"/>
      <c r="U16" s="668"/>
      <c r="V16" s="667"/>
      <c r="W16" s="668"/>
      <c r="X16" s="1265"/>
      <c r="Y16" s="3518"/>
      <c r="Z16" s="1264"/>
      <c r="AA16" s="1264">
        <v>1</v>
      </c>
      <c r="AB16" s="1264">
        <v>1</v>
      </c>
      <c r="AC16" s="1264">
        <v>1</v>
      </c>
    </row>
    <row r="17" spans="1:29" ht="41.25" customHeight="1">
      <c r="A17" s="367"/>
      <c r="B17" s="390" t="s">
        <v>1259</v>
      </c>
      <c r="C17" s="1754" t="str">
        <f>估价对象房地状况!C6</f>
        <v>估价对象周边有专10路、23路、54路、91路、312路等多条公交线路，距离地铁7、10号线双井站约600米，周边道路网线较密集，通达度较好。综合评价交通便捷度较好。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516"/>
      <c r="Q17" s="1263" t="str">
        <f>B17</f>
        <v>交通便捷度</v>
      </c>
      <c r="R17" s="667" t="s">
        <v>14</v>
      </c>
      <c r="S17" s="668">
        <f>F17</f>
        <v>100</v>
      </c>
      <c r="T17" s="667" t="s">
        <v>14</v>
      </c>
      <c r="U17" s="668">
        <f>H17</f>
        <v>100</v>
      </c>
      <c r="V17" s="667" t="s">
        <v>14</v>
      </c>
      <c r="W17" s="668">
        <f>J17</f>
        <v>100</v>
      </c>
      <c r="X17" s="1265"/>
      <c r="Y17" s="3518"/>
      <c r="Z17" s="1264" t="str">
        <f>Q17</f>
        <v>交通便捷度</v>
      </c>
      <c r="AA17" s="1264">
        <f t="shared" si="3"/>
        <v>1</v>
      </c>
      <c r="AB17" s="1264">
        <f t="shared" si="4"/>
        <v>1</v>
      </c>
      <c r="AC17" s="1264">
        <f t="shared" si="5"/>
        <v>1</v>
      </c>
    </row>
    <row r="18" spans="1:29" ht="15">
      <c r="A18" s="367"/>
      <c r="B18" s="395"/>
      <c r="C18" s="1755" t="s">
        <v>3673</v>
      </c>
      <c r="D18" s="389"/>
      <c r="E18" s="1757" t="s">
        <v>3673</v>
      </c>
      <c r="F18" s="392"/>
      <c r="G18" s="1756" t="s">
        <v>3673</v>
      </c>
      <c r="H18" s="387"/>
      <c r="I18" s="1757" t="s">
        <v>3673</v>
      </c>
      <c r="J18" s="387"/>
      <c r="K18" s="541"/>
      <c r="L18" s="2492"/>
      <c r="M18" s="2487"/>
      <c r="N18" s="2487"/>
      <c r="O18" s="2487"/>
      <c r="P18" s="3516"/>
      <c r="Q18" s="1263"/>
      <c r="R18" s="667"/>
      <c r="S18" s="668"/>
      <c r="T18" s="667"/>
      <c r="U18" s="668"/>
      <c r="V18" s="667"/>
      <c r="W18" s="668"/>
      <c r="X18" s="1265"/>
      <c r="Y18" s="3518"/>
      <c r="Z18" s="1264"/>
      <c r="AA18" s="1264">
        <v>1</v>
      </c>
      <c r="AB18" s="1264">
        <v>1</v>
      </c>
      <c r="AC18" s="1264">
        <v>1</v>
      </c>
    </row>
    <row r="19" spans="1:29" ht="285">
      <c r="A19" s="367"/>
      <c r="B19" s="390" t="s">
        <v>1778</v>
      </c>
      <c r="C19" s="1754" t="str">
        <f>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16"/>
      <c r="Q19" s="1263" t="str">
        <f>B19</f>
        <v>公共配套设施</v>
      </c>
      <c r="R19" s="667" t="s">
        <v>14</v>
      </c>
      <c r="S19" s="668">
        <f>F19</f>
        <v>100</v>
      </c>
      <c r="T19" s="667" t="s">
        <v>14</v>
      </c>
      <c r="U19" s="668">
        <f>H19</f>
        <v>100</v>
      </c>
      <c r="V19" s="667" t="s">
        <v>14</v>
      </c>
      <c r="W19" s="668">
        <f>J19</f>
        <v>100</v>
      </c>
      <c r="X19" s="1265"/>
      <c r="Y19" s="35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516"/>
      <c r="Q20" s="1263"/>
      <c r="R20" s="667"/>
      <c r="S20" s="668"/>
      <c r="T20" s="667"/>
      <c r="U20" s="668"/>
      <c r="V20" s="667"/>
      <c r="W20" s="668"/>
      <c r="X20" s="1265"/>
      <c r="Y20" s="3518"/>
      <c r="Z20" s="1264"/>
      <c r="AA20" s="1264">
        <v>1</v>
      </c>
      <c r="AB20" s="1264">
        <v>1</v>
      </c>
      <c r="AC20" s="1264">
        <v>1</v>
      </c>
    </row>
    <row r="21" spans="1:29" ht="42.75">
      <c r="A21" s="367"/>
      <c r="B21" s="586" t="s">
        <v>1779</v>
      </c>
      <c r="C21" s="1754" t="str">
        <f>估价对象房地状况!C8</f>
        <v>估价对象所在区域基础设施水平-七通</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16"/>
      <c r="Q21" s="1263" t="str">
        <f>B21</f>
        <v>基础设施水平</v>
      </c>
      <c r="R21" s="667" t="s">
        <v>14</v>
      </c>
      <c r="S21" s="668">
        <f>F21</f>
        <v>100</v>
      </c>
      <c r="T21" s="667" t="s">
        <v>14</v>
      </c>
      <c r="U21" s="668">
        <f>H21</f>
        <v>100</v>
      </c>
      <c r="V21" s="667" t="s">
        <v>14</v>
      </c>
      <c r="W21" s="668">
        <f>J21</f>
        <v>100</v>
      </c>
      <c r="X21" s="1265"/>
      <c r="Y21" s="35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516"/>
      <c r="Q22" s="1263"/>
      <c r="R22" s="667"/>
      <c r="S22" s="668"/>
      <c r="T22" s="667"/>
      <c r="U22" s="668"/>
      <c r="V22" s="667"/>
      <c r="W22" s="668"/>
      <c r="X22" s="1265"/>
      <c r="Y22" s="3518"/>
      <c r="Z22" s="1264"/>
      <c r="AA22" s="1264">
        <v>1</v>
      </c>
      <c r="AB22" s="1264">
        <v>1</v>
      </c>
      <c r="AC22" s="1264">
        <v>1</v>
      </c>
    </row>
    <row r="23" spans="1:29" ht="71.25">
      <c r="A23" s="367"/>
      <c r="B23" s="390" t="s">
        <v>1261</v>
      </c>
      <c r="C23" s="1806" t="str">
        <f>估价对象房地状况!C9</f>
        <v>估价对象周边有九龙花园篮球场等自然人文场所，综合评价环境状况一般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16"/>
      <c r="Q23" s="1263" t="str">
        <f>B23</f>
        <v>自然及人文环境</v>
      </c>
      <c r="R23" s="667" t="s">
        <v>14</v>
      </c>
      <c r="S23" s="668">
        <f>F23</f>
        <v>100</v>
      </c>
      <c r="T23" s="667" t="s">
        <v>14</v>
      </c>
      <c r="U23" s="668">
        <f>H23</f>
        <v>100</v>
      </c>
      <c r="V23" s="667" t="s">
        <v>14</v>
      </c>
      <c r="W23" s="668">
        <f>J23</f>
        <v>100</v>
      </c>
      <c r="X23" s="1265"/>
      <c r="Y23" s="351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516"/>
      <c r="Q24" s="1263"/>
      <c r="R24" s="667"/>
      <c r="S24" s="668"/>
      <c r="T24" s="667"/>
      <c r="U24" s="668"/>
      <c r="V24" s="667"/>
      <c r="W24" s="668"/>
      <c r="X24" s="1265"/>
      <c r="Y24" s="351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516"/>
      <c r="Q25" s="1263" t="str">
        <f t="shared" ref="Q25:Q46" si="11">B25</f>
        <v>临街状况</v>
      </c>
      <c r="R25" s="667" t="s">
        <v>14</v>
      </c>
      <c r="S25" s="668">
        <f>F25</f>
        <v>100</v>
      </c>
      <c r="T25" s="667" t="s">
        <v>14</v>
      </c>
      <c r="U25" s="668">
        <f>H25</f>
        <v>100</v>
      </c>
      <c r="V25" s="667" t="s">
        <v>14</v>
      </c>
      <c r="W25" s="668">
        <f>J25</f>
        <v>100</v>
      </c>
      <c r="X25" s="1265"/>
      <c r="Y25" s="351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516"/>
      <c r="Q26" s="1263" t="str">
        <f t="shared" si="11"/>
        <v>平面位置/可视性</v>
      </c>
      <c r="R26" s="667" t="s">
        <v>14</v>
      </c>
      <c r="S26" s="668">
        <f>F26</f>
        <v>100</v>
      </c>
      <c r="T26" s="667" t="s">
        <v>14</v>
      </c>
      <c r="U26" s="668">
        <f>H26</f>
        <v>100</v>
      </c>
      <c r="V26" s="667" t="s">
        <v>14</v>
      </c>
      <c r="W26" s="668">
        <f>J26</f>
        <v>100</v>
      </c>
      <c r="X26" s="1265"/>
      <c r="Y26" s="3518"/>
      <c r="Z26" s="1264" t="str">
        <f>Q26</f>
        <v>平面位置/可视性</v>
      </c>
      <c r="AA26" s="1264">
        <f t="shared" si="3"/>
        <v>1</v>
      </c>
      <c r="AB26" s="1264">
        <f t="shared" si="4"/>
        <v>1</v>
      </c>
      <c r="AC26" s="1264">
        <f t="shared" si="5"/>
        <v>1</v>
      </c>
    </row>
    <row r="27" spans="1:29" s="102" customFormat="1" ht="15">
      <c r="A27" s="370"/>
      <c r="B27" s="390" t="s">
        <v>1782</v>
      </c>
      <c r="C27" s="1807" t="s">
        <v>3686</v>
      </c>
      <c r="D27" s="401">
        <v>100</v>
      </c>
      <c r="E27" s="1807" t="s">
        <v>3715</v>
      </c>
      <c r="F27" s="395">
        <f>SUMIF(90:90,E27,91:91)-SUMIF(90:90,C27,91:91)+100</f>
        <v>102</v>
      </c>
      <c r="G27" s="1807" t="s">
        <v>3715</v>
      </c>
      <c r="H27" s="401">
        <f>SUMIF(90:90,G27,91:91)-SUMIF(90:90,C27,91:91)+100</f>
        <v>102</v>
      </c>
      <c r="I27" s="1807" t="s">
        <v>3715</v>
      </c>
      <c r="J27" s="401">
        <f>SUMIF(90:90,I27,91:91)-SUMIF(90:90,C27,91:91)+100</f>
        <v>102</v>
      </c>
      <c r="K27" s="538">
        <v>2</v>
      </c>
      <c r="L27" s="2488"/>
      <c r="M27" s="2439"/>
      <c r="N27" s="2439"/>
      <c r="O27" s="2439"/>
      <c r="P27" s="3516"/>
      <c r="Q27" s="530" t="str">
        <f t="shared" si="11"/>
        <v>人流量</v>
      </c>
      <c r="R27" s="664" t="s">
        <v>14</v>
      </c>
      <c r="S27" s="665">
        <f>F27</f>
        <v>102</v>
      </c>
      <c r="T27" s="664" t="s">
        <v>14</v>
      </c>
      <c r="U27" s="665">
        <f>H27</f>
        <v>102</v>
      </c>
      <c r="V27" s="664" t="s">
        <v>14</v>
      </c>
      <c r="W27" s="665">
        <f>J27</f>
        <v>102</v>
      </c>
      <c r="X27" s="666"/>
      <c r="Y27" s="3518"/>
      <c r="Z27" s="50" t="str">
        <f>Q27</f>
        <v>人流量</v>
      </c>
      <c r="AA27" s="1264">
        <f>D27/F27</f>
        <v>0.98039215686274506</v>
      </c>
      <c r="AB27" s="1264">
        <f>D27/H27</f>
        <v>0.98039215686274506</v>
      </c>
      <c r="AC27" s="1264">
        <f>D27/J27</f>
        <v>0.98039215686274506</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51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18"/>
      <c r="Z28" s="1264" t="str">
        <f t="shared" ref="Z28:Z46" si="15">Q28</f>
        <v>楼层</v>
      </c>
      <c r="AA28" s="1264">
        <f t="shared" si="3"/>
        <v>1</v>
      </c>
      <c r="AB28" s="1264">
        <f t="shared" si="4"/>
        <v>1</v>
      </c>
      <c r="AC28" s="1264">
        <f t="shared" si="5"/>
        <v>1</v>
      </c>
    </row>
    <row r="29" spans="1:29" ht="27.75">
      <c r="A29" s="367"/>
      <c r="B29" s="3242" t="s">
        <v>3677</v>
      </c>
      <c r="C29" s="3243" t="s">
        <v>3680</v>
      </c>
      <c r="D29" s="374">
        <v>100</v>
      </c>
      <c r="E29" s="3243" t="s">
        <v>3681</v>
      </c>
      <c r="F29" s="400">
        <f>SUMIF(94:94,E29,95:95)-SUMIF(94:94,C29,95:95)+100</f>
        <v>102</v>
      </c>
      <c r="G29" s="3243" t="s">
        <v>3681</v>
      </c>
      <c r="H29" s="374">
        <f>SUMIF(94:94,G29,95:95)-SUMIF(94:94,C29,95:95)+100</f>
        <v>102</v>
      </c>
      <c r="I29" s="3243" t="s">
        <v>3682</v>
      </c>
      <c r="J29" s="374">
        <f>SUMIF(94:94,I29,95:95)-SUMIF(94:94,C29,95:95)+100</f>
        <v>101</v>
      </c>
      <c r="K29" s="539"/>
      <c r="L29" s="2492"/>
      <c r="M29" s="2487"/>
      <c r="N29" s="2487"/>
      <c r="O29" s="2487"/>
      <c r="P29" s="3516"/>
      <c r="Q29" s="1263" t="str">
        <f t="shared" si="11"/>
        <v>临路状况</v>
      </c>
      <c r="R29" s="667" t="s">
        <v>14</v>
      </c>
      <c r="S29" s="668">
        <f t="shared" si="12"/>
        <v>102</v>
      </c>
      <c r="T29" s="667" t="s">
        <v>14</v>
      </c>
      <c r="U29" s="668">
        <f t="shared" si="13"/>
        <v>102</v>
      </c>
      <c r="V29" s="667" t="s">
        <v>14</v>
      </c>
      <c r="W29" s="668">
        <f t="shared" si="14"/>
        <v>101</v>
      </c>
      <c r="X29" s="1265"/>
      <c r="Y29" s="3518"/>
      <c r="Z29" s="1264" t="str">
        <f t="shared" si="15"/>
        <v>临路状况</v>
      </c>
      <c r="AA29" s="1264">
        <f t="shared" si="3"/>
        <v>0.98039215686274506</v>
      </c>
      <c r="AB29" s="1264">
        <f t="shared" si="4"/>
        <v>0.98039215686274506</v>
      </c>
      <c r="AC29" s="1264">
        <f t="shared" si="5"/>
        <v>0.99009900990099009</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516"/>
      <c r="Q30" s="1263">
        <f t="shared" si="11"/>
        <v>111</v>
      </c>
      <c r="R30" s="667" t="s">
        <v>14</v>
      </c>
      <c r="S30" s="668">
        <f t="shared" si="12"/>
        <v>100</v>
      </c>
      <c r="T30" s="667" t="s">
        <v>14</v>
      </c>
      <c r="U30" s="668">
        <f t="shared" si="13"/>
        <v>100</v>
      </c>
      <c r="V30" s="667" t="s">
        <v>14</v>
      </c>
      <c r="W30" s="668">
        <f t="shared" si="14"/>
        <v>100</v>
      </c>
      <c r="X30" s="1265"/>
      <c r="Y30" s="351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16"/>
      <c r="Q31" s="1263">
        <f t="shared" si="11"/>
        <v>111</v>
      </c>
      <c r="R31" s="667" t="s">
        <v>14</v>
      </c>
      <c r="S31" s="668">
        <f t="shared" si="12"/>
        <v>100</v>
      </c>
      <c r="T31" s="667" t="s">
        <v>14</v>
      </c>
      <c r="U31" s="668">
        <f t="shared" si="13"/>
        <v>100</v>
      </c>
      <c r="V31" s="667" t="s">
        <v>14</v>
      </c>
      <c r="W31" s="668">
        <f t="shared" si="14"/>
        <v>100</v>
      </c>
      <c r="X31" s="1265"/>
      <c r="Y31" s="3518"/>
      <c r="Z31" s="1264">
        <f t="shared" si="15"/>
        <v>111</v>
      </c>
      <c r="AA31" s="1264">
        <f t="shared" si="3"/>
        <v>1</v>
      </c>
      <c r="AB31" s="1264">
        <f t="shared" si="4"/>
        <v>1</v>
      </c>
      <c r="AC31" s="1264">
        <f t="shared" si="5"/>
        <v>1</v>
      </c>
    </row>
    <row r="32" spans="1:29" ht="15">
      <c r="A32" s="379" t="s">
        <v>1694</v>
      </c>
      <c r="B32" s="60" t="s">
        <v>1784</v>
      </c>
      <c r="C32" s="1764" t="s">
        <v>3719</v>
      </c>
      <c r="D32" s="405">
        <v>100</v>
      </c>
      <c r="E32" s="1764" t="s">
        <v>3719</v>
      </c>
      <c r="F32" s="400">
        <f>SUMIF(100:100,E32,101:101)-SUMIF(100:100,C32,101:101)+100</f>
        <v>100</v>
      </c>
      <c r="G32" s="1764" t="s">
        <v>3717</v>
      </c>
      <c r="H32" s="374">
        <f>SUMIF(100:100,G32,101:101)-SUMIF(100:100,C32,101:101)+100</f>
        <v>101</v>
      </c>
      <c r="I32" s="1764" t="s">
        <v>3719</v>
      </c>
      <c r="J32" s="405">
        <f>SUMIF(100:100,I32,101:101)-SUMIF(100:100,C32,101:101)+100</f>
        <v>100</v>
      </c>
      <c r="K32" s="538">
        <v>1</v>
      </c>
      <c r="L32" s="2492"/>
      <c r="M32" s="2487"/>
      <c r="N32" s="2487"/>
      <c r="O32" s="2487"/>
      <c r="P32" s="3519" t="s">
        <v>1696</v>
      </c>
      <c r="Q32" s="1263" t="str">
        <f t="shared" si="11"/>
        <v>商业类型</v>
      </c>
      <c r="R32" s="667" t="s">
        <v>14</v>
      </c>
      <c r="S32" s="668">
        <f t="shared" si="12"/>
        <v>100</v>
      </c>
      <c r="T32" s="667" t="s">
        <v>14</v>
      </c>
      <c r="U32" s="668">
        <f t="shared" si="13"/>
        <v>101</v>
      </c>
      <c r="V32" s="667" t="s">
        <v>14</v>
      </c>
      <c r="W32" s="668">
        <f t="shared" si="14"/>
        <v>100</v>
      </c>
      <c r="X32" s="1265"/>
      <c r="Y32" s="3522" t="s">
        <v>1696</v>
      </c>
      <c r="Z32" s="1264" t="str">
        <f t="shared" si="15"/>
        <v>商业类型</v>
      </c>
      <c r="AA32" s="1264">
        <f t="shared" si="3"/>
        <v>1</v>
      </c>
      <c r="AB32" s="1264">
        <f t="shared" si="4"/>
        <v>0.99009900990099009</v>
      </c>
      <c r="AC32" s="1264">
        <f t="shared" si="5"/>
        <v>1</v>
      </c>
    </row>
    <row r="33" spans="1:29" s="408" customFormat="1" ht="15">
      <c r="A33" s="406"/>
      <c r="B33" s="364" t="s">
        <v>1697</v>
      </c>
      <c r="C33" s="407">
        <f>'数据-汇总表'!F19</f>
        <v>146.99</v>
      </c>
      <c r="D33" s="119">
        <v>100</v>
      </c>
      <c r="E33" s="369">
        <f>商业案例!L3</f>
        <v>500</v>
      </c>
      <c r="F33" s="364">
        <f>LOOKUP(E33,103:103,104:104)-LOOKUP(C33,103:103,104:104)+100</f>
        <v>96</v>
      </c>
      <c r="G33" s="368">
        <f>商业案例!L4</f>
        <v>75</v>
      </c>
      <c r="H33" s="119">
        <f>LOOKUP(G33,103:103,104:104)-LOOKUP(C33,103:103,104:104)+100</f>
        <v>98</v>
      </c>
      <c r="I33" s="368">
        <f>商业案例!L7</f>
        <v>200</v>
      </c>
      <c r="J33" s="119">
        <f>LOOKUP(I33,103:103,104:104)-LOOKUP(C33,103:103,104:104)+100</f>
        <v>100</v>
      </c>
      <c r="K33" s="539"/>
      <c r="L33" s="2491"/>
      <c r="M33" s="2493"/>
      <c r="N33" s="2493"/>
      <c r="O33" s="2493"/>
      <c r="P33" s="3520"/>
      <c r="Q33" s="531" t="str">
        <f t="shared" si="11"/>
        <v>项目建筑规模</v>
      </c>
      <c r="R33" s="669" t="s">
        <v>14</v>
      </c>
      <c r="S33" s="670">
        <f t="shared" si="12"/>
        <v>96</v>
      </c>
      <c r="T33" s="669" t="s">
        <v>14</v>
      </c>
      <c r="U33" s="670">
        <f t="shared" si="13"/>
        <v>98</v>
      </c>
      <c r="V33" s="669" t="s">
        <v>14</v>
      </c>
      <c r="W33" s="670">
        <f t="shared" si="14"/>
        <v>100</v>
      </c>
      <c r="X33" s="671"/>
      <c r="Y33" s="3522"/>
      <c r="Z33" s="672" t="str">
        <f t="shared" si="15"/>
        <v>项目建筑规模</v>
      </c>
      <c r="AA33" s="1264">
        <f t="shared" si="3"/>
        <v>1.0416666666666667</v>
      </c>
      <c r="AB33" s="1264">
        <f t="shared" si="4"/>
        <v>1.0204081632653061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520"/>
      <c r="Q34" s="1263" t="str">
        <f t="shared" si="11"/>
        <v>建筑结构</v>
      </c>
      <c r="R34" s="667" t="s">
        <v>14</v>
      </c>
      <c r="S34" s="668">
        <f t="shared" si="12"/>
        <v>100</v>
      </c>
      <c r="T34" s="667" t="s">
        <v>14</v>
      </c>
      <c r="U34" s="668">
        <f t="shared" si="13"/>
        <v>100</v>
      </c>
      <c r="V34" s="667" t="s">
        <v>14</v>
      </c>
      <c r="W34" s="668">
        <f t="shared" si="14"/>
        <v>100</v>
      </c>
      <c r="X34" s="1265"/>
      <c r="Y34" s="352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520"/>
      <c r="Q35" s="1263" t="str">
        <f t="shared" si="11"/>
        <v>公共部分装修</v>
      </c>
      <c r="R35" s="667" t="s">
        <v>14</v>
      </c>
      <c r="S35" s="668">
        <f t="shared" si="12"/>
        <v>100</v>
      </c>
      <c r="T35" s="667" t="s">
        <v>14</v>
      </c>
      <c r="U35" s="668">
        <f t="shared" si="13"/>
        <v>100</v>
      </c>
      <c r="V35" s="667" t="s">
        <v>14</v>
      </c>
      <c r="W35" s="668">
        <f t="shared" si="14"/>
        <v>100</v>
      </c>
      <c r="X35" s="1265"/>
      <c r="Y35" s="3522"/>
      <c r="Z35" s="1264" t="str">
        <f t="shared" si="15"/>
        <v>公共部分装修</v>
      </c>
      <c r="AA35" s="1264">
        <f t="shared" si="3"/>
        <v>1</v>
      </c>
      <c r="AB35" s="1264">
        <f t="shared" si="4"/>
        <v>1</v>
      </c>
      <c r="AC35" s="1264">
        <f t="shared" si="5"/>
        <v>1</v>
      </c>
    </row>
    <row r="36" spans="1:29" ht="15">
      <c r="A36" s="409"/>
      <c r="B36" s="364" t="s">
        <v>1786</v>
      </c>
      <c r="C36" s="411">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92"/>
      <c r="M36" s="2487"/>
      <c r="N36" s="2487"/>
      <c r="O36" s="2487"/>
      <c r="P36" s="3520"/>
      <c r="Q36" s="1263" t="str">
        <f t="shared" si="11"/>
        <v>成新度</v>
      </c>
      <c r="R36" s="667" t="s">
        <v>14</v>
      </c>
      <c r="S36" s="668">
        <f t="shared" si="12"/>
        <v>100</v>
      </c>
      <c r="T36" s="667" t="s">
        <v>14</v>
      </c>
      <c r="U36" s="668">
        <f t="shared" si="13"/>
        <v>100</v>
      </c>
      <c r="V36" s="667" t="s">
        <v>14</v>
      </c>
      <c r="W36" s="668">
        <f t="shared" si="14"/>
        <v>100</v>
      </c>
      <c r="X36" s="1265"/>
      <c r="Y36" s="3522"/>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520"/>
      <c r="Q37" s="530" t="str">
        <f t="shared" si="11"/>
        <v>市政基础设施</v>
      </c>
      <c r="R37" s="664" t="s">
        <v>14</v>
      </c>
      <c r="S37" s="665">
        <f t="shared" si="12"/>
        <v>100</v>
      </c>
      <c r="T37" s="664" t="s">
        <v>14</v>
      </c>
      <c r="U37" s="665">
        <f t="shared" si="13"/>
        <v>100</v>
      </c>
      <c r="V37" s="664" t="s">
        <v>14</v>
      </c>
      <c r="W37" s="665">
        <f t="shared" si="14"/>
        <v>100</v>
      </c>
      <c r="X37" s="666"/>
      <c r="Y37" s="352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520" t="s">
        <v>1696</v>
      </c>
      <c r="Q38" s="1263" t="str">
        <f t="shared" si="11"/>
        <v>业态</v>
      </c>
      <c r="R38" s="667" t="s">
        <v>14</v>
      </c>
      <c r="S38" s="668">
        <f t="shared" si="12"/>
        <v>100</v>
      </c>
      <c r="T38" s="667" t="s">
        <v>14</v>
      </c>
      <c r="U38" s="668">
        <f t="shared" si="13"/>
        <v>100</v>
      </c>
      <c r="V38" s="667" t="s">
        <v>14</v>
      </c>
      <c r="W38" s="668">
        <f t="shared" si="14"/>
        <v>100</v>
      </c>
      <c r="X38" s="1265"/>
      <c r="Y38" s="352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520"/>
      <c r="Q39" s="1263" t="str">
        <f t="shared" si="11"/>
        <v>层高</v>
      </c>
      <c r="R39" s="667" t="s">
        <v>14</v>
      </c>
      <c r="S39" s="668">
        <f t="shared" si="12"/>
        <v>100</v>
      </c>
      <c r="T39" s="667" t="s">
        <v>14</v>
      </c>
      <c r="U39" s="668">
        <f t="shared" si="13"/>
        <v>100</v>
      </c>
      <c r="V39" s="667" t="s">
        <v>14</v>
      </c>
      <c r="W39" s="668">
        <f t="shared" si="14"/>
        <v>100</v>
      </c>
      <c r="X39" s="1265"/>
      <c r="Y39" s="352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520"/>
      <c r="Q40" s="1263" t="str">
        <f t="shared" si="11"/>
        <v>单套建筑面积</v>
      </c>
      <c r="R40" s="667" t="s">
        <v>14</v>
      </c>
      <c r="S40" s="668">
        <f t="shared" si="12"/>
        <v>100</v>
      </c>
      <c r="T40" s="667" t="s">
        <v>14</v>
      </c>
      <c r="U40" s="668">
        <f t="shared" si="13"/>
        <v>100</v>
      </c>
      <c r="V40" s="667" t="s">
        <v>14</v>
      </c>
      <c r="W40" s="668">
        <f t="shared" si="14"/>
        <v>100</v>
      </c>
      <c r="X40" s="1265"/>
      <c r="Y40" s="352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20"/>
      <c r="Q41" s="531" t="str">
        <f t="shared" si="11"/>
        <v>进深比</v>
      </c>
      <c r="R41" s="669" t="s">
        <v>14</v>
      </c>
      <c r="S41" s="670">
        <f t="shared" si="12"/>
        <v>100</v>
      </c>
      <c r="T41" s="669" t="s">
        <v>14</v>
      </c>
      <c r="U41" s="670">
        <f t="shared" si="13"/>
        <v>100</v>
      </c>
      <c r="V41" s="669" t="s">
        <v>14</v>
      </c>
      <c r="W41" s="670">
        <f t="shared" si="14"/>
        <v>100</v>
      </c>
      <c r="X41" s="671"/>
      <c r="Y41" s="352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520"/>
      <c r="Q42" s="1263" t="str">
        <f t="shared" si="11"/>
        <v>内部装修</v>
      </c>
      <c r="R42" s="667" t="s">
        <v>14</v>
      </c>
      <c r="S42" s="668">
        <f t="shared" si="12"/>
        <v>100</v>
      </c>
      <c r="T42" s="667" t="s">
        <v>14</v>
      </c>
      <c r="U42" s="668">
        <f t="shared" si="13"/>
        <v>100</v>
      </c>
      <c r="V42" s="667" t="s">
        <v>14</v>
      </c>
      <c r="W42" s="668">
        <f t="shared" si="14"/>
        <v>100</v>
      </c>
      <c r="X42" s="1265"/>
      <c r="Y42" s="352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520"/>
      <c r="Q43" s="1263" t="str">
        <f t="shared" si="11"/>
        <v>内部装修维护情况</v>
      </c>
      <c r="R43" s="667" t="s">
        <v>14</v>
      </c>
      <c r="S43" s="668">
        <f t="shared" si="12"/>
        <v>100</v>
      </c>
      <c r="T43" s="667" t="s">
        <v>14</v>
      </c>
      <c r="U43" s="668">
        <f t="shared" si="13"/>
        <v>100</v>
      </c>
      <c r="V43" s="667" t="s">
        <v>14</v>
      </c>
      <c r="W43" s="668">
        <f t="shared" si="14"/>
        <v>100</v>
      </c>
      <c r="X43" s="1265"/>
      <c r="Y43" s="352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520"/>
      <c r="Q44" s="530">
        <f t="shared" si="11"/>
        <v>111</v>
      </c>
      <c r="R44" s="664" t="s">
        <v>14</v>
      </c>
      <c r="S44" s="665">
        <f t="shared" si="12"/>
        <v>100</v>
      </c>
      <c r="T44" s="664" t="s">
        <v>14</v>
      </c>
      <c r="U44" s="665">
        <f t="shared" si="13"/>
        <v>100</v>
      </c>
      <c r="V44" s="664" t="s">
        <v>14</v>
      </c>
      <c r="W44" s="665">
        <f t="shared" si="14"/>
        <v>100</v>
      </c>
      <c r="X44" s="666"/>
      <c r="Y44" s="352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520"/>
      <c r="Q45" s="1263">
        <f t="shared" si="11"/>
        <v>111</v>
      </c>
      <c r="R45" s="667" t="s">
        <v>14</v>
      </c>
      <c r="S45" s="668">
        <f t="shared" si="12"/>
        <v>100</v>
      </c>
      <c r="T45" s="667" t="s">
        <v>14</v>
      </c>
      <c r="U45" s="668">
        <f t="shared" si="13"/>
        <v>100</v>
      </c>
      <c r="V45" s="667" t="s">
        <v>14</v>
      </c>
      <c r="W45" s="668">
        <f t="shared" si="14"/>
        <v>100</v>
      </c>
      <c r="X45" s="1265"/>
      <c r="Y45" s="352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521"/>
      <c r="Q46" s="1263">
        <f t="shared" si="11"/>
        <v>111</v>
      </c>
      <c r="R46" s="667" t="s">
        <v>14</v>
      </c>
      <c r="S46" s="668">
        <f t="shared" si="12"/>
        <v>100</v>
      </c>
      <c r="T46" s="667" t="s">
        <v>14</v>
      </c>
      <c r="U46" s="668">
        <f t="shared" si="13"/>
        <v>100</v>
      </c>
      <c r="V46" s="667" t="s">
        <v>14</v>
      </c>
      <c r="W46" s="668">
        <f t="shared" si="14"/>
        <v>100</v>
      </c>
      <c r="X46" s="1265"/>
      <c r="Y46" s="3523"/>
      <c r="Z46" s="1264">
        <f t="shared" si="15"/>
        <v>111</v>
      </c>
      <c r="AA46" s="1264">
        <f t="shared" si="3"/>
        <v>1</v>
      </c>
      <c r="AB46" s="1264">
        <f t="shared" si="4"/>
        <v>1</v>
      </c>
      <c r="AC46" s="1264">
        <f t="shared" si="5"/>
        <v>1</v>
      </c>
    </row>
    <row r="47" spans="1:29" ht="15">
      <c r="A47" s="416" t="s">
        <v>1708</v>
      </c>
      <c r="B47" s="417"/>
      <c r="C47" s="1081" t="s">
        <v>0</v>
      </c>
      <c r="D47" s="418"/>
      <c r="E47" s="419">
        <f>商业案例!M3</f>
        <v>7</v>
      </c>
      <c r="F47" s="420"/>
      <c r="G47" s="421">
        <f>商业案例!M4</f>
        <v>7.11</v>
      </c>
      <c r="H47" s="422"/>
      <c r="I47" s="419">
        <f>商业案例!M7</f>
        <v>6.67</v>
      </c>
      <c r="J47" s="422"/>
      <c r="K47" s="674"/>
      <c r="L47" s="2494"/>
      <c r="M47" s="2487"/>
      <c r="N47" s="2487"/>
      <c r="O47" s="2487"/>
      <c r="P47" s="3524" t="str">
        <f>A47</f>
        <v>成交单价（元/平方米）</v>
      </c>
      <c r="Q47" s="3524"/>
      <c r="R47" s="3485">
        <f>E47</f>
        <v>7</v>
      </c>
      <c r="S47" s="3485"/>
      <c r="T47" s="3485">
        <f>G47</f>
        <v>7.11</v>
      </c>
      <c r="U47" s="3485"/>
      <c r="V47" s="3485">
        <f>I47</f>
        <v>6.67</v>
      </c>
      <c r="W47" s="3485"/>
      <c r="X47" s="385"/>
      <c r="Y47" s="673"/>
      <c r="Z47" s="385"/>
      <c r="AA47" s="385"/>
      <c r="AB47" s="385"/>
      <c r="AC47" s="385"/>
    </row>
    <row r="48" spans="1:29" ht="15.75" thickBot="1">
      <c r="A48" s="423" t="s">
        <v>1793</v>
      </c>
      <c r="B48" s="424"/>
      <c r="C48" s="1082">
        <f>R49</f>
        <v>6.7</v>
      </c>
      <c r="D48" s="2141" t="s">
        <v>2138</v>
      </c>
      <c r="E48" s="1083">
        <f>R48</f>
        <v>6.87</v>
      </c>
      <c r="F48" s="2142"/>
      <c r="G48" s="1082">
        <f>T48</f>
        <v>6.77</v>
      </c>
      <c r="H48" s="2142"/>
      <c r="I48" s="1083">
        <f>V48</f>
        <v>6.35</v>
      </c>
      <c r="J48" s="2142"/>
      <c r="K48" s="2144">
        <f>F48+H48+J48</f>
        <v>0</v>
      </c>
      <c r="L48" s="2494"/>
      <c r="M48" s="2487"/>
      <c r="N48" s="2487"/>
      <c r="O48" s="2487"/>
      <c r="P48" s="3524" t="str">
        <f>A48</f>
        <v>比较价值（元/平方米）</v>
      </c>
      <c r="Q48" s="3524"/>
      <c r="R48" s="3485">
        <f>IF(F1="售价",ROUND(PRODUCT(R47,AA7:AA46),0),ROUND(PRODUCT(R47,AA7:AA46),2))</f>
        <v>6.87</v>
      </c>
      <c r="S48" s="3485"/>
      <c r="T48" s="3485">
        <f>IF(F1="售价",ROUND(PRODUCT(T47,AB7:AB46),0),ROUND(PRODUCT(T47,AB7:AB46),2))</f>
        <v>6.77</v>
      </c>
      <c r="U48" s="3485"/>
      <c r="V48" s="3485">
        <f>IF(F1="售价",ROUND(PRODUCT(V47,AC7:AC46),0),ROUND(PRODUCT(V47,AC7:AC46),2))</f>
        <v>6.35</v>
      </c>
      <c r="W48" s="3485"/>
      <c r="X48" s="385"/>
      <c r="Y48" s="385"/>
      <c r="Z48" s="385"/>
      <c r="AA48" s="385"/>
      <c r="AB48" s="385"/>
      <c r="AC48" s="385"/>
    </row>
    <row r="49" spans="1:29" ht="15.75" thickBot="1">
      <c r="A49" s="427" t="s">
        <v>1794</v>
      </c>
      <c r="B49" s="428"/>
      <c r="C49" s="351">
        <f>R49</f>
        <v>6.7</v>
      </c>
      <c r="D49" s="351"/>
      <c r="E49" s="351"/>
      <c r="F49" s="351"/>
      <c r="G49" s="351"/>
      <c r="H49" s="351"/>
      <c r="I49" s="351"/>
      <c r="J49" s="351"/>
      <c r="K49" s="675"/>
      <c r="L49" s="2494"/>
      <c r="M49" s="2487"/>
      <c r="N49" s="2487"/>
      <c r="O49" s="2487"/>
      <c r="P49" s="3525" t="str">
        <f>A49</f>
        <v>估价对象XX用房的比较价值（楼面单价，元/平方米）</v>
      </c>
      <c r="Q49" s="3526"/>
      <c r="R49" s="3527">
        <f>IF(F1="售价",ROUND(IF(D48="简单平均",AVERAGE(R48:V48),R48*F48+T48*H48+V48*J48),0),ROUND(IF(D48="简单平均",AVERAGE(R48:V48),R48*F48+T48*H48+V48*J48),1))</f>
        <v>6.7</v>
      </c>
      <c r="S49" s="3527"/>
      <c r="T49" s="3527"/>
      <c r="U49" s="3527"/>
      <c r="V49" s="3527"/>
      <c r="W49" s="352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1.8922852983988436E-2</v>
      </c>
      <c r="F52" s="435" t="str">
        <f>IF(OR(E52&gt;=0.3,E52&lt;=-0.3),"超过30%","")</f>
        <v/>
      </c>
      <c r="G52" s="434">
        <f>IF(G47&lt;G48,G48/G47-1,G47/G48-1)</f>
        <v>5.0221565731167095E-2</v>
      </c>
      <c r="H52" s="435" t="str">
        <f>IF(OR(G52&gt;=0.3,G52&lt;=-0.3),"超过30%","")</f>
        <v/>
      </c>
      <c r="I52" s="434">
        <f>IF(I47&lt;I48,I48/I47-1,I47/I48-1)</f>
        <v>5.0393700787401574E-2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1.4771048744461002E-2</v>
      </c>
      <c r="F53" s="435" t="str">
        <f>IF(OR(E53&gt;=0.2,E53&lt;=-0.2),"超过20%","")</f>
        <v/>
      </c>
      <c r="G53" s="434">
        <f>IF(G48&lt;I48,I48/G48-1,G48/I48-1)</f>
        <v>6.6141732283464538E-2</v>
      </c>
      <c r="H53" s="435" t="str">
        <f>IF(OR(G53&gt;=0.2,G53&lt;=-0.2),"超过20%","")</f>
        <v/>
      </c>
      <c r="I53" s="434">
        <f>IF(I48&lt;E48,E48/I48-1,I48/E48-1)</f>
        <v>8.1889763779527724E-2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1.5714285714285792E-2</v>
      </c>
      <c r="F54" s="435" t="str">
        <f>IF(OR(E54&gt;=0.3,E54&lt;=-0.3),"超过30%","")</f>
        <v/>
      </c>
      <c r="G54" s="434">
        <f>IF(G47&lt;I47,I47/G47-1,G47/I47-1)</f>
        <v>6.5967016491754071E-2</v>
      </c>
      <c r="H54" s="435" t="str">
        <f>IF(OR(G54&gt;=0.3,G54&lt;=-0.3),"超过30%","")</f>
        <v/>
      </c>
      <c r="I54" s="434">
        <f>IF(I47&lt;E47,E47/I47-1,I47/E47-1)</f>
        <v>4.9475262368815498E-2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2023-11</v>
      </c>
      <c r="D58" s="1104">
        <f>EDATE(C58,-1)</f>
        <v>45200</v>
      </c>
      <c r="E58" s="1104">
        <f t="shared" ref="E58:N58" si="16">EDATE(D58,-1)</f>
        <v>45170</v>
      </c>
      <c r="F58" s="1104">
        <f t="shared" si="16"/>
        <v>45139</v>
      </c>
      <c r="G58" s="1104">
        <f t="shared" si="16"/>
        <v>45108</v>
      </c>
      <c r="H58" s="1104">
        <f t="shared" si="16"/>
        <v>45078</v>
      </c>
      <c r="I58" s="1104">
        <f t="shared" si="16"/>
        <v>45047</v>
      </c>
      <c r="J58" s="1104">
        <f t="shared" si="16"/>
        <v>45017</v>
      </c>
      <c r="K58" s="1104">
        <f t="shared" si="16"/>
        <v>44986</v>
      </c>
      <c r="L58" s="1104">
        <f t="shared" si="16"/>
        <v>44958</v>
      </c>
      <c r="M58" s="1104">
        <f t="shared" si="16"/>
        <v>44927</v>
      </c>
      <c r="N58" s="1104">
        <f t="shared" si="16"/>
        <v>44896</v>
      </c>
      <c r="O58" s="1104">
        <f>EDATE(N58,-1)</f>
        <v>44866</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v>100</v>
      </c>
      <c r="E59" s="446">
        <v>100</v>
      </c>
      <c r="F59" s="446">
        <v>100</v>
      </c>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52" t="s">
        <v>3714</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45" t="s">
        <v>3716</v>
      </c>
      <c r="D90" s="3245" t="s">
        <v>3687</v>
      </c>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8.5" thickTop="1">
      <c r="A94" s="367"/>
      <c r="B94" s="469" t="str">
        <f>B29</f>
        <v>临路状况</v>
      </c>
      <c r="C94" s="3244" t="s">
        <v>3683</v>
      </c>
      <c r="D94" s="3244" t="s">
        <v>3684</v>
      </c>
      <c r="E94" s="3244" t="s">
        <v>3685</v>
      </c>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99</v>
      </c>
      <c r="E95" s="467">
        <v>98</v>
      </c>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53" t="s">
        <v>3718</v>
      </c>
      <c r="D100" s="3253" t="s">
        <v>3720</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98</v>
      </c>
      <c r="D104" s="467">
        <v>100</v>
      </c>
      <c r="E104" s="467">
        <v>98</v>
      </c>
      <c r="F104" s="467">
        <v>96</v>
      </c>
      <c r="G104" s="467">
        <v>94</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E35" sqref="E3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521.48969999999997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35478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3127025</v>
      </c>
      <c r="D5" s="203" t="s">
        <v>1469</v>
      </c>
      <c r="E5" s="204" t="s">
        <v>1470</v>
      </c>
      <c r="F5" s="204" t="s">
        <v>1471</v>
      </c>
      <c r="G5" s="205"/>
    </row>
    <row r="6" spans="1:8" s="206" customFormat="1" ht="13.5" customHeight="1">
      <c r="A6" s="732" t="s">
        <v>1472</v>
      </c>
      <c r="B6" s="207" t="s">
        <v>1473</v>
      </c>
      <c r="C6" s="208">
        <f>ROUND('基准地价修正-商业'!C33*'基准地价修正-商业'!D33,0)</f>
        <v>3005946</v>
      </c>
      <c r="D6" s="209"/>
      <c r="E6" s="210"/>
      <c r="F6" s="210"/>
      <c r="G6" s="211"/>
    </row>
    <row r="7" spans="1:8" s="206" customFormat="1" ht="13.5" customHeight="1">
      <c r="A7" s="732" t="s">
        <v>1474</v>
      </c>
      <c r="B7" s="207" t="s">
        <v>1475</v>
      </c>
      <c r="C7" s="212">
        <f>ROUND(C6*F7,0)</f>
        <v>91681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29398</v>
      </c>
      <c r="D8" s="214"/>
      <c r="E8" s="212"/>
      <c r="F8" s="213"/>
      <c r="G8" s="1714" t="s">
        <v>3670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29398</v>
      </c>
      <c r="D10" s="795">
        <f ca="1">IF(B1="",'数据-汇总表'!E6,IF(INDIRECT("'数据-取费表'!c"&amp;$G$1)="住宅",INDIRECT("'数据-取费表'!s"&amp;$G$1),INDIRECT("'数据-取费表'!k"&amp;$G$1)+INDIRECT("'数据-取费表'!s"&amp;$G$1)))</f>
        <v>146.99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146.99</v>
      </c>
      <c r="E19" s="203">
        <f>'数据-取费表'!B31</f>
        <v>200</v>
      </c>
      <c r="F19" s="223"/>
      <c r="G19" s="1714" t="s">
        <v>3671</v>
      </c>
    </row>
    <row r="20" spans="1:7" s="206" customFormat="1" ht="13.5" customHeight="1">
      <c r="A20" s="247" t="s">
        <v>1574</v>
      </c>
      <c r="B20" s="202" t="s">
        <v>1575</v>
      </c>
      <c r="C20" s="224">
        <f ca="1">ROUND((C5+C19)*F20,0)</f>
        <v>62541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221645</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219487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2158</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797392</v>
      </c>
      <c r="D27" s="227">
        <f ca="1">C29</f>
        <v>5.0000000000000001E-3</v>
      </c>
      <c r="E27" s="228" t="s">
        <v>1514</v>
      </c>
      <c r="F27" s="238">
        <f ca="1">IF(B1="",'数据-取费表'!Q16,INDIRECT("'数据-取费表'!q"&amp;$G$1))</f>
        <v>0.25</v>
      </c>
      <c r="G27" s="239" t="s">
        <v>1515</v>
      </c>
    </row>
    <row r="28" spans="1:7" s="206" customFormat="1" ht="13.5" customHeight="1">
      <c r="A28" s="734" t="s">
        <v>346</v>
      </c>
      <c r="B28" s="240" t="s">
        <v>1516</v>
      </c>
      <c r="C28" s="241">
        <f ca="1">ROUND((C5+C19+C20)*F27,0)</f>
        <v>797392</v>
      </c>
      <c r="D28" s="227"/>
      <c r="E28" s="228"/>
      <c r="F28" s="238"/>
      <c r="G28" s="239"/>
    </row>
    <row r="29" spans="1:7" s="206" customFormat="1" ht="13.5" customHeight="1">
      <c r="A29" s="734" t="s">
        <v>347</v>
      </c>
      <c r="B29" s="240" t="s">
        <v>1517</v>
      </c>
      <c r="C29" s="230">
        <f ca="1">ROUND(C21*F27,4)</f>
        <v>5.0000000000000001E-3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4569602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567014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514465</v>
      </c>
      <c r="D34" s="209"/>
      <c r="E34" s="212"/>
      <c r="F34" s="249"/>
      <c r="G34" s="211"/>
    </row>
    <row r="35" spans="1:7" ht="13.5" customHeight="1">
      <c r="A35" s="734" t="s">
        <v>351</v>
      </c>
      <c r="B35" s="207" t="s">
        <v>1527</v>
      </c>
      <c r="C35" s="212">
        <f ca="1">ROUND(C34*F35,0)</f>
        <v>15434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29398</v>
      </c>
      <c r="D37" s="209">
        <f ca="1">D19</f>
        <v>146.99</v>
      </c>
      <c r="E37" s="241">
        <f>'数据-取费表'!B35</f>
        <v>200</v>
      </c>
      <c r="F37" s="251"/>
      <c r="G37" s="253"/>
    </row>
    <row r="38" spans="1:7" ht="13.5" customHeight="1">
      <c r="A38" s="734" t="s">
        <v>354</v>
      </c>
      <c r="B38" s="207" t="s">
        <v>1533</v>
      </c>
      <c r="C38" s="212">
        <f ca="1">ROUND(C34*F38,0)</f>
        <v>7717</v>
      </c>
      <c r="D38" s="212"/>
      <c r="E38" s="212"/>
      <c r="F38" s="251">
        <f>'数据-取费表'!B36</f>
        <v>1.4999999999999999E-2</v>
      </c>
      <c r="G38" s="211" t="s">
        <v>1528</v>
      </c>
    </row>
    <row r="39" spans="1:7" s="206" customFormat="1" ht="13.5" customHeight="1">
      <c r="A39" s="247" t="s">
        <v>1534</v>
      </c>
      <c r="B39" s="202" t="s">
        <v>1535</v>
      </c>
      <c r="C39" s="224">
        <f ca="1">ROUND(C33*F20,0)</f>
        <v>11340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19953</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19562</v>
      </c>
      <c r="D42" s="230"/>
      <c r="E42" s="230"/>
      <c r="F42" s="231"/>
      <c r="G42" s="3479" t="s">
        <v>1591</v>
      </c>
    </row>
    <row r="43" spans="1:7" ht="13.5" customHeight="1">
      <c r="A43" s="734" t="s">
        <v>347</v>
      </c>
      <c r="B43" s="207" t="s">
        <v>1545</v>
      </c>
      <c r="C43" s="230">
        <f ca="1">ROUND(IF('数据-取费表'!B22&lt;=1,C39*F22*'数据-取费表'!B20/2,C39*(POWER((1+F22),'数据-取费表'!B20/2)-1)),0)</f>
        <v>391</v>
      </c>
      <c r="D43" s="230"/>
      <c r="E43" s="230"/>
      <c r="F43" s="231"/>
      <c r="G43" s="3480"/>
    </row>
    <row r="44" spans="1:7" ht="13.5" customHeight="1">
      <c r="A44" s="734" t="s">
        <v>348</v>
      </c>
      <c r="B44" s="207" t="s">
        <v>1546</v>
      </c>
      <c r="C44" s="230">
        <f ca="1">ROUND(IF('数据-取费表'!B22&lt;=1,C40*F22*'数据-取费表'!B20/2,C40*(POWER((1+F22),'数据-取费表'!B20/2)-1)),4)</f>
        <v>6.9999999999999999E-4</v>
      </c>
      <c r="D44" s="230"/>
      <c r="E44" s="230"/>
      <c r="F44" s="231"/>
      <c r="G44" s="3481"/>
    </row>
    <row r="45" spans="1:7" s="206" customFormat="1" ht="13.5" customHeight="1">
      <c r="A45" s="247" t="s">
        <v>1547</v>
      </c>
      <c r="B45" s="236" t="s">
        <v>1513</v>
      </c>
      <c r="C45" s="237">
        <f ca="1">C46</f>
        <v>144589</v>
      </c>
      <c r="D45" s="227">
        <f ca="1">C47</f>
        <v>5.0000000000000001E-3</v>
      </c>
      <c r="E45" s="228" t="s">
        <v>1539</v>
      </c>
      <c r="F45" s="238">
        <f ca="1">F27</f>
        <v>0.25</v>
      </c>
      <c r="G45" s="239" t="s">
        <v>1548</v>
      </c>
    </row>
    <row r="46" spans="1:7" s="206" customFormat="1" ht="13.5" customHeight="1">
      <c r="A46" s="734" t="s">
        <v>346</v>
      </c>
      <c r="B46" s="240" t="s">
        <v>1549</v>
      </c>
      <c r="C46" s="241">
        <f ca="1">ROUND((C33+C39)*F27,0)</f>
        <v>144589</v>
      </c>
      <c r="D46" s="255"/>
      <c r="E46" s="228"/>
      <c r="F46" s="238"/>
      <c r="G46" s="239"/>
    </row>
    <row r="47" spans="1:7" s="206" customFormat="1" ht="13.5" customHeight="1">
      <c r="A47" s="734" t="s">
        <v>347</v>
      </c>
      <c r="B47" s="240" t="s">
        <v>1550</v>
      </c>
      <c r="C47" s="230">
        <f ca="1">ROUND(C40*F27,4)</f>
        <v>5.0000000000000001E-3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806619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645295</v>
      </c>
      <c r="D51" s="224"/>
      <c r="E51" s="224"/>
      <c r="F51" s="256"/>
      <c r="G51" s="226" t="s">
        <v>1560</v>
      </c>
    </row>
    <row r="52" spans="1:7" s="200" customFormat="1" ht="16.5" thickBot="1">
      <c r="A52" s="257" t="s">
        <v>1561</v>
      </c>
      <c r="B52" s="258"/>
      <c r="C52" s="259">
        <f ca="1">C31+C51</f>
        <v>5214897</v>
      </c>
      <c r="D52" s="258"/>
      <c r="E52" s="258"/>
      <c r="F52" s="258"/>
      <c r="G52" s="260"/>
    </row>
    <row r="55" spans="1:7" ht="15">
      <c r="B55" s="262" t="s">
        <v>1562</v>
      </c>
      <c r="C55" s="263"/>
    </row>
    <row r="56" spans="1:7">
      <c r="B56" s="265" t="s">
        <v>802</v>
      </c>
      <c r="C56" s="267">
        <f ca="1">1-C57</f>
        <v>0.876</v>
      </c>
    </row>
    <row r="57" spans="1:7">
      <c r="B57" s="265" t="s">
        <v>803</v>
      </c>
      <c r="C57" s="266">
        <f ca="1">ROUND(C51/C52,3)</f>
        <v>0.124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8</v>
      </c>
    </row>
    <row r="2" spans="1:33" ht="18" customHeight="1">
      <c r="A2" s="193" t="s">
        <v>1462</v>
      </c>
      <c r="B2" s="196">
        <f ca="1">C32</f>
        <v>-7</v>
      </c>
      <c r="C2" s="268" t="s">
        <v>1595</v>
      </c>
      <c r="D2" s="268"/>
      <c r="E2" s="2567"/>
      <c r="F2" s="2567"/>
      <c r="G2" s="2567"/>
      <c r="H2" s="2567"/>
      <c r="I2" s="2567"/>
      <c r="J2" s="2567"/>
      <c r="K2" s="2567"/>
    </row>
    <row r="3" spans="1:33" ht="18" customHeight="1" thickBot="1">
      <c r="A3" s="195" t="s">
        <v>1464</v>
      </c>
      <c r="B3" s="196">
        <f ca="1">ROUND(B2*10000/IF(C1="",'数据-汇总表'!E3,INDIRECT("'数据-取费表'!K"&amp;$K$1)),0)</f>
        <v>-251</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278.87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278.87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6</v>
      </c>
      <c r="D20" s="796">
        <f ca="1">IF(C1="",'数据-汇总表'!E6,IF(INDIRECT("'数据-取费表'!c"&amp;$K$1)="住宅",INDIRECT("'数据-取费表'!s"&amp;$K$1),INDIRECT("'数据-取费表'!k"&amp;$K$1)+INDIRECT("'数据-取费表'!s"&amp;$K$1)))</f>
        <v>278.87</v>
      </c>
      <c r="E20" s="21">
        <f>'数据-取费表'!B28</f>
        <v>200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30" t="s">
        <v>694</v>
      </c>
      <c r="C6" s="1011">
        <f ca="1">ROUND(F6*F8*F7*(1-F9)/10000,0)</f>
        <v>0</v>
      </c>
      <c r="D6" s="147" t="s">
        <v>2109</v>
      </c>
      <c r="E6" s="294" t="s">
        <v>696</v>
      </c>
      <c r="F6" s="295">
        <f ca="1">INDIRECT("'数据-取费表'!u"&amp;$G$1)</f>
        <v>0</v>
      </c>
      <c r="G6" s="1292"/>
      <c r="H6" s="1006" t="s">
        <v>398</v>
      </c>
      <c r="I6" s="3530" t="s">
        <v>694</v>
      </c>
      <c r="J6" s="293">
        <f ca="1">ROUND(M6*M8*M7*(1-M9)/10000,0)</f>
        <v>0</v>
      </c>
      <c r="K6" s="147" t="s">
        <v>2108</v>
      </c>
      <c r="L6" s="294" t="s">
        <v>696</v>
      </c>
      <c r="M6" s="295">
        <f ca="1">INDIRECT("'数据-取费表'!z"&amp;$G$1)</f>
        <v>0</v>
      </c>
    </row>
    <row r="7" spans="1:37" ht="18" customHeight="1">
      <c r="A7" s="1010"/>
      <c r="B7" s="3531"/>
      <c r="C7" s="1012"/>
      <c r="D7" s="299"/>
      <c r="E7" s="1013" t="s">
        <v>697</v>
      </c>
      <c r="F7" s="295">
        <f ca="1">IF(INDIRECT("'数据-取费表'!ah"&amp;$G$1)="",INDIRECT("'数据-取费表'!k"&amp;$G$1),INDIRECT("'数据-取费表'!ah"&amp;$G$1))</f>
        <v>0</v>
      </c>
      <c r="G7" s="1292"/>
      <c r="H7" s="296"/>
      <c r="I7" s="3531"/>
      <c r="J7" s="298"/>
      <c r="K7" s="299"/>
      <c r="L7" s="294" t="s">
        <v>697</v>
      </c>
      <c r="M7" s="295">
        <f ca="1">F7</f>
        <v>0</v>
      </c>
    </row>
    <row r="8" spans="1:37" ht="18" customHeight="1">
      <c r="A8" s="296"/>
      <c r="B8" s="3531"/>
      <c r="C8" s="298"/>
      <c r="D8" s="299"/>
      <c r="E8" s="294" t="s">
        <v>698</v>
      </c>
      <c r="F8" s="295">
        <f ca="1">INDIRECT("'数据-取费表'!ai"&amp;$G$1)</f>
        <v>0</v>
      </c>
      <c r="G8" s="1292"/>
      <c r="H8" s="296"/>
      <c r="I8" s="3531"/>
      <c r="J8" s="298"/>
      <c r="K8" s="299"/>
      <c r="L8" s="294" t="s">
        <v>698</v>
      </c>
      <c r="M8" s="295">
        <f ca="1">INDIRECT("'数据-取费表'!ai"&amp;$G$1)</f>
        <v>0</v>
      </c>
    </row>
    <row r="9" spans="1:37" ht="18" customHeight="1">
      <c r="A9" s="296"/>
      <c r="B9" s="3532"/>
      <c r="C9" s="298"/>
      <c r="D9" s="299"/>
      <c r="E9" s="294" t="s">
        <v>699</v>
      </c>
      <c r="F9" s="304">
        <f ca="1">INDIRECT("'数据-取费表'!w"&amp;$G$1)</f>
        <v>0</v>
      </c>
      <c r="G9" s="1292"/>
      <c r="H9" s="296"/>
      <c r="I9" s="353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2307</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28" t="s">
        <v>837</v>
      </c>
      <c r="L53" s="352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J11">
    <cfRule type="expression" dxfId="119" priority="2">
      <formula>$M$10="自定义"</formula>
    </cfRule>
  </conditionalFormatting>
  <conditionalFormatting sqref="K55 K60">
    <cfRule type="expression" dxfId="11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30" t="s">
        <v>694</v>
      </c>
      <c r="C6" s="1011">
        <f ca="1">ROUND(F6*F8*F7*(1-F9),0)</f>
        <v>0</v>
      </c>
      <c r="D6" s="147" t="s">
        <v>2106</v>
      </c>
      <c r="E6" s="294" t="s">
        <v>696</v>
      </c>
      <c r="F6" s="295">
        <f ca="1">INDIRECT("'数据-取费表'!u"&amp;$G$1)</f>
        <v>0</v>
      </c>
      <c r="G6" s="1292"/>
      <c r="H6" s="1006" t="s">
        <v>398</v>
      </c>
      <c r="I6" s="3530" t="s">
        <v>694</v>
      </c>
      <c r="J6" s="293">
        <f ca="1">ROUND(M6*M8*M7*(1-M9),0)</f>
        <v>0</v>
      </c>
      <c r="K6" s="1284" t="s">
        <v>2107</v>
      </c>
      <c r="L6" s="294" t="s">
        <v>696</v>
      </c>
      <c r="M6" s="295">
        <f ca="1">INDIRECT("'数据-取费表'!z"&amp;$G$1)</f>
        <v>0</v>
      </c>
    </row>
    <row r="7" spans="1:37" ht="18" customHeight="1">
      <c r="A7" s="1010"/>
      <c r="B7" s="3531"/>
      <c r="C7" s="1012"/>
      <c r="D7" s="299"/>
      <c r="E7" s="1013" t="s">
        <v>697</v>
      </c>
      <c r="F7" s="295">
        <f ca="1">IF(INDIRECT("'数据-取费表'!ah"&amp;$G$1)="",INDIRECT("'数据-取费表'!k"&amp;$G$1),INDIRECT("'数据-取费表'!ah"&amp;$G$1))</f>
        <v>0</v>
      </c>
      <c r="G7" s="1292"/>
      <c r="H7" s="296"/>
      <c r="I7" s="3531"/>
      <c r="J7" s="298"/>
      <c r="K7" s="299"/>
      <c r="L7" s="294" t="s">
        <v>697</v>
      </c>
      <c r="M7" s="295">
        <f ca="1">F7</f>
        <v>0</v>
      </c>
    </row>
    <row r="8" spans="1:37" ht="18" customHeight="1">
      <c r="A8" s="296"/>
      <c r="B8" s="3531"/>
      <c r="C8" s="298"/>
      <c r="D8" s="299"/>
      <c r="E8" s="294" t="s">
        <v>698</v>
      </c>
      <c r="F8" s="295">
        <f ca="1">INDIRECT("'数据-取费表'!ai"&amp;$G$1)</f>
        <v>0</v>
      </c>
      <c r="G8" s="1292"/>
      <c r="H8" s="296"/>
      <c r="I8" s="3531"/>
      <c r="J8" s="298"/>
      <c r="K8" s="299"/>
      <c r="L8" s="294" t="s">
        <v>698</v>
      </c>
      <c r="M8" s="295">
        <f ca="1">INDIRECT("'数据-取费表'!ai"&amp;$G$1)</f>
        <v>0</v>
      </c>
    </row>
    <row r="9" spans="1:37" ht="18" customHeight="1">
      <c r="A9" s="296"/>
      <c r="B9" s="3532"/>
      <c r="C9" s="298"/>
      <c r="D9" s="299"/>
      <c r="E9" s="294" t="s">
        <v>699</v>
      </c>
      <c r="F9" s="304">
        <f ca="1">INDIRECT("'数据-取费表'!w"&amp;$G$1)</f>
        <v>0</v>
      </c>
      <c r="G9" s="1292"/>
      <c r="H9" s="296"/>
      <c r="I9" s="353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2307</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t="e">
        <f ca="1">ROUND((C68-C40)/10000,4)</f>
        <v>#DIV/0!</v>
      </c>
      <c r="D45" s="3130" t="s">
        <v>3354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28" t="s">
        <v>837</v>
      </c>
      <c r="L53" s="352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2436</v>
      </c>
      <c r="B1" s="2583"/>
      <c r="C1" s="2595"/>
      <c r="D1" s="2595"/>
      <c r="E1" s="2584"/>
      <c r="F1" s="2585"/>
      <c r="G1" s="2586"/>
      <c r="J1" s="2589" t="s">
        <v>2315</v>
      </c>
      <c r="K1" s="2590"/>
      <c r="L1" s="2590"/>
      <c r="M1" s="2590"/>
      <c r="N1" s="2590"/>
      <c r="O1" s="2590"/>
      <c r="P1" s="2590"/>
      <c r="Q1" s="2590"/>
      <c r="R1" s="2591"/>
      <c r="S1" s="2592"/>
      <c r="T1" s="2592"/>
      <c r="U1" s="2592"/>
    </row>
    <row r="2" spans="1:22" s="2604" customFormat="1" ht="13.15" customHeight="1">
      <c r="A2" s="1293" t="s">
        <v>2316</v>
      </c>
      <c r="B2" s="2594" t="e">
        <f>IF(D2="——",C40,C40+E2)</f>
        <v>#DIV/0!</v>
      </c>
      <c r="C2" s="2595" t="s">
        <v>2317</v>
      </c>
      <c r="D2" s="3138" t="s">
        <v>3360</v>
      </c>
      <c r="E2" s="3139"/>
      <c r="F2" s="2597"/>
      <c r="G2" s="2598"/>
      <c r="H2" s="2599"/>
      <c r="I2" s="2600"/>
      <c r="J2" s="3533" t="s">
        <v>2318</v>
      </c>
      <c r="K2" s="3534"/>
      <c r="L2" s="2601" t="s">
        <v>2319</v>
      </c>
      <c r="M2" s="2601" t="s">
        <v>2320</v>
      </c>
      <c r="N2" s="2601" t="s">
        <v>2321</v>
      </c>
      <c r="O2" s="2601" t="s">
        <v>2322</v>
      </c>
      <c r="P2" s="2601" t="s">
        <v>2323</v>
      </c>
      <c r="Q2" s="2602" t="s">
        <v>2324</v>
      </c>
      <c r="R2" s="2603" t="s">
        <v>2325</v>
      </c>
      <c r="S2" s="2592"/>
      <c r="T2" s="2592"/>
      <c r="U2" s="2592"/>
      <c r="V2" s="2600"/>
    </row>
    <row r="3" spans="1:22" s="2604" customFormat="1" ht="13.15" customHeight="1">
      <c r="A3" s="2605" t="s">
        <v>2326</v>
      </c>
      <c r="B3" s="2606" t="e">
        <f>ROUND(B2*10000/B4,0)</f>
        <v>#DIV/0!</v>
      </c>
      <c r="C3" s="2595" t="s">
        <v>2327</v>
      </c>
      <c r="D3" s="2595"/>
      <c r="E3" s="2596"/>
      <c r="F3" s="2597"/>
      <c r="G3" s="2598"/>
      <c r="H3" s="2599"/>
      <c r="I3" s="2600"/>
      <c r="J3" s="3535" t="s">
        <v>2328</v>
      </c>
      <c r="K3" s="3536"/>
      <c r="L3" s="2607"/>
      <c r="M3" s="2607"/>
      <c r="N3" s="2607"/>
      <c r="O3" s="2607"/>
      <c r="P3" s="2607"/>
      <c r="Q3" s="2608"/>
      <c r="R3" s="2609">
        <f>SUM(L3:Q3)</f>
        <v>0</v>
      </c>
      <c r="S3" s="2592"/>
      <c r="T3" s="2592"/>
      <c r="U3" s="2592"/>
      <c r="V3" s="2600"/>
    </row>
    <row r="4" spans="1:22" s="2604" customFormat="1" ht="13.15" customHeight="1">
      <c r="A4" s="2610" t="s">
        <v>2329</v>
      </c>
      <c r="B4" s="2611"/>
      <c r="C4" s="2595"/>
      <c r="D4" s="2595"/>
      <c r="E4" s="2596"/>
      <c r="F4" s="2597"/>
      <c r="G4" s="2598"/>
      <c r="H4" s="2599"/>
      <c r="I4" s="2600"/>
      <c r="J4" s="3535" t="s">
        <v>2330</v>
      </c>
      <c r="K4" s="3536"/>
      <c r="L4" s="2612"/>
      <c r="M4" s="2612"/>
      <c r="N4" s="2612"/>
      <c r="O4" s="2612"/>
      <c r="P4" s="2612"/>
      <c r="Q4" s="2613"/>
      <c r="R4" s="2614">
        <f>SUM(L4:Q4)</f>
        <v>0</v>
      </c>
      <c r="S4" s="2592"/>
      <c r="T4" s="2592"/>
      <c r="U4" s="2592"/>
      <c r="V4" s="2600"/>
    </row>
    <row r="5" spans="1:22" s="2604" customFormat="1" ht="13.15" customHeight="1" thickBot="1">
      <c r="A5" s="2615" t="s">
        <v>2331</v>
      </c>
      <c r="B5" s="2616"/>
      <c r="C5" s="2595"/>
      <c r="D5" s="2617"/>
      <c r="E5" s="2597"/>
      <c r="F5" s="2597"/>
      <c r="G5" s="2598"/>
      <c r="H5" s="2599"/>
      <c r="I5" s="2600"/>
      <c r="J5" s="2618" t="s">
        <v>2332</v>
      </c>
      <c r="K5" s="2619"/>
      <c r="L5" s="2619"/>
      <c r="M5" s="2620"/>
      <c r="N5" s="2620"/>
      <c r="O5" s="2620"/>
      <c r="P5" s="2620"/>
      <c r="Q5" s="2620"/>
      <c r="R5" s="2603">
        <f>SUM(R14,R19,R24,R25,R27,R28)</f>
        <v>0</v>
      </c>
      <c r="S5" s="2592"/>
      <c r="T5" s="2592" t="s">
        <v>2333</v>
      </c>
      <c r="U5" s="2592" t="e">
        <f>ROUND(R5*10000/365/R3,1)</f>
        <v>#DIV/0!</v>
      </c>
      <c r="V5" s="2600"/>
    </row>
    <row r="6" spans="1:22" s="2604" customFormat="1" ht="13.15" customHeight="1" thickBot="1">
      <c r="A6" s="3537" t="s">
        <v>2334</v>
      </c>
      <c r="B6" s="3538"/>
      <c r="C6" s="3539"/>
      <c r="D6" s="2621"/>
      <c r="E6" s="2622"/>
      <c r="F6" s="2623"/>
      <c r="G6" s="2624"/>
      <c r="H6" s="2599"/>
      <c r="I6" s="2600"/>
      <c r="J6" s="3540">
        <v>1</v>
      </c>
      <c r="K6" s="3541" t="s">
        <v>2335</v>
      </c>
      <c r="L6" s="2625" t="s">
        <v>2336</v>
      </c>
      <c r="M6" s="2626" t="s">
        <v>2337</v>
      </c>
      <c r="N6" s="2626" t="s">
        <v>2338</v>
      </c>
      <c r="O6" s="2626" t="s">
        <v>2339</v>
      </c>
      <c r="P6" s="2626" t="s">
        <v>2340</v>
      </c>
      <c r="Q6" s="2626" t="s">
        <v>2341</v>
      </c>
      <c r="R6" s="2609" t="s">
        <v>2342</v>
      </c>
      <c r="S6" s="2592"/>
      <c r="T6" s="2592" t="s">
        <v>2343</v>
      </c>
      <c r="U6" s="2592"/>
      <c r="V6" s="2600"/>
    </row>
    <row r="7" spans="1:22" s="2604" customFormat="1" ht="13.15" customHeight="1">
      <c r="A7" s="2627" t="s">
        <v>2344</v>
      </c>
      <c r="B7" s="2628"/>
      <c r="C7" s="2629"/>
      <c r="D7" s="2630">
        <f>SUM(D9,D10,D11,D17,0)</f>
        <v>0</v>
      </c>
      <c r="E7" s="2631" t="e">
        <f>E9+E10+E11+E17</f>
        <v>#DIV/0!</v>
      </c>
      <c r="F7" s="2632"/>
      <c r="G7" s="2633"/>
      <c r="H7" s="2599"/>
      <c r="I7" s="2600"/>
      <c r="J7" s="3540"/>
      <c r="K7" s="3542"/>
      <c r="L7" s="2634" t="s">
        <v>2345</v>
      </c>
      <c r="M7" s="2635"/>
      <c r="N7" s="2611"/>
      <c r="O7" s="2636"/>
      <c r="P7" s="2636"/>
      <c r="Q7" s="2637">
        <v>365</v>
      </c>
      <c r="R7" s="2638">
        <f>ROUND(M7*N7*O7*P7*Q7/10000,0)</f>
        <v>0</v>
      </c>
      <c r="S7" s="2592"/>
      <c r="T7" s="2592" t="s">
        <v>2346</v>
      </c>
      <c r="U7" s="2592"/>
      <c r="V7" s="2600"/>
    </row>
    <row r="8" spans="1:22" s="2604" customFormat="1" ht="13.15" customHeight="1">
      <c r="A8" s="2639" t="s">
        <v>2347</v>
      </c>
      <c r="B8" s="3544" t="s">
        <v>2348</v>
      </c>
      <c r="C8" s="3545"/>
      <c r="D8" s="2640" t="s">
        <v>2349</v>
      </c>
      <c r="E8" s="2641" t="s">
        <v>2350</v>
      </c>
      <c r="F8" s="2642" t="s">
        <v>2351</v>
      </c>
      <c r="G8" s="2643"/>
      <c r="H8" s="2599"/>
      <c r="I8" s="2600"/>
      <c r="J8" s="3540"/>
      <c r="K8" s="3542"/>
      <c r="L8" s="2634" t="s">
        <v>2352</v>
      </c>
      <c r="M8" s="2635"/>
      <c r="N8" s="2611"/>
      <c r="O8" s="2636"/>
      <c r="P8" s="2636"/>
      <c r="Q8" s="2637">
        <v>365</v>
      </c>
      <c r="R8" s="2638">
        <f t="shared" ref="R8:R13" si="0">ROUND(M8*N8*O8*P8*Q8/10000,0)</f>
        <v>0</v>
      </c>
      <c r="S8" s="2592"/>
      <c r="T8" s="2592" t="s">
        <v>2353</v>
      </c>
      <c r="U8" s="2592"/>
      <c r="V8" s="2600"/>
    </row>
    <row r="9" spans="1:22" s="2604" customFormat="1" ht="13.15" customHeight="1">
      <c r="A9" s="2639">
        <v>1</v>
      </c>
      <c r="B9" s="3544" t="s">
        <v>2354</v>
      </c>
      <c r="C9" s="3545"/>
      <c r="D9" s="2640">
        <f>ROUND(D6*E9,0)</f>
        <v>0</v>
      </c>
      <c r="E9" s="2644"/>
      <c r="F9" s="2645" t="s">
        <v>2355</v>
      </c>
      <c r="G9" s="2624"/>
      <c r="H9" s="2599"/>
      <c r="I9" s="2600"/>
      <c r="J9" s="3540"/>
      <c r="K9" s="3542"/>
      <c r="L9" s="2634" t="s">
        <v>2356</v>
      </c>
      <c r="M9" s="2635"/>
      <c r="N9" s="2611"/>
      <c r="O9" s="2636"/>
      <c r="P9" s="2636"/>
      <c r="Q9" s="2637">
        <v>365</v>
      </c>
      <c r="R9" s="2638">
        <f t="shared" si="0"/>
        <v>0</v>
      </c>
      <c r="S9" s="2592"/>
      <c r="T9" s="2592"/>
      <c r="U9" s="2592"/>
      <c r="V9" s="2600"/>
    </row>
    <row r="10" spans="1:22" s="2604" customFormat="1" ht="13.15" customHeight="1">
      <c r="A10" s="2639">
        <v>2</v>
      </c>
      <c r="B10" s="3544" t="s">
        <v>2357</v>
      </c>
      <c r="C10" s="3545"/>
      <c r="D10" s="2640">
        <f>ROUND(D6*E10,0)</f>
        <v>0</v>
      </c>
      <c r="E10" s="2644"/>
      <c r="F10" s="2645" t="s">
        <v>2358</v>
      </c>
      <c r="G10" s="2624"/>
      <c r="H10" s="2599"/>
      <c r="I10" s="2600"/>
      <c r="J10" s="3540"/>
      <c r="K10" s="3542"/>
      <c r="L10" s="2634" t="s">
        <v>2359</v>
      </c>
      <c r="M10" s="2635"/>
      <c r="N10" s="2611"/>
      <c r="O10" s="2636"/>
      <c r="P10" s="2636"/>
      <c r="Q10" s="2637">
        <v>365</v>
      </c>
      <c r="R10" s="2638">
        <f t="shared" si="0"/>
        <v>0</v>
      </c>
      <c r="S10" s="2592"/>
      <c r="T10" s="2592"/>
      <c r="U10" s="2592"/>
      <c r="V10" s="2600"/>
    </row>
    <row r="11" spans="1:22" s="2604" customFormat="1" ht="13.15" customHeight="1">
      <c r="A11" s="2639">
        <v>3</v>
      </c>
      <c r="B11" s="3544" t="s">
        <v>2360</v>
      </c>
      <c r="C11" s="3545"/>
      <c r="D11" s="2640">
        <f>D12+D14+D15+D16</f>
        <v>0</v>
      </c>
      <c r="E11" s="2646" t="e">
        <f>D11/D6</f>
        <v>#DIV/0!</v>
      </c>
      <c r="F11" s="2642"/>
      <c r="G11" s="2643"/>
      <c r="H11" s="2599"/>
      <c r="I11" s="2600"/>
      <c r="J11" s="3540"/>
      <c r="K11" s="3542"/>
      <c r="L11" s="2634" t="s">
        <v>2361</v>
      </c>
      <c r="M11" s="2635"/>
      <c r="N11" s="2611"/>
      <c r="O11" s="2636"/>
      <c r="P11" s="2636"/>
      <c r="Q11" s="2637">
        <v>365</v>
      </c>
      <c r="R11" s="2638">
        <f t="shared" si="0"/>
        <v>0</v>
      </c>
      <c r="S11" s="2592"/>
      <c r="T11" s="2592"/>
      <c r="U11" s="2592"/>
      <c r="V11" s="2600"/>
    </row>
    <row r="12" spans="1:22" s="2604" customFormat="1" ht="13.15" customHeight="1">
      <c r="A12" s="2647" t="s">
        <v>2362</v>
      </c>
      <c r="B12" s="3546" t="s">
        <v>2363</v>
      </c>
      <c r="C12" s="3547"/>
      <c r="D12" s="2648">
        <f>ROUND(D13*1.2%*(1-30%),0)</f>
        <v>0</v>
      </c>
      <c r="E12" s="2649">
        <v>1.2E-2</v>
      </c>
      <c r="F12" s="2642" t="s">
        <v>2364</v>
      </c>
      <c r="G12" s="2643"/>
      <c r="H12" s="2599"/>
      <c r="I12" s="2600"/>
      <c r="J12" s="3540"/>
      <c r="K12" s="3542"/>
      <c r="L12" s="2634" t="s">
        <v>2365</v>
      </c>
      <c r="M12" s="2635"/>
      <c r="N12" s="2611"/>
      <c r="O12" s="2636"/>
      <c r="P12" s="2636"/>
      <c r="Q12" s="2637">
        <v>365</v>
      </c>
      <c r="R12" s="2638">
        <f t="shared" si="0"/>
        <v>0</v>
      </c>
      <c r="S12" s="2592"/>
      <c r="T12" s="2592"/>
      <c r="U12" s="2592"/>
      <c r="V12" s="2600"/>
    </row>
    <row r="13" spans="1:22" s="2604" customFormat="1" ht="13.15" customHeight="1">
      <c r="A13" s="2647"/>
      <c r="B13" s="2650"/>
      <c r="C13" s="2651" t="s">
        <v>2366</v>
      </c>
      <c r="D13" s="2652"/>
      <c r="E13" s="2653"/>
      <c r="F13" s="2642"/>
      <c r="G13" s="2643"/>
      <c r="H13" s="2599"/>
      <c r="I13" s="2600"/>
      <c r="J13" s="3540"/>
      <c r="K13" s="3542"/>
      <c r="L13" s="2634" t="s">
        <v>2367</v>
      </c>
      <c r="M13" s="2635"/>
      <c r="N13" s="2611"/>
      <c r="O13" s="2636"/>
      <c r="P13" s="2636"/>
      <c r="Q13" s="2637">
        <v>365</v>
      </c>
      <c r="R13" s="2638">
        <f t="shared" si="0"/>
        <v>0</v>
      </c>
      <c r="S13" s="2592"/>
      <c r="T13" s="2592"/>
      <c r="U13" s="2592"/>
      <c r="V13" s="2600"/>
    </row>
    <row r="14" spans="1:22" s="2604" customFormat="1" ht="13.15" customHeight="1">
      <c r="A14" s="2647" t="s">
        <v>2368</v>
      </c>
      <c r="B14" s="3546" t="s">
        <v>2369</v>
      </c>
      <c r="C14" s="3547"/>
      <c r="D14" s="2648">
        <f>ROUND(E14*B5/10000,0)</f>
        <v>0</v>
      </c>
      <c r="E14" s="2637"/>
      <c r="F14" s="2642" t="s">
        <v>2370</v>
      </c>
      <c r="G14" s="2643"/>
      <c r="H14" s="2599"/>
      <c r="I14" s="2600"/>
      <c r="J14" s="3540"/>
      <c r="K14" s="3543"/>
      <c r="L14" s="2654" t="s">
        <v>2371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2372</v>
      </c>
      <c r="B15" s="3546" t="s">
        <v>2373</v>
      </c>
      <c r="C15" s="3547"/>
      <c r="D15" s="2648">
        <f>ROUND(D6*E15,0)</f>
        <v>0</v>
      </c>
      <c r="E15" s="2649">
        <v>5.5E-2</v>
      </c>
      <c r="F15" s="2642" t="s">
        <v>2374</v>
      </c>
      <c r="G15" s="2624"/>
      <c r="H15" s="2599"/>
      <c r="I15" s="2600"/>
      <c r="J15" s="3540">
        <v>2</v>
      </c>
      <c r="K15" s="3541" t="s">
        <v>2375</v>
      </c>
      <c r="L15" s="2634" t="s">
        <v>2376</v>
      </c>
      <c r="M15" s="2635" t="s">
        <v>2377</v>
      </c>
      <c r="N15" s="2635" t="s">
        <v>2378</v>
      </c>
      <c r="O15" s="2636" t="s">
        <v>2379</v>
      </c>
      <c r="P15" s="2636" t="s">
        <v>2341</v>
      </c>
      <c r="Q15" s="2611" t="s">
        <v>2380</v>
      </c>
      <c r="R15" s="2658" t="s">
        <v>2342</v>
      </c>
      <c r="S15" s="2592"/>
      <c r="T15" s="2592"/>
      <c r="U15" s="2592"/>
      <c r="V15" s="2600"/>
    </row>
    <row r="16" spans="1:22" s="2604" customFormat="1" ht="13.15" customHeight="1">
      <c r="A16" s="2647" t="s">
        <v>2381</v>
      </c>
      <c r="B16" s="3546" t="s">
        <v>2382</v>
      </c>
      <c r="C16" s="3547"/>
      <c r="D16" s="2659">
        <f>D6*E16</f>
        <v>0</v>
      </c>
      <c r="E16" s="2660"/>
      <c r="F16" s="2645" t="s">
        <v>2383</v>
      </c>
      <c r="G16" s="2624"/>
      <c r="H16" s="2599"/>
      <c r="I16" s="2600"/>
      <c r="J16" s="3540"/>
      <c r="K16" s="3542"/>
      <c r="L16" s="2634" t="s">
        <v>2384</v>
      </c>
      <c r="M16" s="2635"/>
      <c r="N16" s="2635"/>
      <c r="O16" s="2636"/>
      <c r="P16" s="2637">
        <v>365</v>
      </c>
      <c r="Q16" s="2611"/>
      <c r="R16" s="2658">
        <f>ROUND(M16*N16*O16*P16/10000,0)</f>
        <v>0</v>
      </c>
      <c r="S16" s="2592"/>
      <c r="T16" s="2592"/>
      <c r="U16" s="2592"/>
      <c r="V16" s="2600"/>
    </row>
    <row r="17" spans="1:22" s="2604" customFormat="1" ht="13.15" customHeight="1" thickBot="1">
      <c r="A17" s="2661">
        <v>4</v>
      </c>
      <c r="B17" s="3548" t="s">
        <v>2385</v>
      </c>
      <c r="C17" s="3549"/>
      <c r="D17" s="2662">
        <f>ROUND(D6*E17,0)</f>
        <v>0</v>
      </c>
      <c r="E17" s="2663"/>
      <c r="F17" s="2664" t="s">
        <v>2386</v>
      </c>
      <c r="G17" s="2624"/>
      <c r="H17" s="2599"/>
      <c r="I17" s="2600"/>
      <c r="J17" s="3540"/>
      <c r="K17" s="3542"/>
      <c r="L17" s="2634" t="s">
        <v>2387</v>
      </c>
      <c r="M17" s="2635"/>
      <c r="N17" s="2635"/>
      <c r="O17" s="2636"/>
      <c r="P17" s="2637">
        <v>365</v>
      </c>
      <c r="Q17" s="2611"/>
      <c r="R17" s="2658">
        <f>ROUND(M17*N17*O17*P17/10000,0)</f>
        <v>0</v>
      </c>
      <c r="S17" s="2592"/>
      <c r="T17" s="2592"/>
      <c r="U17" s="2592"/>
      <c r="V17" s="2600"/>
    </row>
    <row r="18" spans="1:22" s="2604" customFormat="1" ht="13.15" customHeight="1" thickBot="1">
      <c r="A18" s="2627" t="s">
        <v>2388</v>
      </c>
      <c r="B18" s="2628"/>
      <c r="C18" s="2628"/>
      <c r="D18" s="2665">
        <f>ROUND(D6*E18,0)</f>
        <v>0</v>
      </c>
      <c r="E18" s="2666"/>
      <c r="F18" s="2667" t="s">
        <v>2389</v>
      </c>
      <c r="G18" s="2624"/>
      <c r="H18" s="2599"/>
      <c r="I18" s="2600"/>
      <c r="J18" s="3540"/>
      <c r="K18" s="3542"/>
      <c r="L18" s="2634" t="s">
        <v>2390</v>
      </c>
      <c r="M18" s="2635"/>
      <c r="N18" s="2635"/>
      <c r="O18" s="2636"/>
      <c r="P18" s="2637">
        <v>365</v>
      </c>
      <c r="Q18" s="2611"/>
      <c r="R18" s="2658">
        <f>ROUND(M18*N18*O18*P18/10000,0)</f>
        <v>0</v>
      </c>
      <c r="S18" s="2592"/>
      <c r="T18" s="2592"/>
      <c r="U18" s="2592"/>
      <c r="V18" s="2600"/>
    </row>
    <row r="19" spans="1:22" s="2604" customFormat="1" ht="13.15" customHeight="1" thickBot="1">
      <c r="A19" s="2668" t="s">
        <v>2391</v>
      </c>
      <c r="B19" s="2622"/>
      <c r="C19" s="2622"/>
      <c r="D19" s="2622"/>
      <c r="E19" s="2622"/>
      <c r="F19" s="2623"/>
      <c r="G19" s="2643"/>
      <c r="H19" s="2599"/>
      <c r="I19" s="2600"/>
      <c r="J19" s="3540"/>
      <c r="K19" s="3543"/>
      <c r="L19" s="2654" t="s">
        <v>2371</v>
      </c>
      <c r="M19" s="2655"/>
      <c r="N19" s="2655">
        <f>SUM(N16:N18)</f>
        <v>0</v>
      </c>
      <c r="O19" s="2656"/>
      <c r="P19" s="2669" t="s">
        <v>2435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40">
        <v>3</v>
      </c>
      <c r="K20" s="3541" t="s">
        <v>2392</v>
      </c>
      <c r="L20" s="2634" t="s">
        <v>2393</v>
      </c>
      <c r="M20" s="2635" t="s">
        <v>2394</v>
      </c>
      <c r="N20" s="2672" t="s">
        <v>2395</v>
      </c>
      <c r="O20" s="2636" t="s">
        <v>2396</v>
      </c>
      <c r="P20" s="2637" t="s">
        <v>2397</v>
      </c>
      <c r="Q20" s="2611" t="s">
        <v>2398</v>
      </c>
      <c r="R20" s="2658" t="s">
        <v>2399</v>
      </c>
      <c r="S20" s="2592"/>
      <c r="T20" s="2592"/>
      <c r="U20" s="2592"/>
      <c r="V20" s="2600"/>
    </row>
    <row r="21" spans="1:22" s="2604" customFormat="1" ht="13.15" customHeight="1">
      <c r="A21" s="2627"/>
      <c r="B21" s="2628"/>
      <c r="C21" s="2673" t="s">
        <v>2400</v>
      </c>
      <c r="D21" s="2674" t="s">
        <v>2401</v>
      </c>
      <c r="E21" s="2675" t="s">
        <v>2402</v>
      </c>
      <c r="F21" s="2671"/>
      <c r="G21" s="2643"/>
      <c r="H21" s="2599"/>
      <c r="I21" s="2600"/>
      <c r="J21" s="3540"/>
      <c r="K21" s="3542"/>
      <c r="L21" s="2634" t="s">
        <v>2403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2404</v>
      </c>
      <c r="D22" s="2678" t="s">
        <v>2405</v>
      </c>
      <c r="E22" s="2679" t="s">
        <v>2406</v>
      </c>
      <c r="F22" s="2671"/>
      <c r="G22" s="2592"/>
      <c r="H22" s="2599"/>
      <c r="I22" s="2600"/>
      <c r="J22" s="3540"/>
      <c r="K22" s="3542"/>
      <c r="L22" s="2634" t="s">
        <v>2407</v>
      </c>
      <c r="M22" s="2635"/>
      <c r="N22" s="2635"/>
      <c r="O22" s="2636"/>
      <c r="P22" s="2637">
        <v>365</v>
      </c>
      <c r="Q22" s="2611"/>
      <c r="R22" s="2676">
        <f>ROUND(M22*N22*O22*P22/10000,0)</f>
        <v>0</v>
      </c>
      <c r="S22" s="2592"/>
      <c r="T22" s="2592"/>
      <c r="U22" s="2592"/>
      <c r="V22" s="2600"/>
    </row>
    <row r="23" spans="1:22" s="2604" customFormat="1" ht="13.15" customHeight="1">
      <c r="A23" s="2680">
        <v>1</v>
      </c>
      <c r="B23" s="2681" t="s">
        <v>2408</v>
      </c>
      <c r="C23" s="2682">
        <f>D6</f>
        <v>0</v>
      </c>
      <c r="D23" s="2683">
        <f>C23*(1+D24)</f>
        <v>0</v>
      </c>
      <c r="E23" s="2684">
        <f>D23*(1+E24)</f>
        <v>0</v>
      </c>
      <c r="F23" s="2685"/>
      <c r="G23" s="2686"/>
      <c r="H23" s="2599"/>
      <c r="I23" s="2600"/>
      <c r="J23" s="3540"/>
      <c r="K23" s="3542"/>
      <c r="L23" s="2634" t="s">
        <v>2409</v>
      </c>
      <c r="M23" s="2635"/>
      <c r="N23" s="2635"/>
      <c r="O23" s="2636"/>
      <c r="P23" s="2637">
        <v>365</v>
      </c>
      <c r="Q23" s="2611"/>
      <c r="R23" s="2676">
        <f>ROUND(M23*N23*O23*P23/10000,0)</f>
        <v>0</v>
      </c>
      <c r="S23" s="2592"/>
      <c r="T23" s="2592"/>
      <c r="U23" s="2592"/>
      <c r="V23" s="2600"/>
    </row>
    <row r="24" spans="1:22" s="2604" customFormat="1" ht="13.15" customHeight="1">
      <c r="A24" s="2687"/>
      <c r="B24" s="2688" t="s">
        <v>2410</v>
      </c>
      <c r="C24" s="2689"/>
      <c r="D24" s="2690"/>
      <c r="E24" s="2691"/>
      <c r="F24" s="2692"/>
      <c r="G24" s="2686"/>
      <c r="H24" s="2599"/>
      <c r="I24" s="2600"/>
      <c r="J24" s="3540"/>
      <c r="K24" s="3543"/>
      <c r="L24" s="2654" t="s">
        <v>2371</v>
      </c>
      <c r="M24" s="2655">
        <f>SUM(M21:M23)</f>
        <v>0</v>
      </c>
      <c r="N24" s="2655"/>
      <c r="O24" s="2656"/>
      <c r="P24" s="2669" t="s">
        <v>2435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2411</v>
      </c>
      <c r="L25" s="2695"/>
      <c r="M25" s="2695"/>
      <c r="N25" s="2695"/>
      <c r="O25" s="2695"/>
      <c r="P25" s="2696"/>
      <c r="Q25" s="2697">
        <v>0</v>
      </c>
      <c r="R25" s="2670">
        <f>ROUND(R14*Q25,0)</f>
        <v>0</v>
      </c>
      <c r="S25" s="2592"/>
      <c r="T25" s="2592"/>
      <c r="U25" s="2592"/>
      <c r="V25" s="2698"/>
    </row>
    <row r="26" spans="1:22" s="2699" customFormat="1" ht="13.15" customHeight="1">
      <c r="A26" s="2680">
        <v>2</v>
      </c>
      <c r="B26" s="2681" t="s">
        <v>2412</v>
      </c>
      <c r="C26" s="2682">
        <f>D7</f>
        <v>0</v>
      </c>
      <c r="D26" s="2683">
        <f>D23*D27</f>
        <v>0</v>
      </c>
      <c r="E26" s="2684">
        <f>E23*E27</f>
        <v>0</v>
      </c>
      <c r="F26" s="2685"/>
      <c r="G26" s="2686"/>
      <c r="H26" s="2599"/>
      <c r="I26" s="2600"/>
      <c r="J26" s="3550">
        <v>5</v>
      </c>
      <c r="K26" s="2700" t="s">
        <v>2413</v>
      </c>
      <c r="L26" s="2701"/>
      <c r="M26" s="2702"/>
      <c r="N26" s="2703" t="s">
        <v>2414</v>
      </c>
      <c r="O26" s="2703" t="s">
        <v>2415</v>
      </c>
      <c r="P26" s="2704" t="s">
        <v>2416</v>
      </c>
      <c r="Q26" s="2704" t="s">
        <v>2417</v>
      </c>
      <c r="R26" s="2609" t="s">
        <v>2342</v>
      </c>
      <c r="S26" s="2643"/>
      <c r="T26" s="2643"/>
      <c r="U26" s="2643"/>
      <c r="V26" s="2698"/>
    </row>
    <row r="27" spans="1:22" s="2604" customFormat="1" ht="13.15" customHeight="1">
      <c r="A27" s="2687"/>
      <c r="B27" s="2688" t="s">
        <v>2418</v>
      </c>
      <c r="C27" s="2705" t="e">
        <f>E7</f>
        <v>#DIV/0!</v>
      </c>
      <c r="D27" s="2690"/>
      <c r="E27" s="2691"/>
      <c r="F27" s="2692"/>
      <c r="G27" s="2686"/>
      <c r="H27" s="2706"/>
      <c r="I27" s="2698"/>
      <c r="J27" s="355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2419</v>
      </c>
      <c r="F28" s="2692"/>
      <c r="G28" s="2592"/>
      <c r="H28" s="2706"/>
      <c r="I28" s="2698"/>
      <c r="J28" s="2712">
        <v>6</v>
      </c>
      <c r="K28" s="2713" t="s">
        <v>2420</v>
      </c>
      <c r="L28" s="2714" t="s">
        <v>2421</v>
      </c>
      <c r="M28" s="2715"/>
      <c r="N28" s="2714" t="s">
        <v>2422</v>
      </c>
      <c r="O28" s="2716"/>
      <c r="P28" s="2714" t="s">
        <v>2423</v>
      </c>
      <c r="Q28" s="2717">
        <v>1.4999999999999999E-2</v>
      </c>
      <c r="R28" s="2718"/>
      <c r="S28" s="2592"/>
      <c r="T28" s="2592"/>
      <c r="U28" s="2592"/>
      <c r="V28" s="2698"/>
    </row>
    <row r="29" spans="1:22" s="2699" customFormat="1" ht="13.15" customHeight="1">
      <c r="A29" s="2680">
        <v>3</v>
      </c>
      <c r="B29" s="2681" t="s">
        <v>2424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2425</v>
      </c>
      <c r="K31" s="2590"/>
      <c r="L31" s="2590"/>
      <c r="M31" s="2590"/>
      <c r="N31" s="2590"/>
      <c r="O31" s="2590"/>
      <c r="P31" s="2590"/>
      <c r="Q31" s="2590"/>
      <c r="R31" s="2591"/>
      <c r="S31" s="2592"/>
      <c r="T31" s="2592"/>
      <c r="U31" s="2592"/>
      <c r="V31" s="2698"/>
    </row>
    <row r="32" spans="1:22" s="2699" customFormat="1" ht="13.15" customHeight="1">
      <c r="A32" s="2680">
        <v>4</v>
      </c>
      <c r="B32" s="2681" t="s">
        <v>2426</v>
      </c>
      <c r="C32" s="2682">
        <f>C23-C26-C29</f>
        <v>0</v>
      </c>
      <c r="D32" s="2683">
        <f>D23-D26-D29</f>
        <v>0</v>
      </c>
      <c r="E32" s="2684">
        <f>E23-E26-E29</f>
        <v>0</v>
      </c>
      <c r="F32" s="2685"/>
      <c r="G32" s="2592"/>
      <c r="H32" s="2599"/>
      <c r="I32" s="2600"/>
      <c r="J32" s="3533" t="s">
        <v>2318</v>
      </c>
      <c r="K32" s="3534"/>
      <c r="L32" s="2601" t="s">
        <v>2319</v>
      </c>
      <c r="M32" s="2601" t="s">
        <v>2320</v>
      </c>
      <c r="N32" s="2601" t="s">
        <v>2321</v>
      </c>
      <c r="O32" s="2601" t="s">
        <v>2322</v>
      </c>
      <c r="P32" s="2601" t="s">
        <v>2323</v>
      </c>
      <c r="Q32" s="2602" t="s">
        <v>2324</v>
      </c>
      <c r="R32" s="2721" t="s">
        <v>2325</v>
      </c>
      <c r="S32" s="2592"/>
      <c r="T32" s="2592"/>
      <c r="U32" s="2592"/>
      <c r="V32" s="2698"/>
    </row>
    <row r="33" spans="1:23" s="2604" customFormat="1" ht="13.15" customHeight="1">
      <c r="A33" s="2680"/>
      <c r="B33" s="2681"/>
      <c r="C33" s="2682"/>
      <c r="D33" s="2722"/>
      <c r="E33" s="2723"/>
      <c r="F33" s="2685"/>
      <c r="G33" s="2592"/>
      <c r="H33" s="2706"/>
      <c r="I33" s="2698"/>
      <c r="J33" s="3535" t="s">
        <v>2328</v>
      </c>
      <c r="K33" s="3536"/>
      <c r="L33" s="2607"/>
      <c r="M33" s="2607"/>
      <c r="N33" s="2607"/>
      <c r="O33" s="2607"/>
      <c r="P33" s="2607"/>
      <c r="Q33" s="2608"/>
      <c r="R33" s="2724">
        <f>SUM(L33:Q33)</f>
        <v>0</v>
      </c>
      <c r="S33" s="2592"/>
      <c r="T33" s="2592"/>
      <c r="U33" s="2592"/>
      <c r="V33" s="2600"/>
    </row>
    <row r="34" spans="1:23" s="2604" customFormat="1" ht="13.15" customHeight="1">
      <c r="A34" s="2680">
        <v>5</v>
      </c>
      <c r="B34" s="2681" t="s">
        <v>2427</v>
      </c>
      <c r="C34" s="2725"/>
      <c r="D34" s="2726"/>
      <c r="E34" s="2727"/>
      <c r="F34" s="2685"/>
      <c r="G34" s="2592"/>
      <c r="H34" s="2706"/>
      <c r="I34" s="2698"/>
      <c r="J34" s="3535" t="s">
        <v>2330</v>
      </c>
      <c r="K34" s="353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2428</v>
      </c>
      <c r="C35" s="2729"/>
      <c r="D35" s="2730"/>
      <c r="E35" s="2731"/>
      <c r="F35" s="2685"/>
      <c r="G35" s="2732"/>
      <c r="H35" s="2599"/>
      <c r="I35" s="2698"/>
      <c r="J35" s="2618" t="s">
        <v>2332</v>
      </c>
      <c r="K35" s="2619"/>
      <c r="L35" s="2619"/>
      <c r="M35" s="2620"/>
      <c r="N35" s="2620"/>
      <c r="O35" s="2620"/>
      <c r="P35" s="2620"/>
      <c r="Q35" s="2620"/>
      <c r="R35" s="2733">
        <f>R40+R41+R43</f>
        <v>0</v>
      </c>
      <c r="S35" s="2592"/>
      <c r="T35" s="2592" t="s">
        <v>2333</v>
      </c>
      <c r="U35" s="2592"/>
      <c r="V35" s="2600"/>
    </row>
    <row r="36" spans="1:23" s="2604" customFormat="1" ht="13.15" customHeight="1" thickBot="1">
      <c r="A36" s="2680">
        <v>7</v>
      </c>
      <c r="B36" s="2734" t="s">
        <v>2429</v>
      </c>
      <c r="C36" s="2735"/>
      <c r="D36" s="2736"/>
      <c r="E36" s="2737"/>
      <c r="F36" s="2738">
        <f>C36+D36+E36</f>
        <v>0</v>
      </c>
      <c r="G36" s="2592"/>
      <c r="H36" s="2599"/>
      <c r="I36" s="2600"/>
      <c r="J36" s="3540">
        <v>1</v>
      </c>
      <c r="K36" s="3541" t="s">
        <v>2430</v>
      </c>
      <c r="L36" s="2625"/>
      <c r="M36" s="2626"/>
      <c r="N36" s="2626"/>
      <c r="O36" s="2626"/>
      <c r="P36" s="2626"/>
      <c r="Q36" s="2626"/>
      <c r="R36" s="2609" t="s">
        <v>2342</v>
      </c>
      <c r="S36" s="2592"/>
      <c r="T36" s="2592" t="s">
        <v>2343</v>
      </c>
      <c r="U36" s="2592"/>
      <c r="V36" s="2600"/>
    </row>
    <row r="37" spans="1:23" s="2604" customFormat="1" ht="13.15" customHeight="1">
      <c r="A37" s="2680"/>
      <c r="B37" s="2681"/>
      <c r="C37" s="2681"/>
      <c r="D37" s="2681"/>
      <c r="E37" s="2681"/>
      <c r="F37" s="2685"/>
      <c r="G37" s="2592"/>
      <c r="H37" s="2599"/>
      <c r="I37" s="2600"/>
      <c r="J37" s="3540"/>
      <c r="K37" s="3542"/>
      <c r="L37" s="2634"/>
      <c r="M37" s="2635"/>
      <c r="N37" s="2611"/>
      <c r="O37" s="2636"/>
      <c r="P37" s="2636"/>
      <c r="Q37" s="2637"/>
      <c r="R37" s="2638"/>
      <c r="S37" s="2592"/>
      <c r="T37" s="2592" t="s">
        <v>2346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40"/>
      <c r="K38" s="3542"/>
      <c r="L38" s="2634"/>
      <c r="M38" s="2635"/>
      <c r="N38" s="2611"/>
      <c r="O38" s="2636"/>
      <c r="P38" s="2636"/>
      <c r="Q38" s="2637"/>
      <c r="R38" s="2638"/>
      <c r="S38" s="2592"/>
      <c r="T38" s="2592" t="s">
        <v>2353</v>
      </c>
      <c r="U38" s="2592"/>
      <c r="V38" s="2600"/>
    </row>
    <row r="39" spans="1:23" s="2604" customFormat="1" ht="13.15" customHeight="1">
      <c r="A39" s="2680">
        <v>9</v>
      </c>
      <c r="B39" s="2681" t="s">
        <v>2431</v>
      </c>
      <c r="C39" s="2648" t="e">
        <f>C38</f>
        <v>#DIV/0!</v>
      </c>
      <c r="D39" s="2681">
        <f>D38/(1+D34)^C36</f>
        <v>0</v>
      </c>
      <c r="E39" s="2681">
        <f>E38/(1+E34)^(C36+D36)</f>
        <v>0</v>
      </c>
      <c r="F39" s="2685"/>
      <c r="G39" s="2600"/>
      <c r="H39" s="2599"/>
      <c r="I39" s="2600"/>
      <c r="J39" s="3540"/>
      <c r="K39" s="3542"/>
      <c r="L39" s="2634"/>
      <c r="M39" s="2635"/>
      <c r="N39" s="2611"/>
      <c r="O39" s="2636"/>
      <c r="P39" s="2636"/>
      <c r="Q39" s="2637"/>
      <c r="R39" s="2638"/>
      <c r="S39" s="2592"/>
      <c r="T39" s="2592"/>
      <c r="U39" s="2592"/>
      <c r="V39" s="2600"/>
    </row>
    <row r="40" spans="1:23" s="2604" customFormat="1" ht="13.15" customHeight="1">
      <c r="A40" s="2739">
        <v>10</v>
      </c>
      <c r="B40" s="2681" t="s">
        <v>2432</v>
      </c>
      <c r="C40" s="2740" t="e">
        <f>C39+D39+E39</f>
        <v>#DIV/0!</v>
      </c>
      <c r="D40" s="2741"/>
      <c r="E40" s="2741"/>
      <c r="F40" s="2742"/>
      <c r="G40" s="2592"/>
      <c r="H40" s="2599"/>
      <c r="I40" s="2600"/>
      <c r="J40" s="3540"/>
      <c r="K40" s="3543"/>
      <c r="L40" s="2654" t="s">
        <v>2371</v>
      </c>
      <c r="M40" s="2655"/>
      <c r="N40" s="2655"/>
      <c r="O40" s="2656"/>
      <c r="P40" s="2656"/>
      <c r="Q40" s="2657"/>
      <c r="R40" s="2603">
        <f>SUM(R37:R39)</f>
        <v>0</v>
      </c>
      <c r="S40" s="2592"/>
      <c r="T40" s="2592"/>
      <c r="U40" s="2592"/>
      <c r="V40" s="2600"/>
    </row>
    <row r="41" spans="1:23" s="2604" customFormat="1" ht="13.15" customHeight="1" thickBot="1">
      <c r="A41" s="2743">
        <v>11</v>
      </c>
      <c r="B41" s="2744" t="s">
        <v>2433</v>
      </c>
      <c r="C41" s="2744" t="e">
        <f>ROUND(C40*10000/B4,0)</f>
        <v>#DIV/0!</v>
      </c>
      <c r="D41" s="2745"/>
      <c r="E41" s="2745"/>
      <c r="F41" s="2746"/>
      <c r="G41" s="2599"/>
      <c r="H41" s="2599"/>
      <c r="I41" s="2600"/>
      <c r="J41" s="2693">
        <v>2</v>
      </c>
      <c r="K41" s="2694" t="s">
        <v>2411</v>
      </c>
      <c r="L41" s="2695"/>
      <c r="M41" s="2695"/>
      <c r="N41" s="2695"/>
      <c r="O41" s="2695"/>
      <c r="P41" s="2696"/>
      <c r="Q41" s="2697"/>
      <c r="R41" s="2670">
        <f>ROUND(R40*Q41,0)</f>
        <v>0</v>
      </c>
      <c r="S41" s="2592"/>
      <c r="T41" s="2592"/>
      <c r="U41" s="2643"/>
      <c r="V41" s="2600"/>
    </row>
    <row r="42" spans="1:23" s="2604" customFormat="1" ht="13.15" customHeight="1">
      <c r="G42" s="2599"/>
      <c r="H42" s="2599"/>
      <c r="I42" s="2600"/>
      <c r="J42" s="3550">
        <v>3</v>
      </c>
      <c r="K42" s="2700" t="s">
        <v>2413</v>
      </c>
      <c r="L42" s="2701"/>
      <c r="M42" s="2702"/>
      <c r="N42" s="2703" t="s">
        <v>2414</v>
      </c>
      <c r="O42" s="2703" t="s">
        <v>2415</v>
      </c>
      <c r="P42" s="2704" t="s">
        <v>2416</v>
      </c>
      <c r="Q42" s="2704" t="s">
        <v>2417</v>
      </c>
      <c r="R42" s="2609" t="s">
        <v>2342</v>
      </c>
      <c r="S42" s="2643"/>
      <c r="T42" s="2643"/>
      <c r="U42" s="2592"/>
      <c r="V42" s="2600"/>
    </row>
    <row r="43" spans="1:23" ht="13.15" customHeight="1">
      <c r="A43" s="2604"/>
      <c r="B43" s="2604"/>
      <c r="C43" s="2604"/>
      <c r="D43" s="2604"/>
      <c r="E43" s="2604"/>
      <c r="F43" s="2604"/>
      <c r="I43" s="2587"/>
      <c r="J43" s="355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2420</v>
      </c>
      <c r="L44" s="2749" t="s">
        <v>2421</v>
      </c>
      <c r="M44" s="2715"/>
      <c r="N44" s="2749" t="s">
        <v>2422</v>
      </c>
      <c r="O44" s="2715"/>
      <c r="P44" s="2749" t="s">
        <v>2423</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52" t="s">
        <v>1654</v>
      </c>
      <c r="C5" s="3553"/>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278.87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02" t="s">
        <v>1667</v>
      </c>
      <c r="D4" s="3503"/>
      <c r="E4" s="3504" t="s">
        <v>1668</v>
      </c>
      <c r="F4" s="3505"/>
      <c r="G4" s="3502" t="s">
        <v>1669</v>
      </c>
      <c r="H4" s="3503"/>
      <c r="I4" s="3502" t="s">
        <v>1670</v>
      </c>
      <c r="J4" s="3503"/>
      <c r="K4" s="1744" t="s">
        <v>1671</v>
      </c>
      <c r="L4" s="2486"/>
      <c r="M4" s="2487"/>
      <c r="N4" s="2487"/>
      <c r="O4" s="2487"/>
      <c r="P4" s="3506" t="s">
        <v>1672</v>
      </c>
      <c r="Q4" s="3507"/>
      <c r="R4" s="3488" t="s">
        <v>1668</v>
      </c>
      <c r="S4" s="3489"/>
      <c r="T4" s="3488" t="s">
        <v>1669</v>
      </c>
      <c r="U4" s="3489"/>
      <c r="V4" s="3485" t="s">
        <v>1670</v>
      </c>
      <c r="W4" s="3485"/>
      <c r="X4" s="1265"/>
      <c r="Y4" s="3488" t="s">
        <v>1672</v>
      </c>
      <c r="Z4" s="3489"/>
      <c r="AA4" s="3482" t="s">
        <v>1668</v>
      </c>
      <c r="AB4" s="3482" t="s">
        <v>1669</v>
      </c>
      <c r="AC4" s="3482" t="s">
        <v>1670</v>
      </c>
    </row>
    <row r="5" spans="1:29" ht="15">
      <c r="A5" s="348"/>
      <c r="B5" s="349"/>
      <c r="C5" s="3498" t="s">
        <v>1673</v>
      </c>
      <c r="D5" s="3495"/>
      <c r="E5" s="3554" t="s">
        <v>1674</v>
      </c>
      <c r="F5" s="3493"/>
      <c r="G5" s="3498" t="s">
        <v>1675</v>
      </c>
      <c r="H5" s="3495"/>
      <c r="I5" s="3498" t="s">
        <v>1676</v>
      </c>
      <c r="J5" s="3495"/>
      <c r="K5" s="1745"/>
      <c r="L5" s="2486"/>
      <c r="M5" s="2487"/>
      <c r="N5" s="2487"/>
      <c r="O5" s="2487"/>
      <c r="P5" s="3508"/>
      <c r="Q5" s="3509"/>
      <c r="R5" s="3490"/>
      <c r="S5" s="3491"/>
      <c r="T5" s="3490"/>
      <c r="U5" s="3491"/>
      <c r="V5" s="3485"/>
      <c r="W5" s="3485"/>
      <c r="X5" s="1265"/>
      <c r="Y5" s="3490"/>
      <c r="Z5" s="3491"/>
      <c r="AA5" s="3483"/>
      <c r="AB5" s="3483"/>
      <c r="AC5" s="3483"/>
    </row>
    <row r="6" spans="1:29" ht="15.75" thickBot="1">
      <c r="A6" s="350"/>
      <c r="B6" s="351"/>
      <c r="C6" s="3496" t="s">
        <v>1677</v>
      </c>
      <c r="D6" s="3497"/>
      <c r="E6" s="3499" t="s">
        <v>1677</v>
      </c>
      <c r="F6" s="3500"/>
      <c r="G6" s="3496" t="s">
        <v>1677</v>
      </c>
      <c r="H6" s="3497"/>
      <c r="I6" s="3496" t="s">
        <v>1677</v>
      </c>
      <c r="J6" s="3497"/>
      <c r="K6" s="1745" t="s">
        <v>1678</v>
      </c>
      <c r="L6" s="2486"/>
      <c r="M6" s="2487"/>
      <c r="N6" s="2487"/>
      <c r="O6" s="2487"/>
      <c r="P6" s="3510"/>
      <c r="Q6" s="3511"/>
      <c r="R6" s="3490"/>
      <c r="S6" s="3491"/>
      <c r="T6" s="3512"/>
      <c r="U6" s="3513"/>
      <c r="V6" s="3485"/>
      <c r="W6" s="3485"/>
      <c r="X6" s="1265"/>
      <c r="Y6" s="3512"/>
      <c r="Z6" s="3513"/>
      <c r="AA6" s="3484"/>
      <c r="AB6" s="3484"/>
      <c r="AC6" s="3484"/>
    </row>
    <row r="7" spans="1:29" s="102" customFormat="1" ht="15.75" thickBot="1">
      <c r="A7" s="352" t="s">
        <v>1679</v>
      </c>
      <c r="B7" s="353"/>
      <c r="C7" s="354">
        <f>'数据-取费表'!B2</f>
        <v>45254</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486" t="s">
        <v>1680</v>
      </c>
      <c r="Q7" s="3514"/>
      <c r="R7" s="664" t="s">
        <v>20</v>
      </c>
      <c r="S7" s="665">
        <f t="shared" ref="S7:S15" si="0">F7</f>
        <v>0</v>
      </c>
      <c r="T7" s="664" t="s">
        <v>20</v>
      </c>
      <c r="U7" s="665">
        <f t="shared" ref="U7:U15" si="1">H7</f>
        <v>0</v>
      </c>
      <c r="V7" s="664" t="s">
        <v>20</v>
      </c>
      <c r="W7" s="665">
        <f t="shared" ref="W7:W15" si="2">J7</f>
        <v>0</v>
      </c>
      <c r="X7" s="666"/>
      <c r="Y7" s="3486" t="s">
        <v>1680</v>
      </c>
      <c r="Z7" s="348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86" t="s">
        <v>1683</v>
      </c>
      <c r="Q8" s="3487"/>
      <c r="R8" s="664" t="s">
        <v>20</v>
      </c>
      <c r="S8" s="665">
        <f t="shared" si="0"/>
        <v>100</v>
      </c>
      <c r="T8" s="664" t="s">
        <v>20</v>
      </c>
      <c r="U8" s="665">
        <f t="shared" si="1"/>
        <v>100</v>
      </c>
      <c r="V8" s="664" t="s">
        <v>20</v>
      </c>
      <c r="W8" s="665">
        <f t="shared" si="2"/>
        <v>100</v>
      </c>
      <c r="X8" s="666"/>
      <c r="Y8" s="3486" t="s">
        <v>1683</v>
      </c>
      <c r="Z8" s="348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01" t="s">
        <v>1686</v>
      </c>
      <c r="Q9" s="530" t="str">
        <f t="shared" ref="Q9:Q15" si="6">B9</f>
        <v>用途</v>
      </c>
      <c r="R9" s="664" t="s">
        <v>14</v>
      </c>
      <c r="S9" s="665">
        <f t="shared" si="0"/>
        <v>100</v>
      </c>
      <c r="T9" s="664" t="s">
        <v>14</v>
      </c>
      <c r="U9" s="665">
        <f t="shared" si="1"/>
        <v>100</v>
      </c>
      <c r="V9" s="664" t="s">
        <v>14</v>
      </c>
      <c r="W9" s="665">
        <f t="shared" si="2"/>
        <v>100</v>
      </c>
      <c r="X9" s="666"/>
      <c r="Y9" s="341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01"/>
      <c r="Q10" s="530" t="str">
        <f t="shared" si="6"/>
        <v>土地使用年限（年）</v>
      </c>
      <c r="R10" s="664" t="s">
        <v>14</v>
      </c>
      <c r="S10" s="665">
        <f t="shared" si="0"/>
        <v>100</v>
      </c>
      <c r="T10" s="664" t="s">
        <v>14</v>
      </c>
      <c r="U10" s="665">
        <f t="shared" si="1"/>
        <v>100</v>
      </c>
      <c r="V10" s="664" t="s">
        <v>14</v>
      </c>
      <c r="W10" s="665">
        <f t="shared" si="2"/>
        <v>100</v>
      </c>
      <c r="X10" s="666"/>
      <c r="Y10" s="341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01"/>
      <c r="Q11" s="530" t="str">
        <f t="shared" si="6"/>
        <v>容积率</v>
      </c>
      <c r="R11" s="664" t="s">
        <v>18</v>
      </c>
      <c r="S11" s="665" t="e">
        <f t="shared" si="0"/>
        <v>#N/A</v>
      </c>
      <c r="T11" s="664" t="s">
        <v>18</v>
      </c>
      <c r="U11" s="665" t="e">
        <f t="shared" si="1"/>
        <v>#N/A</v>
      </c>
      <c r="V11" s="664" t="s">
        <v>18</v>
      </c>
      <c r="W11" s="665" t="e">
        <f t="shared" si="2"/>
        <v>#N/A</v>
      </c>
      <c r="X11" s="666"/>
      <c r="Y11" s="341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01"/>
      <c r="Q12" s="530">
        <f t="shared" si="6"/>
        <v>111</v>
      </c>
      <c r="R12" s="664" t="s">
        <v>18</v>
      </c>
      <c r="S12" s="665">
        <f t="shared" si="0"/>
        <v>100</v>
      </c>
      <c r="T12" s="664" t="s">
        <v>18</v>
      </c>
      <c r="U12" s="665">
        <f t="shared" si="1"/>
        <v>100</v>
      </c>
      <c r="V12" s="664" t="s">
        <v>18</v>
      </c>
      <c r="W12" s="665">
        <f t="shared" si="2"/>
        <v>100</v>
      </c>
      <c r="X12" s="666"/>
      <c r="Y12" s="341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01"/>
      <c r="Q13" s="530">
        <f t="shared" si="6"/>
        <v>111</v>
      </c>
      <c r="R13" s="664" t="s">
        <v>18</v>
      </c>
      <c r="S13" s="665">
        <f t="shared" si="0"/>
        <v>100</v>
      </c>
      <c r="T13" s="664" t="s">
        <v>18</v>
      </c>
      <c r="U13" s="665">
        <f t="shared" si="1"/>
        <v>100</v>
      </c>
      <c r="V13" s="664" t="s">
        <v>18</v>
      </c>
      <c r="W13" s="665">
        <f t="shared" si="2"/>
        <v>100</v>
      </c>
      <c r="X13" s="666"/>
      <c r="Y13" s="341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01"/>
      <c r="Q14" s="530">
        <f t="shared" si="6"/>
        <v>111</v>
      </c>
      <c r="R14" s="664" t="s">
        <v>18</v>
      </c>
      <c r="S14" s="665">
        <f t="shared" si="0"/>
        <v>100</v>
      </c>
      <c r="T14" s="664" t="s">
        <v>18</v>
      </c>
      <c r="U14" s="665">
        <f t="shared" si="1"/>
        <v>100</v>
      </c>
      <c r="V14" s="664" t="s">
        <v>18</v>
      </c>
      <c r="W14" s="665">
        <f t="shared" si="2"/>
        <v>100</v>
      </c>
      <c r="X14" s="666"/>
      <c r="Y14" s="341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15" t="s">
        <v>1691</v>
      </c>
      <c r="Q15" s="1263" t="str">
        <f t="shared" si="6"/>
        <v>居住社区成熟度</v>
      </c>
      <c r="R15" s="667" t="s">
        <v>18</v>
      </c>
      <c r="S15" s="668">
        <f t="shared" si="0"/>
        <v>100</v>
      </c>
      <c r="T15" s="667" t="s">
        <v>18</v>
      </c>
      <c r="U15" s="668">
        <f t="shared" si="1"/>
        <v>100</v>
      </c>
      <c r="V15" s="667" t="s">
        <v>18</v>
      </c>
      <c r="W15" s="668">
        <f t="shared" si="2"/>
        <v>100</v>
      </c>
      <c r="X15" s="1265"/>
      <c r="Y15" s="351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516"/>
      <c r="Q16" s="1263"/>
      <c r="R16" s="667"/>
      <c r="S16" s="668"/>
      <c r="T16" s="667"/>
      <c r="U16" s="668"/>
      <c r="V16" s="667"/>
      <c r="W16" s="668"/>
      <c r="X16" s="1265"/>
      <c r="Y16" s="3518"/>
      <c r="Z16" s="1264"/>
      <c r="AA16" s="1264">
        <v>1</v>
      </c>
      <c r="AB16" s="1264">
        <v>1</v>
      </c>
      <c r="AC16" s="1264">
        <v>1</v>
      </c>
    </row>
    <row r="17" spans="1:29" ht="142.5">
      <c r="A17" s="367"/>
      <c r="B17" s="390" t="s">
        <v>1259</v>
      </c>
      <c r="C17" s="1754" t="str">
        <f>估价对象房地状况!C6</f>
        <v>估价对象周边有专10路、23路、54路、91路、312路等多条公交线路，距离地铁7、10号线双井站约600米，周边道路网线较密集，通达度较好。综合评价交通便捷度较好。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16"/>
      <c r="Q17" s="1263" t="str">
        <f>B17</f>
        <v>交通便捷度</v>
      </c>
      <c r="R17" s="667" t="s">
        <v>18</v>
      </c>
      <c r="S17" s="668">
        <f>F17</f>
        <v>100</v>
      </c>
      <c r="T17" s="667" t="s">
        <v>18</v>
      </c>
      <c r="U17" s="668">
        <f>H17</f>
        <v>100</v>
      </c>
      <c r="V17" s="667" t="s">
        <v>18</v>
      </c>
      <c r="W17" s="668">
        <f>J17</f>
        <v>100</v>
      </c>
      <c r="X17" s="1265"/>
      <c r="Y17" s="351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516"/>
      <c r="Q18" s="1263"/>
      <c r="R18" s="667"/>
      <c r="S18" s="668"/>
      <c r="T18" s="667"/>
      <c r="U18" s="668"/>
      <c r="V18" s="667"/>
      <c r="W18" s="668"/>
      <c r="X18" s="1265"/>
      <c r="Y18" s="3518"/>
      <c r="Z18" s="1264"/>
      <c r="AA18" s="1264">
        <v>1</v>
      </c>
      <c r="AB18" s="1264">
        <v>1</v>
      </c>
      <c r="AC18" s="1264">
        <v>1</v>
      </c>
    </row>
    <row r="19" spans="1:29" ht="256.5">
      <c r="A19" s="367"/>
      <c r="B19" s="390" t="s">
        <v>1258</v>
      </c>
      <c r="C19" s="1754" t="str">
        <f>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16"/>
      <c r="Q19" s="1263" t="str">
        <f>B19</f>
        <v>公共配套设施</v>
      </c>
      <c r="R19" s="667" t="s">
        <v>18</v>
      </c>
      <c r="S19" s="668">
        <f>F19</f>
        <v>100</v>
      </c>
      <c r="T19" s="667" t="s">
        <v>18</v>
      </c>
      <c r="U19" s="668">
        <f>H19</f>
        <v>100</v>
      </c>
      <c r="V19" s="667" t="s">
        <v>18</v>
      </c>
      <c r="W19" s="668">
        <f>J19</f>
        <v>100</v>
      </c>
      <c r="X19" s="1265"/>
      <c r="Y19" s="351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516"/>
      <c r="Q20" s="1263"/>
      <c r="R20" s="667"/>
      <c r="S20" s="668"/>
      <c r="T20" s="667"/>
      <c r="U20" s="668"/>
      <c r="V20" s="667"/>
      <c r="W20" s="668"/>
      <c r="X20" s="1265"/>
      <c r="Y20" s="3518"/>
      <c r="Z20" s="1264"/>
      <c r="AA20" s="1264">
        <v>1</v>
      </c>
      <c r="AB20" s="1264">
        <v>1</v>
      </c>
      <c r="AC20" s="1264">
        <v>1</v>
      </c>
    </row>
    <row r="21" spans="1:29" ht="42.75">
      <c r="A21" s="367"/>
      <c r="B21" s="586" t="s">
        <v>1260</v>
      </c>
      <c r="C21" s="1754"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16"/>
      <c r="Q21" s="1263" t="str">
        <f>B21</f>
        <v>基础设施水平</v>
      </c>
      <c r="R21" s="667" t="s">
        <v>14</v>
      </c>
      <c r="S21" s="668">
        <f>F21</f>
        <v>100</v>
      </c>
      <c r="T21" s="667" t="s">
        <v>14</v>
      </c>
      <c r="U21" s="668">
        <f>H21</f>
        <v>100</v>
      </c>
      <c r="V21" s="667" t="s">
        <v>14</v>
      </c>
      <c r="W21" s="668">
        <f>J21</f>
        <v>100</v>
      </c>
      <c r="X21" s="1265"/>
      <c r="Y21" s="35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516"/>
      <c r="Q22" s="1263"/>
      <c r="R22" s="667"/>
      <c r="S22" s="668"/>
      <c r="T22" s="667"/>
      <c r="U22" s="668"/>
      <c r="V22" s="667"/>
      <c r="W22" s="668"/>
      <c r="X22" s="1265"/>
      <c r="Y22" s="3518"/>
      <c r="Z22" s="1264"/>
      <c r="AA22" s="1264">
        <v>1</v>
      </c>
      <c r="AB22" s="1264">
        <v>1</v>
      </c>
      <c r="AC22" s="1264">
        <v>1</v>
      </c>
    </row>
    <row r="23" spans="1:29" ht="57">
      <c r="A23" s="367"/>
      <c r="B23" s="390" t="s">
        <v>1261</v>
      </c>
      <c r="C23" s="1754" t="str">
        <f>估价对象房地状况!C9</f>
        <v>估价对象周边有九龙花园篮球场等自然人文场所，综合评价环境状况一般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16"/>
      <c r="Q23" s="1263" t="str">
        <f>B23</f>
        <v>自然及人文环境</v>
      </c>
      <c r="R23" s="667" t="s">
        <v>18</v>
      </c>
      <c r="S23" s="668">
        <f>F23</f>
        <v>100</v>
      </c>
      <c r="T23" s="667" t="s">
        <v>18</v>
      </c>
      <c r="U23" s="668">
        <f>H23</f>
        <v>100</v>
      </c>
      <c r="V23" s="667" t="s">
        <v>18</v>
      </c>
      <c r="W23" s="668">
        <f>J23</f>
        <v>100</v>
      </c>
      <c r="X23" s="1265"/>
      <c r="Y23" s="351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516"/>
      <c r="Q24" s="1263"/>
      <c r="R24" s="667"/>
      <c r="S24" s="668"/>
      <c r="T24" s="667"/>
      <c r="U24" s="668"/>
      <c r="V24" s="667"/>
      <c r="W24" s="668"/>
      <c r="X24" s="1265"/>
      <c r="Y24" s="351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51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1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516"/>
      <c r="Q26" s="1263" t="str">
        <f t="shared" si="11"/>
        <v>朝向</v>
      </c>
      <c r="R26" s="667" t="s">
        <v>18</v>
      </c>
      <c r="S26" s="668">
        <f t="shared" si="12"/>
        <v>100</v>
      </c>
      <c r="T26" s="667" t="s">
        <v>18</v>
      </c>
      <c r="U26" s="668">
        <f t="shared" si="13"/>
        <v>100</v>
      </c>
      <c r="V26" s="667" t="s">
        <v>18</v>
      </c>
      <c r="W26" s="668">
        <f t="shared" si="14"/>
        <v>100</v>
      </c>
      <c r="X26" s="1265"/>
      <c r="Y26" s="351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516"/>
      <c r="Q27" s="530">
        <f t="shared" si="11"/>
        <v>111</v>
      </c>
      <c r="R27" s="664" t="s">
        <v>18</v>
      </c>
      <c r="S27" s="665">
        <f t="shared" si="12"/>
        <v>100</v>
      </c>
      <c r="T27" s="664" t="s">
        <v>18</v>
      </c>
      <c r="U27" s="665">
        <f t="shared" si="13"/>
        <v>100</v>
      </c>
      <c r="V27" s="664" t="s">
        <v>18</v>
      </c>
      <c r="W27" s="665">
        <f t="shared" si="14"/>
        <v>100</v>
      </c>
      <c r="X27" s="666"/>
      <c r="Y27" s="351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516"/>
      <c r="Q28" s="1263">
        <f t="shared" si="11"/>
        <v>111</v>
      </c>
      <c r="R28" s="667" t="s">
        <v>18</v>
      </c>
      <c r="S28" s="668">
        <f t="shared" si="12"/>
        <v>100</v>
      </c>
      <c r="T28" s="667" t="s">
        <v>18</v>
      </c>
      <c r="U28" s="668">
        <f t="shared" si="13"/>
        <v>100</v>
      </c>
      <c r="V28" s="667" t="s">
        <v>18</v>
      </c>
      <c r="W28" s="668">
        <f t="shared" si="14"/>
        <v>100</v>
      </c>
      <c r="X28" s="1265"/>
      <c r="Y28" s="351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516"/>
      <c r="Q29" s="1263">
        <f t="shared" si="11"/>
        <v>111</v>
      </c>
      <c r="R29" s="667" t="s">
        <v>18</v>
      </c>
      <c r="S29" s="668">
        <f t="shared" si="12"/>
        <v>100</v>
      </c>
      <c r="T29" s="667" t="s">
        <v>18</v>
      </c>
      <c r="U29" s="668">
        <f t="shared" si="13"/>
        <v>100</v>
      </c>
      <c r="V29" s="667" t="s">
        <v>18</v>
      </c>
      <c r="W29" s="668">
        <f t="shared" si="14"/>
        <v>100</v>
      </c>
      <c r="X29" s="1265"/>
      <c r="Y29" s="351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516"/>
      <c r="Q30" s="1263">
        <f t="shared" si="11"/>
        <v>111</v>
      </c>
      <c r="R30" s="667" t="s">
        <v>18</v>
      </c>
      <c r="S30" s="668">
        <f t="shared" si="12"/>
        <v>100</v>
      </c>
      <c r="T30" s="667" t="s">
        <v>18</v>
      </c>
      <c r="U30" s="668">
        <f t="shared" si="13"/>
        <v>100</v>
      </c>
      <c r="V30" s="667" t="s">
        <v>18</v>
      </c>
      <c r="W30" s="668">
        <f t="shared" si="14"/>
        <v>100</v>
      </c>
      <c r="X30" s="1265"/>
      <c r="Y30" s="351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516"/>
      <c r="Q31" s="1263">
        <f t="shared" si="11"/>
        <v>111</v>
      </c>
      <c r="R31" s="667" t="s">
        <v>18</v>
      </c>
      <c r="S31" s="668">
        <f t="shared" si="12"/>
        <v>100</v>
      </c>
      <c r="T31" s="667" t="s">
        <v>18</v>
      </c>
      <c r="U31" s="668">
        <f t="shared" si="13"/>
        <v>100</v>
      </c>
      <c r="V31" s="667" t="s">
        <v>18</v>
      </c>
      <c r="W31" s="668">
        <f t="shared" si="14"/>
        <v>100</v>
      </c>
      <c r="X31" s="1265"/>
      <c r="Y31" s="351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519" t="s">
        <v>1696</v>
      </c>
      <c r="Q32" s="1263" t="str">
        <f t="shared" si="11"/>
        <v>建筑类型</v>
      </c>
      <c r="R32" s="667" t="s">
        <v>18</v>
      </c>
      <c r="S32" s="668">
        <f t="shared" si="12"/>
        <v>100</v>
      </c>
      <c r="T32" s="667" t="s">
        <v>18</v>
      </c>
      <c r="U32" s="668">
        <f t="shared" si="13"/>
        <v>100</v>
      </c>
      <c r="V32" s="667" t="s">
        <v>18</v>
      </c>
      <c r="W32" s="668">
        <f t="shared" si="14"/>
        <v>100</v>
      </c>
      <c r="X32" s="1265"/>
      <c r="Y32" s="352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520"/>
      <c r="Q33" s="531" t="str">
        <f t="shared" si="11"/>
        <v>项目建筑规模</v>
      </c>
      <c r="R33" s="669" t="s">
        <v>18</v>
      </c>
      <c r="S33" s="670" t="e">
        <f t="shared" si="12"/>
        <v>#N/A</v>
      </c>
      <c r="T33" s="669" t="s">
        <v>18</v>
      </c>
      <c r="U33" s="670" t="e">
        <f t="shared" si="13"/>
        <v>#N/A</v>
      </c>
      <c r="V33" s="669" t="s">
        <v>18</v>
      </c>
      <c r="W33" s="670" t="e">
        <f t="shared" si="14"/>
        <v>#N/A</v>
      </c>
      <c r="X33" s="671"/>
      <c r="Y33" s="352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520"/>
      <c r="Q34" s="1263" t="str">
        <f t="shared" si="11"/>
        <v>建筑结构</v>
      </c>
      <c r="R34" s="667" t="s">
        <v>18</v>
      </c>
      <c r="S34" s="668">
        <f t="shared" si="12"/>
        <v>100</v>
      </c>
      <c r="T34" s="667" t="s">
        <v>18</v>
      </c>
      <c r="U34" s="668">
        <f t="shared" si="13"/>
        <v>100</v>
      </c>
      <c r="V34" s="667" t="s">
        <v>18</v>
      </c>
      <c r="W34" s="668">
        <f t="shared" si="14"/>
        <v>100</v>
      </c>
      <c r="X34" s="1265"/>
      <c r="Y34" s="352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520"/>
      <c r="Q35" s="1263" t="str">
        <f t="shared" si="11"/>
        <v>建筑品质</v>
      </c>
      <c r="R35" s="667" t="s">
        <v>18</v>
      </c>
      <c r="S35" s="668">
        <f t="shared" si="12"/>
        <v>100</v>
      </c>
      <c r="T35" s="667" t="s">
        <v>18</v>
      </c>
      <c r="U35" s="668">
        <f t="shared" si="13"/>
        <v>100</v>
      </c>
      <c r="V35" s="667" t="s">
        <v>18</v>
      </c>
      <c r="W35" s="668">
        <f t="shared" si="14"/>
        <v>100</v>
      </c>
      <c r="X35" s="1265"/>
      <c r="Y35" s="352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520"/>
      <c r="Q36" s="1263" t="str">
        <f t="shared" si="11"/>
        <v>公共部分装修</v>
      </c>
      <c r="R36" s="667" t="s">
        <v>18</v>
      </c>
      <c r="S36" s="668">
        <f t="shared" si="12"/>
        <v>100</v>
      </c>
      <c r="T36" s="667" t="s">
        <v>18</v>
      </c>
      <c r="U36" s="668">
        <f t="shared" si="13"/>
        <v>100</v>
      </c>
      <c r="V36" s="667" t="s">
        <v>18</v>
      </c>
      <c r="W36" s="668">
        <f t="shared" si="14"/>
        <v>100</v>
      </c>
      <c r="X36" s="1265"/>
      <c r="Y36" s="352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20"/>
      <c r="Q37" s="530" t="str">
        <f t="shared" si="11"/>
        <v>成新度</v>
      </c>
      <c r="R37" s="664" t="s">
        <v>18</v>
      </c>
      <c r="S37" s="665" t="e">
        <f t="shared" si="12"/>
        <v>#N/A</v>
      </c>
      <c r="T37" s="664" t="s">
        <v>18</v>
      </c>
      <c r="U37" s="665" t="e">
        <f t="shared" si="13"/>
        <v>#N/A</v>
      </c>
      <c r="V37" s="664" t="s">
        <v>18</v>
      </c>
      <c r="W37" s="665" t="e">
        <f t="shared" si="14"/>
        <v>#N/A</v>
      </c>
      <c r="X37" s="666"/>
      <c r="Y37" s="352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520" t="s">
        <v>1696</v>
      </c>
      <c r="Q38" s="1263" t="str">
        <f t="shared" si="11"/>
        <v>物业管理</v>
      </c>
      <c r="R38" s="667" t="s">
        <v>18</v>
      </c>
      <c r="S38" s="668">
        <f t="shared" si="12"/>
        <v>100</v>
      </c>
      <c r="T38" s="667" t="s">
        <v>18</v>
      </c>
      <c r="U38" s="668">
        <f t="shared" si="13"/>
        <v>100</v>
      </c>
      <c r="V38" s="667" t="s">
        <v>18</v>
      </c>
      <c r="W38" s="668">
        <f t="shared" si="14"/>
        <v>100</v>
      </c>
      <c r="X38" s="1265"/>
      <c r="Y38" s="352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520"/>
      <c r="Q39" s="1263" t="str">
        <f t="shared" si="11"/>
        <v>市政基础设施</v>
      </c>
      <c r="R39" s="667" t="s">
        <v>18</v>
      </c>
      <c r="S39" s="668">
        <f t="shared" si="12"/>
        <v>100</v>
      </c>
      <c r="T39" s="667" t="s">
        <v>18</v>
      </c>
      <c r="U39" s="668">
        <f t="shared" si="13"/>
        <v>100</v>
      </c>
      <c r="V39" s="667" t="s">
        <v>18</v>
      </c>
      <c r="W39" s="668">
        <f t="shared" si="14"/>
        <v>100</v>
      </c>
      <c r="X39" s="1265"/>
      <c r="Y39" s="352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520"/>
      <c r="Q40" s="1263" t="str">
        <f t="shared" si="11"/>
        <v>房型</v>
      </c>
      <c r="R40" s="667" t="s">
        <v>18</v>
      </c>
      <c r="S40" s="668">
        <f t="shared" si="12"/>
        <v>100</v>
      </c>
      <c r="T40" s="667" t="s">
        <v>18</v>
      </c>
      <c r="U40" s="668">
        <f t="shared" si="13"/>
        <v>100</v>
      </c>
      <c r="V40" s="667" t="s">
        <v>18</v>
      </c>
      <c r="W40" s="668">
        <f t="shared" si="14"/>
        <v>100</v>
      </c>
      <c r="X40" s="1265"/>
      <c r="Y40" s="352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520"/>
      <c r="Q41" s="531" t="str">
        <f t="shared" si="11"/>
        <v>单套/主力户型建筑面积</v>
      </c>
      <c r="R41" s="669" t="s">
        <v>18</v>
      </c>
      <c r="S41" s="670">
        <f t="shared" si="12"/>
        <v>100</v>
      </c>
      <c r="T41" s="669" t="s">
        <v>18</v>
      </c>
      <c r="U41" s="670">
        <f t="shared" si="13"/>
        <v>100</v>
      </c>
      <c r="V41" s="669" t="s">
        <v>18</v>
      </c>
      <c r="W41" s="670">
        <f t="shared" si="14"/>
        <v>100</v>
      </c>
      <c r="X41" s="671"/>
      <c r="Y41" s="352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520"/>
      <c r="Q42" s="1263" t="str">
        <f t="shared" si="11"/>
        <v>内部装修</v>
      </c>
      <c r="R42" s="667" t="s">
        <v>18</v>
      </c>
      <c r="S42" s="668">
        <f t="shared" si="12"/>
        <v>100</v>
      </c>
      <c r="T42" s="667" t="s">
        <v>18</v>
      </c>
      <c r="U42" s="668">
        <f t="shared" si="13"/>
        <v>100</v>
      </c>
      <c r="V42" s="667" t="s">
        <v>18</v>
      </c>
      <c r="W42" s="668">
        <f t="shared" si="14"/>
        <v>100</v>
      </c>
      <c r="X42" s="1265"/>
      <c r="Y42" s="352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520"/>
      <c r="Q43" s="1263" t="str">
        <f t="shared" si="11"/>
        <v>内部装修维护情况</v>
      </c>
      <c r="R43" s="667" t="s">
        <v>18</v>
      </c>
      <c r="S43" s="668">
        <f t="shared" si="12"/>
        <v>100</v>
      </c>
      <c r="T43" s="667" t="s">
        <v>18</v>
      </c>
      <c r="U43" s="668">
        <f t="shared" si="13"/>
        <v>100</v>
      </c>
      <c r="V43" s="667" t="s">
        <v>18</v>
      </c>
      <c r="W43" s="668">
        <f t="shared" si="14"/>
        <v>100</v>
      </c>
      <c r="X43" s="1265"/>
      <c r="Y43" s="352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520"/>
      <c r="Q44" s="530">
        <f t="shared" si="11"/>
        <v>111</v>
      </c>
      <c r="R44" s="664" t="s">
        <v>18</v>
      </c>
      <c r="S44" s="665">
        <f t="shared" si="12"/>
        <v>100</v>
      </c>
      <c r="T44" s="664" t="s">
        <v>18</v>
      </c>
      <c r="U44" s="665">
        <f t="shared" si="13"/>
        <v>100</v>
      </c>
      <c r="V44" s="664" t="s">
        <v>18</v>
      </c>
      <c r="W44" s="665">
        <f t="shared" si="14"/>
        <v>100</v>
      </c>
      <c r="X44" s="666"/>
      <c r="Y44" s="352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520"/>
      <c r="Q45" s="1263">
        <f t="shared" si="11"/>
        <v>111</v>
      </c>
      <c r="R45" s="667" t="s">
        <v>18</v>
      </c>
      <c r="S45" s="668">
        <f t="shared" si="12"/>
        <v>100</v>
      </c>
      <c r="T45" s="667" t="s">
        <v>18</v>
      </c>
      <c r="U45" s="668">
        <f t="shared" si="13"/>
        <v>100</v>
      </c>
      <c r="V45" s="667" t="s">
        <v>18</v>
      </c>
      <c r="W45" s="668">
        <f t="shared" si="14"/>
        <v>100</v>
      </c>
      <c r="X45" s="1265"/>
      <c r="Y45" s="352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521"/>
      <c r="Q46" s="1263">
        <f t="shared" si="11"/>
        <v>111</v>
      </c>
      <c r="R46" s="667" t="s">
        <v>17</v>
      </c>
      <c r="S46" s="668">
        <f t="shared" si="12"/>
        <v>100</v>
      </c>
      <c r="T46" s="667" t="s">
        <v>17</v>
      </c>
      <c r="U46" s="668">
        <f t="shared" si="13"/>
        <v>100</v>
      </c>
      <c r="V46" s="667" t="s">
        <v>17</v>
      </c>
      <c r="W46" s="668">
        <f t="shared" si="14"/>
        <v>100</v>
      </c>
      <c r="X46" s="1265"/>
      <c r="Y46" s="352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524" t="str">
        <f>A47</f>
        <v>成交单价（元/平方米）</v>
      </c>
      <c r="Q47" s="3524"/>
      <c r="R47" s="3485">
        <f>E47</f>
        <v>0</v>
      </c>
      <c r="S47" s="3485"/>
      <c r="T47" s="3485">
        <f>G47</f>
        <v>0</v>
      </c>
      <c r="U47" s="3485"/>
      <c r="V47" s="3485">
        <f>I47</f>
        <v>0</v>
      </c>
      <c r="W47" s="348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524" t="str">
        <f>A48</f>
        <v>比较价值（元/平方米）</v>
      </c>
      <c r="Q48" s="352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525" t="str">
        <f>A49</f>
        <v>估价对象XX用房的比较价值（楼面单价，元/平方米）</v>
      </c>
      <c r="Q49" s="3526"/>
      <c r="R49" s="3527" t="e">
        <f>IF(F1="售价",ROUND(IF(D48="简单平均",AVERAGE(R48:V48),R48*F48+T48*H48+V48*J48),0),ROUND(IF(D48="简单平均",AVERAGE(R48:V48),R48*F48+T48*H48+V48*J48),1))</f>
        <v>#DIV/0!</v>
      </c>
      <c r="S49" s="3527"/>
      <c r="T49" s="3527"/>
      <c r="U49" s="3527"/>
      <c r="V49" s="3527"/>
      <c r="W49" s="352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2023-11</v>
      </c>
      <c r="D58" s="1104">
        <f>EDATE(C58,-1)</f>
        <v>45200</v>
      </c>
      <c r="E58" s="1104">
        <f>EDATE(D58,-1)</f>
        <v>45170</v>
      </c>
      <c r="F58" s="1104">
        <f t="shared" ref="F58:O58" si="19">EDATE(E58,-1)</f>
        <v>45139</v>
      </c>
      <c r="G58" s="1104">
        <f t="shared" si="19"/>
        <v>45108</v>
      </c>
      <c r="H58" s="1104">
        <f t="shared" si="19"/>
        <v>45078</v>
      </c>
      <c r="I58" s="1104">
        <f t="shared" si="19"/>
        <v>45047</v>
      </c>
      <c r="J58" s="1104">
        <f t="shared" si="19"/>
        <v>45017</v>
      </c>
      <c r="K58" s="1104">
        <f t="shared" si="19"/>
        <v>44986</v>
      </c>
      <c r="L58" s="1104">
        <f t="shared" si="19"/>
        <v>44958</v>
      </c>
      <c r="M58" s="1104">
        <f t="shared" si="19"/>
        <v>44927</v>
      </c>
      <c r="N58" s="1104">
        <f t="shared" si="19"/>
        <v>44896</v>
      </c>
      <c r="O58" s="1104">
        <f t="shared" si="19"/>
        <v>44866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估价对象为北京市房地产，为所有。根据《国有土地使用证》[]，估价对象（分摊）出让国有建设用地使用权面积为0平方米，建筑面积为278.87平方米。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估价对象为北京市房地产,属开发建设的，该项目尚在开发建设中。根据《国有土地使用证》[]，估价对象（分摊）出让国有建设用地使用权面积为0平方米，规划建筑面积为278.87平方米。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2023年11月24日（评估专业人员实地查勘之日）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278.87</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02" t="s">
        <v>1770</v>
      </c>
      <c r="D4" s="3503"/>
      <c r="E4" s="3504" t="s">
        <v>1771</v>
      </c>
      <c r="F4" s="3505"/>
      <c r="G4" s="3502" t="s">
        <v>1772</v>
      </c>
      <c r="H4" s="3503"/>
      <c r="I4" s="3502" t="s">
        <v>1773</v>
      </c>
      <c r="J4" s="3503"/>
      <c r="K4" s="537" t="s">
        <v>1774</v>
      </c>
      <c r="L4" s="2486"/>
      <c r="M4" s="2487"/>
      <c r="N4" s="2487"/>
      <c r="O4" s="2487"/>
      <c r="P4" s="3561" t="s">
        <v>1775</v>
      </c>
      <c r="Q4" s="3562"/>
      <c r="R4" s="3556" t="s">
        <v>1771</v>
      </c>
      <c r="S4" s="3557"/>
      <c r="T4" s="3556" t="s">
        <v>1772</v>
      </c>
      <c r="U4" s="3557"/>
      <c r="V4" s="3565" t="s">
        <v>1773</v>
      </c>
      <c r="W4" s="3565"/>
      <c r="X4" s="1809"/>
      <c r="Y4" s="3556" t="s">
        <v>1775</v>
      </c>
      <c r="Z4" s="3557"/>
      <c r="AA4" s="3555" t="s">
        <v>1771</v>
      </c>
      <c r="AB4" s="3555" t="s">
        <v>1772</v>
      </c>
      <c r="AC4" s="3558" t="s">
        <v>1773</v>
      </c>
    </row>
    <row r="5" spans="1:29" ht="15">
      <c r="A5" s="348"/>
      <c r="B5" s="349"/>
      <c r="C5" s="3498" t="s">
        <v>1673</v>
      </c>
      <c r="D5" s="3495"/>
      <c r="E5" s="3554" t="s">
        <v>1674</v>
      </c>
      <c r="F5" s="3493"/>
      <c r="G5" s="3498" t="s">
        <v>1675</v>
      </c>
      <c r="H5" s="3495"/>
      <c r="I5" s="3498" t="s">
        <v>1676</v>
      </c>
      <c r="J5" s="3495"/>
      <c r="K5" s="537"/>
      <c r="L5" s="2486"/>
      <c r="M5" s="2487"/>
      <c r="N5" s="2487"/>
      <c r="O5" s="2487"/>
      <c r="P5" s="3563"/>
      <c r="Q5" s="3509"/>
      <c r="R5" s="3490"/>
      <c r="S5" s="3491"/>
      <c r="T5" s="3490"/>
      <c r="U5" s="3491"/>
      <c r="V5" s="3485"/>
      <c r="W5" s="3485"/>
      <c r="X5" s="1265"/>
      <c r="Y5" s="3490"/>
      <c r="Z5" s="3491"/>
      <c r="AA5" s="3483"/>
      <c r="AB5" s="3483"/>
      <c r="AC5" s="3559"/>
    </row>
    <row r="6" spans="1:29" ht="15.75" thickBot="1">
      <c r="A6" s="350"/>
      <c r="B6" s="351"/>
      <c r="C6" s="3496" t="s">
        <v>1677</v>
      </c>
      <c r="D6" s="3497"/>
      <c r="E6" s="3499" t="s">
        <v>1677</v>
      </c>
      <c r="F6" s="3500"/>
      <c r="G6" s="3496" t="s">
        <v>1677</v>
      </c>
      <c r="H6" s="3497"/>
      <c r="I6" s="3496" t="s">
        <v>1677</v>
      </c>
      <c r="J6" s="3497"/>
      <c r="K6" s="537" t="s">
        <v>1678</v>
      </c>
      <c r="L6" s="2486"/>
      <c r="M6" s="2487"/>
      <c r="N6" s="2487"/>
      <c r="O6" s="2487"/>
      <c r="P6" s="3564"/>
      <c r="Q6" s="3511"/>
      <c r="R6" s="3490"/>
      <c r="S6" s="3491"/>
      <c r="T6" s="3512"/>
      <c r="U6" s="3513"/>
      <c r="V6" s="3485"/>
      <c r="W6" s="3485"/>
      <c r="X6" s="1265"/>
      <c r="Y6" s="3512"/>
      <c r="Z6" s="3513"/>
      <c r="AA6" s="3484"/>
      <c r="AB6" s="3484"/>
      <c r="AC6" s="3560"/>
    </row>
    <row r="7" spans="1:29" s="102" customFormat="1" ht="15.75" thickBot="1">
      <c r="A7" s="352" t="s">
        <v>1679</v>
      </c>
      <c r="B7" s="353"/>
      <c r="C7" s="354">
        <f>'数据-取费表'!B2</f>
        <v>45254</v>
      </c>
      <c r="D7" s="355">
        <v>100</v>
      </c>
      <c r="E7" s="356"/>
      <c r="F7" s="357">
        <f>SUMIF(59:59,YEAR(E7)&amp;"-"&amp;MONTH(E7),60:60)</f>
        <v>0</v>
      </c>
      <c r="G7" s="356"/>
      <c r="H7" s="355">
        <f>SUMIF(59:59,YEAR(G7)&amp;"-"&amp;MONTH(G7),60:60)</f>
        <v>0</v>
      </c>
      <c r="I7" s="356"/>
      <c r="J7" s="355">
        <f>SUMIF(59:59,YEAR(I7)&amp;"-"&amp;MONTH(I7),60:60)</f>
        <v>0</v>
      </c>
      <c r="K7" s="38"/>
      <c r="L7" s="2488"/>
      <c r="M7" s="2439"/>
      <c r="N7" s="2439"/>
      <c r="O7" s="2439"/>
      <c r="P7" s="3566" t="s">
        <v>1680</v>
      </c>
      <c r="Q7" s="3514"/>
      <c r="R7" s="664" t="s">
        <v>14</v>
      </c>
      <c r="S7" s="665">
        <f t="shared" ref="S7:S15" si="0">F7</f>
        <v>0</v>
      </c>
      <c r="T7" s="664" t="s">
        <v>14</v>
      </c>
      <c r="U7" s="665">
        <f t="shared" ref="U7:U15" si="1">H7</f>
        <v>0</v>
      </c>
      <c r="V7" s="664" t="s">
        <v>14</v>
      </c>
      <c r="W7" s="665">
        <f t="shared" ref="W7:W15" si="2">J7</f>
        <v>0</v>
      </c>
      <c r="X7" s="666"/>
      <c r="Y7" s="3486" t="s">
        <v>1680</v>
      </c>
      <c r="Z7" s="348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66" t="s">
        <v>1683</v>
      </c>
      <c r="Q8" s="3487"/>
      <c r="R8" s="664" t="s">
        <v>14</v>
      </c>
      <c r="S8" s="665">
        <f t="shared" si="0"/>
        <v>100</v>
      </c>
      <c r="T8" s="664" t="s">
        <v>14</v>
      </c>
      <c r="U8" s="665">
        <f t="shared" si="1"/>
        <v>100</v>
      </c>
      <c r="V8" s="664" t="s">
        <v>14</v>
      </c>
      <c r="W8" s="665">
        <f t="shared" si="2"/>
        <v>100</v>
      </c>
      <c r="X8" s="666"/>
      <c r="Y8" s="3486" t="s">
        <v>1683</v>
      </c>
      <c r="Z8" s="348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01" t="s">
        <v>1686</v>
      </c>
      <c r="Q9" s="530" t="str">
        <f t="shared" ref="Q9:Q15" si="6">B9</f>
        <v>用途</v>
      </c>
      <c r="R9" s="664" t="s">
        <v>14</v>
      </c>
      <c r="S9" s="665">
        <f t="shared" si="0"/>
        <v>100</v>
      </c>
      <c r="T9" s="664" t="s">
        <v>14</v>
      </c>
      <c r="U9" s="665">
        <f t="shared" si="1"/>
        <v>100</v>
      </c>
      <c r="V9" s="664" t="s">
        <v>14</v>
      </c>
      <c r="W9" s="665">
        <f t="shared" si="2"/>
        <v>100</v>
      </c>
      <c r="X9" s="666"/>
      <c r="Y9" s="3414"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01"/>
      <c r="Q10" s="530" t="str">
        <f t="shared" si="6"/>
        <v>土地使用年限（年）</v>
      </c>
      <c r="R10" s="664" t="s">
        <v>14</v>
      </c>
      <c r="S10" s="665">
        <f t="shared" si="0"/>
        <v>100</v>
      </c>
      <c r="T10" s="664" t="s">
        <v>14</v>
      </c>
      <c r="U10" s="665">
        <f t="shared" si="1"/>
        <v>100</v>
      </c>
      <c r="V10" s="664" t="s">
        <v>14</v>
      </c>
      <c r="W10" s="665">
        <f t="shared" si="2"/>
        <v>100</v>
      </c>
      <c r="X10" s="666"/>
      <c r="Y10" s="341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01"/>
      <c r="Q11" s="530" t="str">
        <f t="shared" si="6"/>
        <v>容积率</v>
      </c>
      <c r="R11" s="664" t="s">
        <v>14</v>
      </c>
      <c r="S11" s="665">
        <f t="shared" si="0"/>
        <v>100</v>
      </c>
      <c r="T11" s="664" t="s">
        <v>14</v>
      </c>
      <c r="U11" s="665">
        <f t="shared" si="1"/>
        <v>100</v>
      </c>
      <c r="V11" s="664" t="s">
        <v>14</v>
      </c>
      <c r="W11" s="665">
        <f t="shared" si="2"/>
        <v>100</v>
      </c>
      <c r="X11" s="666"/>
      <c r="Y11" s="341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01"/>
      <c r="Q12" s="530">
        <f t="shared" si="6"/>
        <v>111</v>
      </c>
      <c r="R12" s="664" t="s">
        <v>14</v>
      </c>
      <c r="S12" s="665">
        <f t="shared" si="0"/>
        <v>100</v>
      </c>
      <c r="T12" s="664" t="s">
        <v>14</v>
      </c>
      <c r="U12" s="665">
        <f t="shared" si="1"/>
        <v>100</v>
      </c>
      <c r="V12" s="664" t="s">
        <v>14</v>
      </c>
      <c r="W12" s="665">
        <f t="shared" si="2"/>
        <v>100</v>
      </c>
      <c r="X12" s="666"/>
      <c r="Y12" s="341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01"/>
      <c r="Q13" s="530">
        <f t="shared" si="6"/>
        <v>111</v>
      </c>
      <c r="R13" s="664" t="s">
        <v>14</v>
      </c>
      <c r="S13" s="665">
        <f t="shared" si="0"/>
        <v>100</v>
      </c>
      <c r="T13" s="664" t="s">
        <v>14</v>
      </c>
      <c r="U13" s="665">
        <f t="shared" si="1"/>
        <v>100</v>
      </c>
      <c r="V13" s="664" t="s">
        <v>14</v>
      </c>
      <c r="W13" s="665">
        <f t="shared" si="2"/>
        <v>100</v>
      </c>
      <c r="X13" s="666"/>
      <c r="Y13" s="341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01"/>
      <c r="Q14" s="530">
        <f t="shared" si="6"/>
        <v>111</v>
      </c>
      <c r="R14" s="664" t="s">
        <v>14</v>
      </c>
      <c r="S14" s="665">
        <f t="shared" si="0"/>
        <v>100</v>
      </c>
      <c r="T14" s="664" t="s">
        <v>14</v>
      </c>
      <c r="U14" s="665">
        <f t="shared" si="1"/>
        <v>100</v>
      </c>
      <c r="V14" s="664" t="s">
        <v>14</v>
      </c>
      <c r="W14" s="665">
        <f t="shared" si="2"/>
        <v>100</v>
      </c>
      <c r="X14" s="666"/>
      <c r="Y14" s="3414"/>
      <c r="Z14" s="50">
        <f t="shared" si="7"/>
        <v>111</v>
      </c>
      <c r="AA14" s="50">
        <f t="shared" si="3"/>
        <v>1</v>
      </c>
      <c r="AB14" s="50">
        <f t="shared" si="4"/>
        <v>1</v>
      </c>
      <c r="AC14" s="802">
        <f t="shared" si="5"/>
        <v>1</v>
      </c>
    </row>
    <row r="15" spans="1:29" ht="57">
      <c r="A15" s="379" t="s">
        <v>1690</v>
      </c>
      <c r="B15" s="554" t="s">
        <v>1811</v>
      </c>
      <c r="C15" s="1811" t="str">
        <f>估价对象房地状况!C5</f>
        <v>估价对象位于双井商圈，周边办公楼项目较少，办公集聚程度一般</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15" t="s">
        <v>1691</v>
      </c>
      <c r="Q15" s="1263" t="str">
        <f t="shared" si="6"/>
        <v>办公集聚程度</v>
      </c>
      <c r="R15" s="667" t="s">
        <v>14</v>
      </c>
      <c r="S15" s="668">
        <f t="shared" si="0"/>
        <v>100</v>
      </c>
      <c r="T15" s="667" t="s">
        <v>14</v>
      </c>
      <c r="U15" s="668">
        <f t="shared" si="1"/>
        <v>100</v>
      </c>
      <c r="V15" s="667" t="s">
        <v>14</v>
      </c>
      <c r="W15" s="668">
        <f t="shared" si="2"/>
        <v>100</v>
      </c>
      <c r="X15" s="1265"/>
      <c r="Y15" s="351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516"/>
      <c r="Q16" s="1263"/>
      <c r="R16" s="667"/>
      <c r="S16" s="668"/>
      <c r="T16" s="667"/>
      <c r="U16" s="668"/>
      <c r="V16" s="667"/>
      <c r="W16" s="668"/>
      <c r="X16" s="1265"/>
      <c r="Y16" s="3518"/>
      <c r="Z16" s="1264"/>
      <c r="AA16" s="1264">
        <v>1</v>
      </c>
      <c r="AB16" s="1264">
        <v>1</v>
      </c>
      <c r="AC16" s="1812">
        <v>1</v>
      </c>
    </row>
    <row r="17" spans="1:29" ht="142.5">
      <c r="A17" s="367"/>
      <c r="B17" s="556" t="s">
        <v>1259</v>
      </c>
      <c r="C17" s="1813" t="str">
        <f>估价对象房地状况!C6</f>
        <v>估价对象周边有专10路、23路、54路、91路、312路等多条公交线路，距离地铁7、10号线双井站约600米，周边道路网线较密集，通达度较好。综合评价交通便捷度较好。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16"/>
      <c r="Q17" s="1263" t="str">
        <f>B17</f>
        <v>交通便捷度</v>
      </c>
      <c r="R17" s="667" t="s">
        <v>14</v>
      </c>
      <c r="S17" s="668">
        <f>F17</f>
        <v>100</v>
      </c>
      <c r="T17" s="667" t="s">
        <v>14</v>
      </c>
      <c r="U17" s="668">
        <f>H17</f>
        <v>100</v>
      </c>
      <c r="V17" s="667" t="s">
        <v>14</v>
      </c>
      <c r="W17" s="668">
        <f>J17</f>
        <v>100</v>
      </c>
      <c r="X17" s="1265"/>
      <c r="Y17" s="351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516"/>
      <c r="Q18" s="1263"/>
      <c r="R18" s="667"/>
      <c r="S18" s="668"/>
      <c r="T18" s="667"/>
      <c r="U18" s="668"/>
      <c r="V18" s="667"/>
      <c r="W18" s="668"/>
      <c r="X18" s="1265"/>
      <c r="Y18" s="3518"/>
      <c r="Z18" s="1264"/>
      <c r="AA18" s="1264">
        <v>1</v>
      </c>
      <c r="AB18" s="1264">
        <v>1</v>
      </c>
      <c r="AC18" s="1812">
        <v>1</v>
      </c>
    </row>
    <row r="19" spans="1:29" ht="256.5">
      <c r="A19" s="367"/>
      <c r="B19" s="556" t="s">
        <v>1812</v>
      </c>
      <c r="C19" s="1813" t="str">
        <f>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16"/>
      <c r="Q19" s="1263" t="str">
        <f>B19</f>
        <v>公共配套设施</v>
      </c>
      <c r="R19" s="667" t="s">
        <v>14</v>
      </c>
      <c r="S19" s="668">
        <f>F19</f>
        <v>100</v>
      </c>
      <c r="T19" s="667" t="s">
        <v>14</v>
      </c>
      <c r="U19" s="668">
        <f>H19</f>
        <v>100</v>
      </c>
      <c r="V19" s="667" t="s">
        <v>14</v>
      </c>
      <c r="W19" s="668">
        <f>J19</f>
        <v>100</v>
      </c>
      <c r="X19" s="1265"/>
      <c r="Y19" s="351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516"/>
      <c r="Q20" s="1263"/>
      <c r="R20" s="667"/>
      <c r="S20" s="668"/>
      <c r="T20" s="667"/>
      <c r="U20" s="668"/>
      <c r="V20" s="667"/>
      <c r="W20" s="668"/>
      <c r="X20" s="1265"/>
      <c r="Y20" s="3518"/>
      <c r="Z20" s="1264"/>
      <c r="AA20" s="1264">
        <v>1</v>
      </c>
      <c r="AB20" s="1264">
        <v>1</v>
      </c>
      <c r="AC20" s="1812">
        <v>1</v>
      </c>
    </row>
    <row r="21" spans="1:29" ht="42.75">
      <c r="A21" s="367"/>
      <c r="B21" s="557" t="s">
        <v>1813</v>
      </c>
      <c r="C21" s="1813" t="str">
        <f>估价对象房地状况!C8</f>
        <v>估价对象所在区域基础设施水平-七通</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16"/>
      <c r="Q21" s="1263" t="str">
        <f>B21</f>
        <v>基础设施水平</v>
      </c>
      <c r="R21" s="667" t="s">
        <v>14</v>
      </c>
      <c r="S21" s="668">
        <f>F21</f>
        <v>100</v>
      </c>
      <c r="T21" s="667" t="s">
        <v>14</v>
      </c>
      <c r="U21" s="668">
        <f>H21</f>
        <v>100</v>
      </c>
      <c r="V21" s="667" t="s">
        <v>14</v>
      </c>
      <c r="W21" s="668">
        <f>J21</f>
        <v>100</v>
      </c>
      <c r="X21" s="1265"/>
      <c r="Y21" s="351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516"/>
      <c r="Q22" s="1263"/>
      <c r="R22" s="667"/>
      <c r="S22" s="668"/>
      <c r="T22" s="667"/>
      <c r="U22" s="668"/>
      <c r="V22" s="667"/>
      <c r="W22" s="668"/>
      <c r="X22" s="1265"/>
      <c r="Y22" s="3518"/>
      <c r="Z22" s="1264"/>
      <c r="AA22" s="1264">
        <v>1</v>
      </c>
      <c r="AB22" s="1264">
        <v>1</v>
      </c>
      <c r="AC22" s="1812">
        <v>1</v>
      </c>
    </row>
    <row r="23" spans="1:29" ht="57">
      <c r="A23" s="367"/>
      <c r="B23" s="556" t="s">
        <v>1814</v>
      </c>
      <c r="C23" s="1813" t="str">
        <f>估价对象房地状况!C9</f>
        <v>估价对象周边有九龙花园篮球场等自然人文场所，综合评价环境状况一般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16"/>
      <c r="Q23" s="1263" t="str">
        <f>B23</f>
        <v>环境质量</v>
      </c>
      <c r="R23" s="667" t="s">
        <v>14</v>
      </c>
      <c r="S23" s="668">
        <f>F23</f>
        <v>100</v>
      </c>
      <c r="T23" s="667" t="s">
        <v>14</v>
      </c>
      <c r="U23" s="668">
        <f>H23</f>
        <v>100</v>
      </c>
      <c r="V23" s="667" t="s">
        <v>14</v>
      </c>
      <c r="W23" s="668">
        <f>J23</f>
        <v>100</v>
      </c>
      <c r="X23" s="1265"/>
      <c r="Y23" s="351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516"/>
      <c r="Q24" s="1263"/>
      <c r="R24" s="667"/>
      <c r="S24" s="668"/>
      <c r="T24" s="667"/>
      <c r="U24" s="668"/>
      <c r="V24" s="667"/>
      <c r="W24" s="668"/>
      <c r="X24" s="1265"/>
      <c r="Y24" s="351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516"/>
      <c r="Q25" s="1263" t="str">
        <f>B25</f>
        <v>毗邻道路的类型与等级</v>
      </c>
      <c r="R25" s="667" t="s">
        <v>14</v>
      </c>
      <c r="S25" s="668">
        <f>F25</f>
        <v>100</v>
      </c>
      <c r="T25" s="667" t="s">
        <v>14</v>
      </c>
      <c r="U25" s="668">
        <f>H25</f>
        <v>100</v>
      </c>
      <c r="V25" s="667" t="s">
        <v>14</v>
      </c>
      <c r="W25" s="668">
        <f>J25</f>
        <v>100</v>
      </c>
      <c r="X25" s="1265"/>
      <c r="Y25" s="351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516"/>
      <c r="Q26" s="1263"/>
      <c r="R26" s="667"/>
      <c r="S26" s="668"/>
      <c r="T26" s="667"/>
      <c r="U26" s="668"/>
      <c r="V26" s="667"/>
      <c r="W26" s="668"/>
      <c r="X26" s="1265"/>
      <c r="Y26" s="351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516"/>
      <c r="Q27" s="1263" t="str">
        <f t="shared" ref="Q27:Q47" si="11">B27</f>
        <v>楼层</v>
      </c>
      <c r="R27" s="667" t="s">
        <v>14</v>
      </c>
      <c r="S27" s="668">
        <f>F27</f>
        <v>100</v>
      </c>
      <c r="T27" s="667" t="s">
        <v>14</v>
      </c>
      <c r="U27" s="668">
        <f>H27</f>
        <v>100</v>
      </c>
      <c r="V27" s="667" t="s">
        <v>14</v>
      </c>
      <c r="W27" s="668">
        <f>J27</f>
        <v>100</v>
      </c>
      <c r="X27" s="1265"/>
      <c r="Y27" s="351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516"/>
      <c r="Q28" s="530" t="str">
        <f t="shared" si="11"/>
        <v>朝向</v>
      </c>
      <c r="R28" s="664" t="s">
        <v>14</v>
      </c>
      <c r="S28" s="665">
        <f>F28</f>
        <v>100</v>
      </c>
      <c r="T28" s="664" t="s">
        <v>14</v>
      </c>
      <c r="U28" s="665">
        <f>H28</f>
        <v>100</v>
      </c>
      <c r="V28" s="664" t="s">
        <v>14</v>
      </c>
      <c r="W28" s="665">
        <f>J28</f>
        <v>100</v>
      </c>
      <c r="X28" s="666"/>
      <c r="Y28" s="351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516"/>
      <c r="Q29" s="1263">
        <f t="shared" si="11"/>
        <v>111</v>
      </c>
      <c r="R29" s="667" t="s">
        <v>14</v>
      </c>
      <c r="S29" s="668">
        <f t="shared" ref="S29:S47" si="12">F29</f>
        <v>100</v>
      </c>
      <c r="T29" s="667" t="s">
        <v>14</v>
      </c>
      <c r="U29" s="668">
        <f t="shared" ref="U29:U47" si="13">H29</f>
        <v>100</v>
      </c>
      <c r="V29" s="667" t="s">
        <v>14</v>
      </c>
      <c r="W29" s="668">
        <f t="shared" ref="W29:W47" si="14">J29</f>
        <v>100</v>
      </c>
      <c r="X29" s="1265"/>
      <c r="Y29" s="351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516"/>
      <c r="Q30" s="1263">
        <f t="shared" si="11"/>
        <v>111</v>
      </c>
      <c r="R30" s="667" t="s">
        <v>14</v>
      </c>
      <c r="S30" s="668">
        <f t="shared" si="12"/>
        <v>100</v>
      </c>
      <c r="T30" s="667" t="s">
        <v>14</v>
      </c>
      <c r="U30" s="668">
        <f t="shared" si="13"/>
        <v>100</v>
      </c>
      <c r="V30" s="667" t="s">
        <v>14</v>
      </c>
      <c r="W30" s="668">
        <f t="shared" si="14"/>
        <v>100</v>
      </c>
      <c r="X30" s="1265"/>
      <c r="Y30" s="351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516"/>
      <c r="Q31" s="1263">
        <f t="shared" si="11"/>
        <v>111</v>
      </c>
      <c r="R31" s="667" t="s">
        <v>14</v>
      </c>
      <c r="S31" s="668">
        <f t="shared" si="12"/>
        <v>100</v>
      </c>
      <c r="T31" s="667" t="s">
        <v>14</v>
      </c>
      <c r="U31" s="668">
        <f t="shared" si="13"/>
        <v>100</v>
      </c>
      <c r="V31" s="667" t="s">
        <v>14</v>
      </c>
      <c r="W31" s="668">
        <f t="shared" si="14"/>
        <v>100</v>
      </c>
      <c r="X31" s="1265"/>
      <c r="Y31" s="351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516"/>
      <c r="Q32" s="1263">
        <f t="shared" si="11"/>
        <v>111</v>
      </c>
      <c r="R32" s="667" t="s">
        <v>14</v>
      </c>
      <c r="S32" s="668">
        <f t="shared" si="12"/>
        <v>100</v>
      </c>
      <c r="T32" s="667" t="s">
        <v>14</v>
      </c>
      <c r="U32" s="668">
        <f t="shared" si="13"/>
        <v>100</v>
      </c>
      <c r="V32" s="667" t="s">
        <v>14</v>
      </c>
      <c r="W32" s="668">
        <f t="shared" si="14"/>
        <v>100</v>
      </c>
      <c r="X32" s="1265"/>
      <c r="Y32" s="351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519" t="s">
        <v>1696</v>
      </c>
      <c r="Q33" s="1263" t="str">
        <f t="shared" si="11"/>
        <v>建筑类型</v>
      </c>
      <c r="R33" s="667" t="s">
        <v>14</v>
      </c>
      <c r="S33" s="668">
        <f t="shared" si="12"/>
        <v>100</v>
      </c>
      <c r="T33" s="667" t="s">
        <v>14</v>
      </c>
      <c r="U33" s="668">
        <f t="shared" si="13"/>
        <v>100</v>
      </c>
      <c r="V33" s="667" t="s">
        <v>14</v>
      </c>
      <c r="W33" s="668">
        <f t="shared" si="14"/>
        <v>100</v>
      </c>
      <c r="X33" s="1265"/>
      <c r="Y33" s="352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20"/>
      <c r="Q34" s="531" t="str">
        <f t="shared" si="11"/>
        <v>项目建筑规模</v>
      </c>
      <c r="R34" s="669" t="s">
        <v>14</v>
      </c>
      <c r="S34" s="670" t="e">
        <f t="shared" si="12"/>
        <v>#N/A</v>
      </c>
      <c r="T34" s="669" t="s">
        <v>14</v>
      </c>
      <c r="U34" s="670" t="e">
        <f t="shared" si="13"/>
        <v>#N/A</v>
      </c>
      <c r="V34" s="669" t="s">
        <v>14</v>
      </c>
      <c r="W34" s="670" t="e">
        <f t="shared" si="14"/>
        <v>#N/A</v>
      </c>
      <c r="X34" s="671"/>
      <c r="Y34" s="352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20"/>
      <c r="Q35" s="1263" t="str">
        <f t="shared" si="11"/>
        <v>建筑结构</v>
      </c>
      <c r="R35" s="667" t="s">
        <v>14</v>
      </c>
      <c r="S35" s="668">
        <f t="shared" si="12"/>
        <v>100</v>
      </c>
      <c r="T35" s="667" t="s">
        <v>14</v>
      </c>
      <c r="U35" s="668">
        <f t="shared" si="13"/>
        <v>100</v>
      </c>
      <c r="V35" s="667" t="s">
        <v>14</v>
      </c>
      <c r="W35" s="668">
        <f t="shared" si="14"/>
        <v>100</v>
      </c>
      <c r="X35" s="1265"/>
      <c r="Y35" s="352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20"/>
      <c r="Q36" s="1263" t="str">
        <f t="shared" si="11"/>
        <v>公共部分装修</v>
      </c>
      <c r="R36" s="667" t="s">
        <v>14</v>
      </c>
      <c r="S36" s="668">
        <f t="shared" si="12"/>
        <v>100</v>
      </c>
      <c r="T36" s="667" t="s">
        <v>14</v>
      </c>
      <c r="U36" s="668">
        <f t="shared" si="13"/>
        <v>100</v>
      </c>
      <c r="V36" s="667" t="s">
        <v>14</v>
      </c>
      <c r="W36" s="668">
        <f t="shared" si="14"/>
        <v>100</v>
      </c>
      <c r="X36" s="1265"/>
      <c r="Y36" s="352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20"/>
      <c r="Q37" s="1263" t="str">
        <f t="shared" si="11"/>
        <v>成新度</v>
      </c>
      <c r="R37" s="667" t="s">
        <v>14</v>
      </c>
      <c r="S37" s="668" t="e">
        <f t="shared" si="12"/>
        <v>#N/A</v>
      </c>
      <c r="T37" s="667" t="s">
        <v>14</v>
      </c>
      <c r="U37" s="668" t="e">
        <f t="shared" si="13"/>
        <v>#N/A</v>
      </c>
      <c r="V37" s="667" t="s">
        <v>14</v>
      </c>
      <c r="W37" s="668" t="e">
        <f t="shared" si="14"/>
        <v>#N/A</v>
      </c>
      <c r="X37" s="1265"/>
      <c r="Y37" s="352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20"/>
      <c r="Q38" s="530" t="str">
        <f t="shared" si="11"/>
        <v>写字楼等级</v>
      </c>
      <c r="R38" s="664" t="s">
        <v>14</v>
      </c>
      <c r="S38" s="665">
        <f t="shared" si="12"/>
        <v>100</v>
      </c>
      <c r="T38" s="664" t="s">
        <v>14</v>
      </c>
      <c r="U38" s="665">
        <f t="shared" si="13"/>
        <v>100</v>
      </c>
      <c r="V38" s="664" t="s">
        <v>14</v>
      </c>
      <c r="W38" s="665">
        <f t="shared" si="14"/>
        <v>100</v>
      </c>
      <c r="X38" s="666"/>
      <c r="Y38" s="352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20" t="s">
        <v>1696</v>
      </c>
      <c r="Q39" s="1263" t="str">
        <f t="shared" si="11"/>
        <v>物业管理</v>
      </c>
      <c r="R39" s="667" t="s">
        <v>14</v>
      </c>
      <c r="S39" s="668">
        <f t="shared" si="12"/>
        <v>100</v>
      </c>
      <c r="T39" s="667" t="s">
        <v>14</v>
      </c>
      <c r="U39" s="668">
        <f t="shared" si="13"/>
        <v>100</v>
      </c>
      <c r="V39" s="667" t="s">
        <v>14</v>
      </c>
      <c r="W39" s="668">
        <f t="shared" si="14"/>
        <v>100</v>
      </c>
      <c r="X39" s="1265"/>
      <c r="Y39" s="352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20"/>
      <c r="Q40" s="1263" t="str">
        <f t="shared" si="11"/>
        <v>市政基础设施</v>
      </c>
      <c r="R40" s="667" t="s">
        <v>14</v>
      </c>
      <c r="S40" s="668">
        <f t="shared" si="12"/>
        <v>100</v>
      </c>
      <c r="T40" s="667" t="s">
        <v>14</v>
      </c>
      <c r="U40" s="668">
        <f t="shared" si="13"/>
        <v>100</v>
      </c>
      <c r="V40" s="667" t="s">
        <v>14</v>
      </c>
      <c r="W40" s="668">
        <f t="shared" si="14"/>
        <v>100</v>
      </c>
      <c r="X40" s="1265"/>
      <c r="Y40" s="352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20"/>
      <c r="Q41" s="1263" t="str">
        <f t="shared" si="11"/>
        <v>层高</v>
      </c>
      <c r="R41" s="667" t="s">
        <v>14</v>
      </c>
      <c r="S41" s="668">
        <f t="shared" si="12"/>
        <v>100</v>
      </c>
      <c r="T41" s="667" t="s">
        <v>14</v>
      </c>
      <c r="U41" s="668">
        <f t="shared" si="13"/>
        <v>100</v>
      </c>
      <c r="V41" s="667" t="s">
        <v>14</v>
      </c>
      <c r="W41" s="668">
        <f t="shared" si="14"/>
        <v>100</v>
      </c>
      <c r="X41" s="1265"/>
      <c r="Y41" s="352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20"/>
      <c r="Q42" s="531" t="str">
        <f t="shared" si="11"/>
        <v>单套建筑面积</v>
      </c>
      <c r="R42" s="669" t="s">
        <v>14</v>
      </c>
      <c r="S42" s="670">
        <f t="shared" si="12"/>
        <v>100</v>
      </c>
      <c r="T42" s="669" t="s">
        <v>14</v>
      </c>
      <c r="U42" s="670">
        <f t="shared" si="13"/>
        <v>100</v>
      </c>
      <c r="V42" s="669" t="s">
        <v>14</v>
      </c>
      <c r="W42" s="670">
        <f t="shared" si="14"/>
        <v>100</v>
      </c>
      <c r="X42" s="671"/>
      <c r="Y42" s="352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20"/>
      <c r="Q43" s="1263" t="str">
        <f t="shared" si="11"/>
        <v>内部装修</v>
      </c>
      <c r="R43" s="667" t="s">
        <v>14</v>
      </c>
      <c r="S43" s="668">
        <f t="shared" si="12"/>
        <v>100</v>
      </c>
      <c r="T43" s="667" t="s">
        <v>14</v>
      </c>
      <c r="U43" s="668">
        <f t="shared" si="13"/>
        <v>100</v>
      </c>
      <c r="V43" s="667" t="s">
        <v>14</v>
      </c>
      <c r="W43" s="668">
        <f t="shared" si="14"/>
        <v>100</v>
      </c>
      <c r="X43" s="1265"/>
      <c r="Y43" s="352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520"/>
      <c r="Q44" s="1263" t="str">
        <f t="shared" si="11"/>
        <v>内部装修维护情况</v>
      </c>
      <c r="R44" s="667" t="s">
        <v>14</v>
      </c>
      <c r="S44" s="668">
        <f t="shared" si="12"/>
        <v>100</v>
      </c>
      <c r="T44" s="667" t="s">
        <v>14</v>
      </c>
      <c r="U44" s="668">
        <f t="shared" si="13"/>
        <v>100</v>
      </c>
      <c r="V44" s="667" t="s">
        <v>14</v>
      </c>
      <c r="W44" s="668">
        <f t="shared" si="14"/>
        <v>100</v>
      </c>
      <c r="X44" s="1265"/>
      <c r="Y44" s="352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20"/>
      <c r="Q45" s="530">
        <f t="shared" si="11"/>
        <v>111</v>
      </c>
      <c r="R45" s="664" t="s">
        <v>14</v>
      </c>
      <c r="S45" s="665">
        <f t="shared" si="12"/>
        <v>100</v>
      </c>
      <c r="T45" s="664" t="s">
        <v>14</v>
      </c>
      <c r="U45" s="665">
        <f t="shared" si="13"/>
        <v>100</v>
      </c>
      <c r="V45" s="664" t="s">
        <v>14</v>
      </c>
      <c r="W45" s="665">
        <f t="shared" si="14"/>
        <v>100</v>
      </c>
      <c r="X45" s="666"/>
      <c r="Y45" s="352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20"/>
      <c r="Q46" s="1263">
        <f t="shared" si="11"/>
        <v>111</v>
      </c>
      <c r="R46" s="667" t="s">
        <v>14</v>
      </c>
      <c r="S46" s="668">
        <f t="shared" si="12"/>
        <v>100</v>
      </c>
      <c r="T46" s="667" t="s">
        <v>14</v>
      </c>
      <c r="U46" s="668">
        <f t="shared" si="13"/>
        <v>100</v>
      </c>
      <c r="V46" s="667" t="s">
        <v>14</v>
      </c>
      <c r="W46" s="668">
        <f t="shared" si="14"/>
        <v>100</v>
      </c>
      <c r="X46" s="1265"/>
      <c r="Y46" s="352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21"/>
      <c r="Q47" s="1263">
        <f t="shared" si="11"/>
        <v>111</v>
      </c>
      <c r="R47" s="667" t="s">
        <v>14</v>
      </c>
      <c r="S47" s="668">
        <f t="shared" si="12"/>
        <v>100</v>
      </c>
      <c r="T47" s="667" t="s">
        <v>14</v>
      </c>
      <c r="U47" s="668">
        <f t="shared" si="13"/>
        <v>100</v>
      </c>
      <c r="V47" s="667" t="s">
        <v>14</v>
      </c>
      <c r="W47" s="668">
        <f t="shared" si="14"/>
        <v>100</v>
      </c>
      <c r="X47" s="1265"/>
      <c r="Y47" s="352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01" t="str">
        <f>A48</f>
        <v>成交单价（元/平方米）</v>
      </c>
      <c r="Q48" s="3524"/>
      <c r="R48" s="3485">
        <f>E48</f>
        <v>0</v>
      </c>
      <c r="S48" s="3485"/>
      <c r="T48" s="3485">
        <f>G48</f>
        <v>0</v>
      </c>
      <c r="U48" s="3485"/>
      <c r="V48" s="3485">
        <f>I48</f>
        <v>0</v>
      </c>
      <c r="W48" s="348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01" t="str">
        <f>A49</f>
        <v>比较价值（元/平方米）</v>
      </c>
      <c r="Q49" s="3524"/>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67" t="str">
        <f>A50</f>
        <v>估价对象XX用房的比较价值（楼面单价，元/平方米）</v>
      </c>
      <c r="Q50" s="3568"/>
      <c r="R50" s="3569" t="e">
        <f>IF(F1="售价",ROUND(IF(D49="简单平均",AVERAGE(R49:V49),R49*F49+T49*H49+V49*J49),0),ROUND(IF(D49="简单平均",AVERAGE(R49:V49),R49*F49+T49*H49+V49*J49),1))</f>
        <v>#DIV/0!</v>
      </c>
      <c r="S50" s="3569"/>
      <c r="T50" s="3569"/>
      <c r="U50" s="3569"/>
      <c r="V50" s="3569"/>
      <c r="W50" s="356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2023-11</v>
      </c>
      <c r="D59" s="1104">
        <f>EDATE(C59,-1)</f>
        <v>45200</v>
      </c>
      <c r="E59" s="1104">
        <f>EDATE(D59,-1)</f>
        <v>45170</v>
      </c>
      <c r="F59" s="1104">
        <f t="shared" ref="F59:O59" si="16">EDATE(E59,-1)</f>
        <v>45139</v>
      </c>
      <c r="G59" s="1104">
        <f t="shared" si="16"/>
        <v>45108</v>
      </c>
      <c r="H59" s="1104">
        <f t="shared" si="16"/>
        <v>45078</v>
      </c>
      <c r="I59" s="1104">
        <f t="shared" si="16"/>
        <v>45047</v>
      </c>
      <c r="J59" s="1104">
        <f t="shared" si="16"/>
        <v>45017</v>
      </c>
      <c r="K59" s="1104">
        <f t="shared" si="16"/>
        <v>44986</v>
      </c>
      <c r="L59" s="1104">
        <f t="shared" si="16"/>
        <v>44958</v>
      </c>
      <c r="M59" s="1104">
        <f t="shared" si="16"/>
        <v>44927</v>
      </c>
      <c r="N59" s="1104">
        <f t="shared" si="16"/>
        <v>44896</v>
      </c>
      <c r="O59" s="1104">
        <f t="shared" si="16"/>
        <v>44866</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278.87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02" t="s">
        <v>1770</v>
      </c>
      <c r="D4" s="3503"/>
      <c r="E4" s="3504" t="s">
        <v>1771</v>
      </c>
      <c r="F4" s="3505"/>
      <c r="G4" s="3502" t="s">
        <v>1772</v>
      </c>
      <c r="H4" s="3503"/>
      <c r="I4" s="3502" t="s">
        <v>1773</v>
      </c>
      <c r="J4" s="3503"/>
      <c r="K4" s="537" t="s">
        <v>1774</v>
      </c>
      <c r="L4" s="860"/>
      <c r="M4" s="861"/>
      <c r="N4" s="861"/>
      <c r="O4" s="861"/>
      <c r="P4" s="3506" t="s">
        <v>1775</v>
      </c>
      <c r="Q4" s="3507"/>
      <c r="R4" s="3488" t="s">
        <v>1771</v>
      </c>
      <c r="S4" s="3489"/>
      <c r="T4" s="3488" t="s">
        <v>1772</v>
      </c>
      <c r="U4" s="3489"/>
      <c r="V4" s="3485" t="s">
        <v>1773</v>
      </c>
      <c r="W4" s="3485"/>
      <c r="X4" s="1265"/>
      <c r="Y4" s="3488" t="s">
        <v>1775</v>
      </c>
      <c r="Z4" s="3489"/>
      <c r="AA4" s="3482" t="s">
        <v>1771</v>
      </c>
      <c r="AB4" s="3483" t="s">
        <v>1772</v>
      </c>
      <c r="AC4" s="3482" t="s">
        <v>1773</v>
      </c>
    </row>
    <row r="5" spans="1:29" ht="15">
      <c r="A5" s="348"/>
      <c r="B5" s="349"/>
      <c r="C5" s="3498" t="s">
        <v>1673</v>
      </c>
      <c r="D5" s="3495"/>
      <c r="E5" s="3554" t="s">
        <v>1674</v>
      </c>
      <c r="F5" s="3493"/>
      <c r="G5" s="3498" t="s">
        <v>1675</v>
      </c>
      <c r="H5" s="3495"/>
      <c r="I5" s="3498" t="s">
        <v>1676</v>
      </c>
      <c r="J5" s="3495"/>
      <c r="K5" s="537"/>
      <c r="L5" s="860"/>
      <c r="M5" s="861"/>
      <c r="N5" s="861"/>
      <c r="O5" s="861"/>
      <c r="P5" s="3508"/>
      <c r="Q5" s="3509"/>
      <c r="R5" s="3490"/>
      <c r="S5" s="3491"/>
      <c r="T5" s="3490"/>
      <c r="U5" s="3491"/>
      <c r="V5" s="3485"/>
      <c r="W5" s="3485"/>
      <c r="X5" s="1265"/>
      <c r="Y5" s="3490"/>
      <c r="Z5" s="3491"/>
      <c r="AA5" s="3483"/>
      <c r="AB5" s="3483"/>
      <c r="AC5" s="3483"/>
    </row>
    <row r="6" spans="1:29" ht="15.75" thickBot="1">
      <c r="A6" s="350"/>
      <c r="B6" s="351"/>
      <c r="C6" s="3496" t="s">
        <v>1677</v>
      </c>
      <c r="D6" s="3497"/>
      <c r="E6" s="3499" t="s">
        <v>1677</v>
      </c>
      <c r="F6" s="3500"/>
      <c r="G6" s="3496" t="s">
        <v>1677</v>
      </c>
      <c r="H6" s="3497"/>
      <c r="I6" s="3496" t="s">
        <v>1677</v>
      </c>
      <c r="J6" s="3497"/>
      <c r="K6" s="537" t="s">
        <v>1678</v>
      </c>
      <c r="L6" s="860"/>
      <c r="M6" s="861"/>
      <c r="N6" s="861"/>
      <c r="O6" s="861"/>
      <c r="P6" s="3510"/>
      <c r="Q6" s="3511"/>
      <c r="R6" s="3490"/>
      <c r="S6" s="3491"/>
      <c r="T6" s="3512"/>
      <c r="U6" s="3513"/>
      <c r="V6" s="3485"/>
      <c r="W6" s="3485"/>
      <c r="X6" s="1265"/>
      <c r="Y6" s="3512"/>
      <c r="Z6" s="3513"/>
      <c r="AA6" s="3484"/>
      <c r="AB6" s="3484"/>
      <c r="AC6" s="3484"/>
    </row>
    <row r="7" spans="1:29" s="102" customFormat="1" ht="15.75" thickBot="1">
      <c r="A7" s="352" t="s">
        <v>1679</v>
      </c>
      <c r="B7" s="353"/>
      <c r="C7" s="354">
        <f>'数据-取费表'!B2</f>
        <v>45254</v>
      </c>
      <c r="D7" s="355">
        <v>100</v>
      </c>
      <c r="E7" s="356"/>
      <c r="F7" s="357">
        <f>SUMIF(52:52,YEAR(E7)&amp;"-"&amp;MONTH(E7),53:53)</f>
        <v>0</v>
      </c>
      <c r="G7" s="356"/>
      <c r="H7" s="355">
        <f>SUMIF(52:52,YEAR(G7)&amp;"-"&amp;MONTH(G7),53:53)</f>
        <v>0</v>
      </c>
      <c r="I7" s="356"/>
      <c r="J7" s="355">
        <f>SUMIF(52:52,YEAR(I7)&amp;"-"&amp;MONTH(I7),53:53)</f>
        <v>0</v>
      </c>
      <c r="K7" s="38"/>
      <c r="L7" s="862"/>
      <c r="M7" s="863"/>
      <c r="N7" s="863"/>
      <c r="O7" s="863"/>
      <c r="P7" s="3486" t="s">
        <v>1680</v>
      </c>
      <c r="Q7" s="3514"/>
      <c r="R7" s="664" t="s">
        <v>14</v>
      </c>
      <c r="S7" s="665">
        <f t="shared" ref="S7:S15" si="0">F7</f>
        <v>0</v>
      </c>
      <c r="T7" s="664" t="s">
        <v>14</v>
      </c>
      <c r="U7" s="665">
        <f t="shared" ref="U7:U15" si="1">H7</f>
        <v>0</v>
      </c>
      <c r="V7" s="664" t="s">
        <v>14</v>
      </c>
      <c r="W7" s="665">
        <f t="shared" ref="W7:W15" si="2">J7</f>
        <v>0</v>
      </c>
      <c r="X7" s="666"/>
      <c r="Y7" s="3486" t="s">
        <v>1680</v>
      </c>
      <c r="Z7" s="348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86" t="s">
        <v>1683</v>
      </c>
      <c r="Q8" s="3487"/>
      <c r="R8" s="664" t="s">
        <v>14</v>
      </c>
      <c r="S8" s="665">
        <f t="shared" si="0"/>
        <v>100</v>
      </c>
      <c r="T8" s="664" t="s">
        <v>14</v>
      </c>
      <c r="U8" s="665">
        <f t="shared" si="1"/>
        <v>100</v>
      </c>
      <c r="V8" s="664" t="s">
        <v>14</v>
      </c>
      <c r="W8" s="665">
        <f t="shared" si="2"/>
        <v>100</v>
      </c>
      <c r="X8" s="666"/>
      <c r="Y8" s="3486" t="s">
        <v>1683</v>
      </c>
      <c r="Z8" s="348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24" t="s">
        <v>1686</v>
      </c>
      <c r="Q9" s="530" t="str">
        <f t="shared" ref="Q9:Q15" si="6">B9</f>
        <v>用途</v>
      </c>
      <c r="R9" s="664" t="s">
        <v>14</v>
      </c>
      <c r="S9" s="665">
        <f t="shared" si="0"/>
        <v>100</v>
      </c>
      <c r="T9" s="664" t="s">
        <v>14</v>
      </c>
      <c r="U9" s="665">
        <f t="shared" si="1"/>
        <v>100</v>
      </c>
      <c r="V9" s="664" t="s">
        <v>14</v>
      </c>
      <c r="W9" s="665">
        <f t="shared" si="2"/>
        <v>100</v>
      </c>
      <c r="X9" s="666"/>
      <c r="Y9" s="341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524"/>
      <c r="Q10" s="530" t="str">
        <f t="shared" si="6"/>
        <v>土地使用年限（年）</v>
      </c>
      <c r="R10" s="664" t="s">
        <v>14</v>
      </c>
      <c r="S10" s="665">
        <f t="shared" si="0"/>
        <v>100</v>
      </c>
      <c r="T10" s="664" t="s">
        <v>14</v>
      </c>
      <c r="U10" s="665">
        <f t="shared" si="1"/>
        <v>100</v>
      </c>
      <c r="V10" s="664" t="s">
        <v>14</v>
      </c>
      <c r="W10" s="665">
        <f t="shared" si="2"/>
        <v>100</v>
      </c>
      <c r="X10" s="666"/>
      <c r="Y10" s="341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24"/>
      <c r="Q11" s="530" t="str">
        <f t="shared" si="6"/>
        <v>容积率</v>
      </c>
      <c r="R11" s="664" t="s">
        <v>14</v>
      </c>
      <c r="S11" s="665">
        <f t="shared" si="0"/>
        <v>100</v>
      </c>
      <c r="T11" s="664" t="s">
        <v>14</v>
      </c>
      <c r="U11" s="665">
        <f t="shared" si="1"/>
        <v>100</v>
      </c>
      <c r="V11" s="664" t="s">
        <v>14</v>
      </c>
      <c r="W11" s="665">
        <f t="shared" si="2"/>
        <v>100</v>
      </c>
      <c r="X11" s="666"/>
      <c r="Y11" s="341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24"/>
      <c r="Q12" s="530">
        <f t="shared" si="6"/>
        <v>111</v>
      </c>
      <c r="R12" s="664" t="s">
        <v>14</v>
      </c>
      <c r="S12" s="665">
        <f t="shared" si="0"/>
        <v>100</v>
      </c>
      <c r="T12" s="664" t="s">
        <v>14</v>
      </c>
      <c r="U12" s="665">
        <f t="shared" si="1"/>
        <v>100</v>
      </c>
      <c r="V12" s="664" t="s">
        <v>14</v>
      </c>
      <c r="W12" s="665">
        <f t="shared" si="2"/>
        <v>100</v>
      </c>
      <c r="X12" s="666"/>
      <c r="Y12" s="341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24"/>
      <c r="Q13" s="530">
        <f t="shared" si="6"/>
        <v>111</v>
      </c>
      <c r="R13" s="664" t="s">
        <v>14</v>
      </c>
      <c r="S13" s="665">
        <f t="shared" si="0"/>
        <v>100</v>
      </c>
      <c r="T13" s="664" t="s">
        <v>14</v>
      </c>
      <c r="U13" s="665">
        <f t="shared" si="1"/>
        <v>100</v>
      </c>
      <c r="V13" s="664" t="s">
        <v>14</v>
      </c>
      <c r="W13" s="665">
        <f t="shared" si="2"/>
        <v>100</v>
      </c>
      <c r="X13" s="666"/>
      <c r="Y13" s="341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24"/>
      <c r="Q14" s="530">
        <f t="shared" si="6"/>
        <v>111</v>
      </c>
      <c r="R14" s="664" t="s">
        <v>14</v>
      </c>
      <c r="S14" s="665">
        <f t="shared" si="0"/>
        <v>100</v>
      </c>
      <c r="T14" s="664" t="s">
        <v>14</v>
      </c>
      <c r="U14" s="665">
        <f t="shared" si="1"/>
        <v>100</v>
      </c>
      <c r="V14" s="664" t="s">
        <v>14</v>
      </c>
      <c r="W14" s="665">
        <f t="shared" si="2"/>
        <v>100</v>
      </c>
      <c r="X14" s="666"/>
      <c r="Y14" s="341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17" t="s">
        <v>1691</v>
      </c>
      <c r="Q15" s="1263" t="str">
        <f t="shared" si="6"/>
        <v>产业集聚程度</v>
      </c>
      <c r="R15" s="667" t="s">
        <v>14</v>
      </c>
      <c r="S15" s="668">
        <f t="shared" si="0"/>
        <v>100</v>
      </c>
      <c r="T15" s="667" t="s">
        <v>14</v>
      </c>
      <c r="U15" s="668">
        <f t="shared" si="1"/>
        <v>100</v>
      </c>
      <c r="V15" s="667" t="s">
        <v>14</v>
      </c>
      <c r="W15" s="668">
        <f t="shared" si="2"/>
        <v>100</v>
      </c>
      <c r="X15" s="1265"/>
      <c r="Y15" s="351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18"/>
      <c r="Q16" s="1263"/>
      <c r="R16" s="667"/>
      <c r="S16" s="668"/>
      <c r="T16" s="667"/>
      <c r="U16" s="668"/>
      <c r="V16" s="667"/>
      <c r="W16" s="668"/>
      <c r="X16" s="1265"/>
      <c r="Y16" s="351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18"/>
      <c r="Q17" s="1263" t="str">
        <f>B17</f>
        <v>交通便捷度</v>
      </c>
      <c r="R17" s="667" t="s">
        <v>14</v>
      </c>
      <c r="S17" s="668">
        <f>F17</f>
        <v>100</v>
      </c>
      <c r="T17" s="667" t="s">
        <v>14</v>
      </c>
      <c r="U17" s="668">
        <f>H17</f>
        <v>100</v>
      </c>
      <c r="V17" s="667" t="s">
        <v>14</v>
      </c>
      <c r="W17" s="668">
        <f>J17</f>
        <v>100</v>
      </c>
      <c r="X17" s="1265"/>
      <c r="Y17" s="35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18"/>
      <c r="Q18" s="1263"/>
      <c r="R18" s="667"/>
      <c r="S18" s="668"/>
      <c r="T18" s="667"/>
      <c r="U18" s="668"/>
      <c r="V18" s="667"/>
      <c r="W18" s="668"/>
      <c r="X18" s="1265"/>
      <c r="Y18" s="351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18"/>
      <c r="Q19" s="1263" t="str">
        <f>B19</f>
        <v>公共配套设施</v>
      </c>
      <c r="R19" s="667" t="s">
        <v>14</v>
      </c>
      <c r="S19" s="668">
        <f>F19</f>
        <v>100</v>
      </c>
      <c r="T19" s="667" t="s">
        <v>14</v>
      </c>
      <c r="U19" s="668">
        <f>H19</f>
        <v>100</v>
      </c>
      <c r="V19" s="667" t="s">
        <v>14</v>
      </c>
      <c r="W19" s="668">
        <f>J19</f>
        <v>100</v>
      </c>
      <c r="X19" s="1265"/>
      <c r="Y19" s="35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18"/>
      <c r="Q20" s="1263"/>
      <c r="R20" s="667"/>
      <c r="S20" s="668"/>
      <c r="T20" s="667"/>
      <c r="U20" s="668"/>
      <c r="V20" s="667"/>
      <c r="W20" s="668"/>
      <c r="X20" s="1265"/>
      <c r="Y20" s="351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18"/>
      <c r="Q21" s="1263" t="str">
        <f>B21</f>
        <v>基础设施水平</v>
      </c>
      <c r="R21" s="667" t="s">
        <v>14</v>
      </c>
      <c r="S21" s="668">
        <f>F21</f>
        <v>100</v>
      </c>
      <c r="T21" s="667" t="s">
        <v>14</v>
      </c>
      <c r="U21" s="668">
        <f>H21</f>
        <v>100</v>
      </c>
      <c r="V21" s="667" t="s">
        <v>14</v>
      </c>
      <c r="W21" s="668">
        <f>J21</f>
        <v>100</v>
      </c>
      <c r="X21" s="1265"/>
      <c r="Y21" s="35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18"/>
      <c r="Q22" s="1263"/>
      <c r="R22" s="667"/>
      <c r="S22" s="668"/>
      <c r="T22" s="667"/>
      <c r="U22" s="668"/>
      <c r="V22" s="667"/>
      <c r="W22" s="668"/>
      <c r="X22" s="1265"/>
      <c r="Y22" s="351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18"/>
      <c r="Q23" s="1263" t="str">
        <f>B23</f>
        <v>环境质量</v>
      </c>
      <c r="R23" s="667" t="s">
        <v>14</v>
      </c>
      <c r="S23" s="668">
        <f>F23</f>
        <v>100</v>
      </c>
      <c r="T23" s="667" t="s">
        <v>14</v>
      </c>
      <c r="U23" s="668">
        <f>H23</f>
        <v>100</v>
      </c>
      <c r="V23" s="667" t="s">
        <v>14</v>
      </c>
      <c r="W23" s="668">
        <f>J23</f>
        <v>100</v>
      </c>
      <c r="X23" s="1265"/>
      <c r="Y23" s="351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18"/>
      <c r="Q24" s="1263"/>
      <c r="R24" s="667"/>
      <c r="S24" s="668"/>
      <c r="T24" s="667"/>
      <c r="U24" s="668"/>
      <c r="V24" s="667"/>
      <c r="W24" s="668"/>
      <c r="X24" s="1265"/>
      <c r="Y24" s="351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18"/>
      <c r="Q25" s="1263">
        <f>B25</f>
        <v>111</v>
      </c>
      <c r="R25" s="667" t="s">
        <v>14</v>
      </c>
      <c r="S25" s="668">
        <f>F25</f>
        <v>100</v>
      </c>
      <c r="T25" s="667" t="s">
        <v>14</v>
      </c>
      <c r="U25" s="668">
        <f>H25</f>
        <v>100</v>
      </c>
      <c r="V25" s="667" t="s">
        <v>14</v>
      </c>
      <c r="W25" s="668">
        <f>J25</f>
        <v>100</v>
      </c>
      <c r="X25" s="1265"/>
      <c r="Y25" s="351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18"/>
      <c r="Q26" s="1263">
        <f t="shared" ref="Q26:Q40" si="11">B26</f>
        <v>111</v>
      </c>
      <c r="R26" s="667" t="s">
        <v>14</v>
      </c>
      <c r="S26" s="668">
        <f>F26</f>
        <v>100</v>
      </c>
      <c r="T26" s="667" t="s">
        <v>14</v>
      </c>
      <c r="U26" s="668">
        <f>H26</f>
        <v>100</v>
      </c>
      <c r="V26" s="667" t="s">
        <v>14</v>
      </c>
      <c r="W26" s="668">
        <f>J26</f>
        <v>100</v>
      </c>
      <c r="X26" s="1265"/>
      <c r="Y26" s="351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18"/>
      <c r="Q27" s="530">
        <f t="shared" si="11"/>
        <v>111</v>
      </c>
      <c r="R27" s="664" t="s">
        <v>14</v>
      </c>
      <c r="S27" s="665">
        <f>F27</f>
        <v>100</v>
      </c>
      <c r="T27" s="664" t="s">
        <v>14</v>
      </c>
      <c r="U27" s="665">
        <f>H27</f>
        <v>100</v>
      </c>
      <c r="V27" s="664" t="s">
        <v>14</v>
      </c>
      <c r="W27" s="665">
        <f>J27</f>
        <v>100</v>
      </c>
      <c r="X27" s="666"/>
      <c r="Y27" s="351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18"/>
      <c r="Q28" s="1263">
        <f t="shared" si="11"/>
        <v>111</v>
      </c>
      <c r="R28" s="667" t="s">
        <v>14</v>
      </c>
      <c r="S28" s="668">
        <f t="shared" ref="S28:S40" si="12">F28</f>
        <v>100</v>
      </c>
      <c r="T28" s="667" t="s">
        <v>14</v>
      </c>
      <c r="U28" s="668">
        <f t="shared" ref="U28:U40" si="13">H28</f>
        <v>100</v>
      </c>
      <c r="V28" s="667" t="s">
        <v>14</v>
      </c>
      <c r="W28" s="668">
        <f t="shared" ref="W28:W40" si="14">J28</f>
        <v>100</v>
      </c>
      <c r="X28" s="1265"/>
      <c r="Y28" s="351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70" t="s">
        <v>1696</v>
      </c>
      <c r="Q29" s="1263" t="str">
        <f t="shared" si="11"/>
        <v>建筑类型</v>
      </c>
      <c r="R29" s="667" t="s">
        <v>14</v>
      </c>
      <c r="S29" s="668">
        <f t="shared" si="12"/>
        <v>100</v>
      </c>
      <c r="T29" s="667" t="s">
        <v>14</v>
      </c>
      <c r="U29" s="668">
        <f t="shared" si="13"/>
        <v>100</v>
      </c>
      <c r="V29" s="667" t="s">
        <v>14</v>
      </c>
      <c r="W29" s="668">
        <f t="shared" si="14"/>
        <v>100</v>
      </c>
      <c r="X29" s="1265"/>
      <c r="Y29" s="352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22"/>
      <c r="Q30" s="531" t="str">
        <f t="shared" si="11"/>
        <v>项目建筑规模</v>
      </c>
      <c r="R30" s="669" t="s">
        <v>14</v>
      </c>
      <c r="S30" s="670" t="e">
        <f t="shared" si="12"/>
        <v>#N/A</v>
      </c>
      <c r="T30" s="669" t="s">
        <v>14</v>
      </c>
      <c r="U30" s="670" t="e">
        <f t="shared" si="13"/>
        <v>#N/A</v>
      </c>
      <c r="V30" s="669" t="s">
        <v>14</v>
      </c>
      <c r="W30" s="670" t="e">
        <f t="shared" si="14"/>
        <v>#N/A</v>
      </c>
      <c r="X30" s="671"/>
      <c r="Y30" s="352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22"/>
      <c r="Q31" s="1263" t="str">
        <f t="shared" si="11"/>
        <v>建筑结构</v>
      </c>
      <c r="R31" s="667" t="s">
        <v>14</v>
      </c>
      <c r="S31" s="668">
        <f t="shared" si="12"/>
        <v>100</v>
      </c>
      <c r="T31" s="667" t="s">
        <v>14</v>
      </c>
      <c r="U31" s="668">
        <f t="shared" si="13"/>
        <v>100</v>
      </c>
      <c r="V31" s="667" t="s">
        <v>14</v>
      </c>
      <c r="W31" s="668">
        <f t="shared" si="14"/>
        <v>100</v>
      </c>
      <c r="X31" s="1265"/>
      <c r="Y31" s="352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22"/>
      <c r="Q32" s="1263" t="str">
        <f t="shared" si="11"/>
        <v>公共部分装修</v>
      </c>
      <c r="R32" s="667" t="s">
        <v>14</v>
      </c>
      <c r="S32" s="668">
        <f t="shared" si="12"/>
        <v>100</v>
      </c>
      <c r="T32" s="667" t="s">
        <v>14</v>
      </c>
      <c r="U32" s="668">
        <f t="shared" si="13"/>
        <v>100</v>
      </c>
      <c r="V32" s="667" t="s">
        <v>14</v>
      </c>
      <c r="W32" s="668">
        <f t="shared" si="14"/>
        <v>100</v>
      </c>
      <c r="X32" s="1265"/>
      <c r="Y32" s="352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22"/>
      <c r="Q33" s="1263" t="str">
        <f t="shared" si="11"/>
        <v>成新度</v>
      </c>
      <c r="R33" s="667" t="s">
        <v>14</v>
      </c>
      <c r="S33" s="668" t="e">
        <f t="shared" si="12"/>
        <v>#N/A</v>
      </c>
      <c r="T33" s="667" t="s">
        <v>14</v>
      </c>
      <c r="U33" s="668" t="e">
        <f t="shared" si="13"/>
        <v>#N/A</v>
      </c>
      <c r="V33" s="667" t="s">
        <v>14</v>
      </c>
      <c r="W33" s="668" t="e">
        <f t="shared" si="14"/>
        <v>#N/A</v>
      </c>
      <c r="X33" s="1265"/>
      <c r="Y33" s="352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22"/>
      <c r="Q34" s="530" t="str">
        <f t="shared" si="11"/>
        <v>物业管理</v>
      </c>
      <c r="R34" s="664" t="s">
        <v>14</v>
      </c>
      <c r="S34" s="665">
        <f t="shared" si="12"/>
        <v>100</v>
      </c>
      <c r="T34" s="664" t="s">
        <v>14</v>
      </c>
      <c r="U34" s="665">
        <f t="shared" si="13"/>
        <v>100</v>
      </c>
      <c r="V34" s="664" t="s">
        <v>14</v>
      </c>
      <c r="W34" s="665">
        <f t="shared" si="14"/>
        <v>100</v>
      </c>
      <c r="X34" s="666"/>
      <c r="Y34" s="352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22" t="s">
        <v>1696</v>
      </c>
      <c r="Q35" s="1263" t="str">
        <f t="shared" si="11"/>
        <v>市政基础设施</v>
      </c>
      <c r="R35" s="667" t="s">
        <v>14</v>
      </c>
      <c r="S35" s="668">
        <f t="shared" si="12"/>
        <v>100</v>
      </c>
      <c r="T35" s="667" t="s">
        <v>14</v>
      </c>
      <c r="U35" s="668">
        <f t="shared" si="13"/>
        <v>100</v>
      </c>
      <c r="V35" s="667" t="s">
        <v>14</v>
      </c>
      <c r="W35" s="668">
        <f t="shared" si="14"/>
        <v>100</v>
      </c>
      <c r="X35" s="1265"/>
      <c r="Y35" s="352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22"/>
      <c r="Q36" s="1263" t="str">
        <f t="shared" si="11"/>
        <v>内部装修</v>
      </c>
      <c r="R36" s="667" t="s">
        <v>14</v>
      </c>
      <c r="S36" s="668">
        <f t="shared" si="12"/>
        <v>100</v>
      </c>
      <c r="T36" s="667" t="s">
        <v>14</v>
      </c>
      <c r="U36" s="668">
        <f t="shared" si="13"/>
        <v>100</v>
      </c>
      <c r="V36" s="667" t="s">
        <v>14</v>
      </c>
      <c r="W36" s="668">
        <f t="shared" si="14"/>
        <v>100</v>
      </c>
      <c r="X36" s="1265"/>
      <c r="Y36" s="352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22"/>
      <c r="Q37" s="1263" t="str">
        <f t="shared" si="11"/>
        <v>内部装修状况</v>
      </c>
      <c r="R37" s="667" t="s">
        <v>14</v>
      </c>
      <c r="S37" s="668">
        <f t="shared" si="12"/>
        <v>100</v>
      </c>
      <c r="T37" s="667" t="s">
        <v>14</v>
      </c>
      <c r="U37" s="668">
        <f t="shared" si="13"/>
        <v>100</v>
      </c>
      <c r="V37" s="667" t="s">
        <v>14</v>
      </c>
      <c r="W37" s="668">
        <f t="shared" si="14"/>
        <v>100</v>
      </c>
      <c r="X37" s="1265"/>
      <c r="Y37" s="352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22"/>
      <c r="Q38" s="531">
        <f t="shared" si="11"/>
        <v>111</v>
      </c>
      <c r="R38" s="669" t="s">
        <v>14</v>
      </c>
      <c r="S38" s="670">
        <f t="shared" si="12"/>
        <v>100</v>
      </c>
      <c r="T38" s="669" t="s">
        <v>14</v>
      </c>
      <c r="U38" s="670">
        <f t="shared" si="13"/>
        <v>100</v>
      </c>
      <c r="V38" s="669" t="s">
        <v>14</v>
      </c>
      <c r="W38" s="670">
        <f t="shared" si="14"/>
        <v>100</v>
      </c>
      <c r="X38" s="671"/>
      <c r="Y38" s="352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22"/>
      <c r="Q39" s="1263">
        <f t="shared" si="11"/>
        <v>111</v>
      </c>
      <c r="R39" s="667" t="s">
        <v>14</v>
      </c>
      <c r="S39" s="668">
        <f t="shared" si="12"/>
        <v>100</v>
      </c>
      <c r="T39" s="667" t="s">
        <v>14</v>
      </c>
      <c r="U39" s="668">
        <f t="shared" si="13"/>
        <v>100</v>
      </c>
      <c r="V39" s="667" t="s">
        <v>14</v>
      </c>
      <c r="W39" s="668">
        <f t="shared" si="14"/>
        <v>100</v>
      </c>
      <c r="X39" s="1265"/>
      <c r="Y39" s="352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23"/>
      <c r="Q40" s="1263">
        <f t="shared" si="11"/>
        <v>111</v>
      </c>
      <c r="R40" s="667" t="s">
        <v>14</v>
      </c>
      <c r="S40" s="668">
        <f t="shared" si="12"/>
        <v>100</v>
      </c>
      <c r="T40" s="667" t="s">
        <v>14</v>
      </c>
      <c r="U40" s="668">
        <f t="shared" si="13"/>
        <v>100</v>
      </c>
      <c r="V40" s="667" t="s">
        <v>14</v>
      </c>
      <c r="W40" s="668">
        <f t="shared" si="14"/>
        <v>100</v>
      </c>
      <c r="X40" s="1265"/>
      <c r="Y40" s="352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24" t="str">
        <f>A41</f>
        <v>成交单价（元/平方米）</v>
      </c>
      <c r="Q41" s="3524"/>
      <c r="R41" s="3485">
        <f>E41</f>
        <v>0</v>
      </c>
      <c r="S41" s="3485"/>
      <c r="T41" s="3485">
        <f>G41</f>
        <v>0</v>
      </c>
      <c r="U41" s="3485"/>
      <c r="V41" s="3485">
        <f>I41</f>
        <v>0</v>
      </c>
      <c r="W41" s="348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24" t="str">
        <f>A42</f>
        <v>比较价值（元/平方米）</v>
      </c>
      <c r="Q42" s="352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25" t="str">
        <f>A43</f>
        <v>估价对象XX用房的比较价值（楼面单价，元/平方米）</v>
      </c>
      <c r="Q43" s="3526"/>
      <c r="R43" s="3527" t="e">
        <f>IF(F1="售价",ROUND(IF(D42="简单平均",AVERAGE(R42:V42),R42*F42+T42*H42+V42*J42),0),ROUND(IF(D42="简单平均",AVERAGE(R42:V42),R42*F42+T42*H42+V42*J42),1))</f>
        <v>#DIV/0!</v>
      </c>
      <c r="S43" s="3527"/>
      <c r="T43" s="3527"/>
      <c r="U43" s="3527"/>
      <c r="V43" s="3527"/>
      <c r="W43" s="352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2023-11</v>
      </c>
      <c r="D52" s="1104">
        <f>EDATE(C52,-1)</f>
        <v>45200</v>
      </c>
      <c r="E52" s="1104">
        <f t="shared" ref="E52:O52" si="16">EDATE(D52,-1)</f>
        <v>45170</v>
      </c>
      <c r="F52" s="1104">
        <f t="shared" si="16"/>
        <v>45139</v>
      </c>
      <c r="G52" s="1104">
        <f t="shared" si="16"/>
        <v>45108</v>
      </c>
      <c r="H52" s="1104">
        <f t="shared" si="16"/>
        <v>45078</v>
      </c>
      <c r="I52" s="1104">
        <f t="shared" si="16"/>
        <v>45047</v>
      </c>
      <c r="J52" s="1104">
        <f t="shared" si="16"/>
        <v>45017</v>
      </c>
      <c r="K52" s="1104">
        <f t="shared" si="16"/>
        <v>44986</v>
      </c>
      <c r="L52" s="1104">
        <f t="shared" si="16"/>
        <v>44958</v>
      </c>
      <c r="M52" s="1104">
        <f t="shared" si="16"/>
        <v>44927</v>
      </c>
      <c r="N52" s="1104">
        <f t="shared" si="16"/>
        <v>44896</v>
      </c>
      <c r="O52" s="1104">
        <f t="shared" si="16"/>
        <v>44866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502" t="s">
        <v>1770</v>
      </c>
      <c r="D4" s="3503"/>
      <c r="E4" s="3504" t="s">
        <v>1771</v>
      </c>
      <c r="F4" s="3505"/>
      <c r="G4" s="3502" t="s">
        <v>1772</v>
      </c>
      <c r="H4" s="3503"/>
      <c r="I4" s="3502" t="s">
        <v>1773</v>
      </c>
      <c r="J4" s="3503"/>
      <c r="K4" s="537" t="s">
        <v>1774</v>
      </c>
      <c r="L4" s="2486"/>
      <c r="M4" s="2487"/>
      <c r="N4" s="2487"/>
      <c r="O4" s="2487"/>
      <c r="P4" s="3506" t="s">
        <v>1775</v>
      </c>
      <c r="Q4" s="3507"/>
      <c r="R4" s="3488" t="s">
        <v>1771</v>
      </c>
      <c r="S4" s="3489"/>
      <c r="T4" s="3488" t="s">
        <v>1772</v>
      </c>
      <c r="U4" s="3489"/>
      <c r="V4" s="3485" t="s">
        <v>1773</v>
      </c>
      <c r="W4" s="3485"/>
      <c r="X4" s="1265"/>
      <c r="Y4" s="3488" t="s">
        <v>1775</v>
      </c>
      <c r="Z4" s="3489"/>
      <c r="AA4" s="3482" t="s">
        <v>1771</v>
      </c>
      <c r="AB4" s="3483" t="s">
        <v>1772</v>
      </c>
      <c r="AC4" s="3482" t="s">
        <v>1773</v>
      </c>
    </row>
    <row r="5" spans="1:29" ht="15">
      <c r="A5" s="348"/>
      <c r="B5" s="349"/>
      <c r="C5" s="3498" t="s">
        <v>1673</v>
      </c>
      <c r="D5" s="3495"/>
      <c r="E5" s="3554" t="s">
        <v>1674</v>
      </c>
      <c r="F5" s="3493"/>
      <c r="G5" s="3498" t="s">
        <v>1675</v>
      </c>
      <c r="H5" s="3495"/>
      <c r="I5" s="3498" t="s">
        <v>1676</v>
      </c>
      <c r="J5" s="3495"/>
      <c r="K5" s="537"/>
      <c r="L5" s="2486"/>
      <c r="M5" s="2487"/>
      <c r="N5" s="2487"/>
      <c r="O5" s="2487"/>
      <c r="P5" s="3508"/>
      <c r="Q5" s="3509"/>
      <c r="R5" s="3490"/>
      <c r="S5" s="3491"/>
      <c r="T5" s="3490"/>
      <c r="U5" s="3491"/>
      <c r="V5" s="3485"/>
      <c r="W5" s="3485"/>
      <c r="X5" s="1265"/>
      <c r="Y5" s="3490"/>
      <c r="Z5" s="3491"/>
      <c r="AA5" s="3483"/>
      <c r="AB5" s="3483"/>
      <c r="AC5" s="3483"/>
    </row>
    <row r="6" spans="1:29" ht="15.75" thickBot="1">
      <c r="A6" s="350"/>
      <c r="B6" s="351"/>
      <c r="C6" s="3496" t="s">
        <v>1677</v>
      </c>
      <c r="D6" s="3497"/>
      <c r="E6" s="3499" t="s">
        <v>1677</v>
      </c>
      <c r="F6" s="3500"/>
      <c r="G6" s="3496" t="s">
        <v>1677</v>
      </c>
      <c r="H6" s="3497"/>
      <c r="I6" s="3496" t="s">
        <v>1677</v>
      </c>
      <c r="J6" s="3497"/>
      <c r="K6" s="537" t="s">
        <v>1678</v>
      </c>
      <c r="L6" s="2486"/>
      <c r="M6" s="2487"/>
      <c r="N6" s="2487"/>
      <c r="O6" s="2487"/>
      <c r="P6" s="3510"/>
      <c r="Q6" s="3511"/>
      <c r="R6" s="3490"/>
      <c r="S6" s="3491"/>
      <c r="T6" s="3512"/>
      <c r="U6" s="3513"/>
      <c r="V6" s="3485"/>
      <c r="W6" s="3485"/>
      <c r="X6" s="1265"/>
      <c r="Y6" s="3512"/>
      <c r="Z6" s="3513"/>
      <c r="AA6" s="3484"/>
      <c r="AB6" s="3484"/>
      <c r="AC6" s="3484"/>
    </row>
    <row r="7" spans="1:29" s="102" customFormat="1" ht="15.75" thickBot="1">
      <c r="A7" s="352" t="s">
        <v>1679</v>
      </c>
      <c r="B7" s="353"/>
      <c r="C7" s="354">
        <f>'数据-取费表'!B2</f>
        <v>45254</v>
      </c>
      <c r="D7" s="355">
        <v>100</v>
      </c>
      <c r="E7" s="356"/>
      <c r="F7" s="357">
        <f>SUMIF(48:48,YEAR(E7)&amp;"-"&amp;MONTH(E7),49:49)</f>
        <v>0</v>
      </c>
      <c r="G7" s="356"/>
      <c r="H7" s="355">
        <f>SUMIF(48:48,YEAR(G7)&amp;"-"&amp;MONTH(G7),49:49)</f>
        <v>0</v>
      </c>
      <c r="I7" s="356"/>
      <c r="J7" s="355">
        <f>SUMIF(48:48,YEAR(I7)&amp;"-"&amp;MONTH(I7),49:49)</f>
        <v>0</v>
      </c>
      <c r="K7" s="38"/>
      <c r="L7" s="2488"/>
      <c r="M7" s="2439"/>
      <c r="N7" s="2439"/>
      <c r="O7" s="2439"/>
      <c r="P7" s="3486" t="s">
        <v>1680</v>
      </c>
      <c r="Q7" s="3514"/>
      <c r="R7" s="664" t="s">
        <v>14</v>
      </c>
      <c r="S7" s="665">
        <f t="shared" ref="S7:S14" si="0">F7</f>
        <v>0</v>
      </c>
      <c r="T7" s="664" t="s">
        <v>14</v>
      </c>
      <c r="U7" s="665">
        <f t="shared" ref="U7:U14" si="1">H7</f>
        <v>0</v>
      </c>
      <c r="V7" s="664" t="s">
        <v>14</v>
      </c>
      <c r="W7" s="665">
        <f t="shared" ref="W7:W14" si="2">J7</f>
        <v>0</v>
      </c>
      <c r="X7" s="666"/>
      <c r="Y7" s="3486" t="s">
        <v>1680</v>
      </c>
      <c r="Z7" s="348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86" t="s">
        <v>1683</v>
      </c>
      <c r="Q8" s="3487"/>
      <c r="R8" s="664" t="s">
        <v>14</v>
      </c>
      <c r="S8" s="665">
        <f t="shared" si="0"/>
        <v>100</v>
      </c>
      <c r="T8" s="664" t="s">
        <v>14</v>
      </c>
      <c r="U8" s="665">
        <f t="shared" si="1"/>
        <v>100</v>
      </c>
      <c r="V8" s="664" t="s">
        <v>14</v>
      </c>
      <c r="W8" s="665">
        <f t="shared" si="2"/>
        <v>100</v>
      </c>
      <c r="X8" s="666"/>
      <c r="Y8" s="3486" t="s">
        <v>1683</v>
      </c>
      <c r="Z8" s="348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524" t="s">
        <v>1686</v>
      </c>
      <c r="Q9" s="530" t="str">
        <f t="shared" ref="Q9:Q14" si="6">B9</f>
        <v>用途</v>
      </c>
      <c r="R9" s="664" t="s">
        <v>14</v>
      </c>
      <c r="S9" s="665">
        <f t="shared" si="0"/>
        <v>100</v>
      </c>
      <c r="T9" s="664" t="s">
        <v>14</v>
      </c>
      <c r="U9" s="665">
        <f t="shared" si="1"/>
        <v>100</v>
      </c>
      <c r="V9" s="664" t="s">
        <v>14</v>
      </c>
      <c r="W9" s="665">
        <f t="shared" si="2"/>
        <v>100</v>
      </c>
      <c r="X9" s="666"/>
      <c r="Y9" s="341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524"/>
      <c r="Q10" s="530" t="str">
        <f t="shared" si="6"/>
        <v>土地使用年限（年）</v>
      </c>
      <c r="R10" s="664" t="s">
        <v>14</v>
      </c>
      <c r="S10" s="665">
        <f t="shared" si="0"/>
        <v>100</v>
      </c>
      <c r="T10" s="664" t="s">
        <v>14</v>
      </c>
      <c r="U10" s="665">
        <f t="shared" si="1"/>
        <v>100</v>
      </c>
      <c r="V10" s="664" t="s">
        <v>14</v>
      </c>
      <c r="W10" s="665">
        <f t="shared" si="2"/>
        <v>100</v>
      </c>
      <c r="X10" s="666"/>
      <c r="Y10" s="341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524"/>
      <c r="Q11" s="530">
        <f t="shared" si="6"/>
        <v>111</v>
      </c>
      <c r="R11" s="664" t="s">
        <v>14</v>
      </c>
      <c r="S11" s="665">
        <f t="shared" si="0"/>
        <v>100</v>
      </c>
      <c r="T11" s="664" t="s">
        <v>14</v>
      </c>
      <c r="U11" s="665">
        <f t="shared" si="1"/>
        <v>100</v>
      </c>
      <c r="V11" s="664" t="s">
        <v>14</v>
      </c>
      <c r="W11" s="665">
        <f t="shared" si="2"/>
        <v>100</v>
      </c>
      <c r="X11" s="666"/>
      <c r="Y11" s="341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524"/>
      <c r="Q12" s="530">
        <f t="shared" si="6"/>
        <v>111</v>
      </c>
      <c r="R12" s="664" t="s">
        <v>14</v>
      </c>
      <c r="S12" s="665">
        <f t="shared" si="0"/>
        <v>100</v>
      </c>
      <c r="T12" s="664" t="s">
        <v>14</v>
      </c>
      <c r="U12" s="665">
        <f t="shared" si="1"/>
        <v>100</v>
      </c>
      <c r="V12" s="664" t="s">
        <v>14</v>
      </c>
      <c r="W12" s="665">
        <f t="shared" si="2"/>
        <v>100</v>
      </c>
      <c r="X12" s="666"/>
      <c r="Y12" s="341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524"/>
      <c r="Q13" s="530">
        <f t="shared" si="6"/>
        <v>111</v>
      </c>
      <c r="R13" s="664" t="s">
        <v>14</v>
      </c>
      <c r="S13" s="665">
        <f t="shared" si="0"/>
        <v>100</v>
      </c>
      <c r="T13" s="664" t="s">
        <v>14</v>
      </c>
      <c r="U13" s="665">
        <f t="shared" si="1"/>
        <v>100</v>
      </c>
      <c r="V13" s="664" t="s">
        <v>14</v>
      </c>
      <c r="W13" s="665">
        <f t="shared" si="2"/>
        <v>100</v>
      </c>
      <c r="X13" s="666"/>
      <c r="Y13" s="3414"/>
      <c r="Z13" s="50">
        <f t="shared" si="7"/>
        <v>111</v>
      </c>
      <c r="AA13" s="50">
        <f t="shared" si="3"/>
        <v>1</v>
      </c>
      <c r="AB13" s="50">
        <f t="shared" si="4"/>
        <v>1</v>
      </c>
      <c r="AC13" s="50">
        <f t="shared" si="5"/>
        <v>1</v>
      </c>
    </row>
    <row r="14" spans="1:29" ht="156.75">
      <c r="A14" s="345" t="s">
        <v>1690</v>
      </c>
      <c r="B14" s="554" t="s">
        <v>1833</v>
      </c>
      <c r="C14" s="1819" t="str">
        <f>IF(B1="工业",估价对象房地状况!G4,估价对象房地状况!C6)</f>
        <v>估价对象周边有专10路、23路、54路、91路、312路等多条公交线路，距离地铁7、10号线双井站约600米，周边道路网线较密集，通达度较好。综合评价交通便捷度较好。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517" t="s">
        <v>1691</v>
      </c>
      <c r="Q14" s="1263" t="str">
        <f t="shared" si="6"/>
        <v>交通便捷度</v>
      </c>
      <c r="R14" s="667" t="s">
        <v>14</v>
      </c>
      <c r="S14" s="668">
        <f t="shared" si="0"/>
        <v>100</v>
      </c>
      <c r="T14" s="667" t="s">
        <v>14</v>
      </c>
      <c r="U14" s="668">
        <f t="shared" si="1"/>
        <v>100</v>
      </c>
      <c r="V14" s="667" t="s">
        <v>14</v>
      </c>
      <c r="W14" s="668">
        <f t="shared" si="2"/>
        <v>100</v>
      </c>
      <c r="X14" s="1265"/>
      <c r="Y14" s="351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518"/>
      <c r="Q15" s="1263"/>
      <c r="R15" s="667"/>
      <c r="S15" s="668"/>
      <c r="T15" s="667"/>
      <c r="U15" s="668"/>
      <c r="V15" s="667"/>
      <c r="W15" s="668"/>
      <c r="X15" s="1265"/>
      <c r="Y15" s="3518"/>
      <c r="Z15" s="1264"/>
      <c r="AA15" s="1264">
        <v>1</v>
      </c>
      <c r="AB15" s="1264">
        <v>1</v>
      </c>
      <c r="AC15" s="1264">
        <v>1</v>
      </c>
    </row>
    <row r="16" spans="1:29" ht="285">
      <c r="A16" s="348"/>
      <c r="B16" s="556" t="s">
        <v>1812</v>
      </c>
      <c r="C16" s="1754" t="str">
        <f>IF(B1="工业",估价对象房地状况!G5,估价对象房地状况!C7)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518"/>
      <c r="Q16" s="1263" t="str">
        <f>B16</f>
        <v>公共配套设施</v>
      </c>
      <c r="R16" s="667" t="s">
        <v>14</v>
      </c>
      <c r="S16" s="668">
        <f>F16</f>
        <v>100</v>
      </c>
      <c r="T16" s="667" t="s">
        <v>14</v>
      </c>
      <c r="U16" s="668">
        <f>H16</f>
        <v>100</v>
      </c>
      <c r="V16" s="667" t="s">
        <v>14</v>
      </c>
      <c r="W16" s="668">
        <f>J16</f>
        <v>100</v>
      </c>
      <c r="X16" s="1265"/>
      <c r="Y16" s="351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518"/>
      <c r="Q17" s="1263"/>
      <c r="R17" s="667"/>
      <c r="S17" s="668"/>
      <c r="T17" s="667"/>
      <c r="U17" s="668"/>
      <c r="V17" s="667"/>
      <c r="W17" s="668"/>
      <c r="X17" s="1265"/>
      <c r="Y17" s="3518"/>
      <c r="Z17" s="1264"/>
      <c r="AA17" s="1264">
        <v>1</v>
      </c>
      <c r="AB17" s="1264">
        <v>1</v>
      </c>
      <c r="AC17" s="1264">
        <v>1</v>
      </c>
    </row>
    <row r="18" spans="1:29" ht="42.75">
      <c r="A18" s="348"/>
      <c r="B18" s="557" t="s">
        <v>1813</v>
      </c>
      <c r="C18" s="1754"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18"/>
      <c r="Q18" s="1263" t="str">
        <f>B18</f>
        <v>基础设施水平</v>
      </c>
      <c r="R18" s="667" t="s">
        <v>14</v>
      </c>
      <c r="S18" s="668">
        <f>F18</f>
        <v>100</v>
      </c>
      <c r="T18" s="667" t="s">
        <v>14</v>
      </c>
      <c r="U18" s="668">
        <f>H18</f>
        <v>100</v>
      </c>
      <c r="V18" s="667" t="s">
        <v>14</v>
      </c>
      <c r="W18" s="668">
        <f>J18</f>
        <v>100</v>
      </c>
      <c r="X18" s="1265"/>
      <c r="Y18" s="351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518"/>
      <c r="Q19" s="1263"/>
      <c r="R19" s="667"/>
      <c r="S19" s="668"/>
      <c r="T19" s="667"/>
      <c r="U19" s="668"/>
      <c r="V19" s="667"/>
      <c r="W19" s="668"/>
      <c r="X19" s="1265"/>
      <c r="Y19" s="3518"/>
      <c r="Z19" s="1264"/>
      <c r="AA19" s="1264">
        <v>1</v>
      </c>
      <c r="AB19" s="1264">
        <v>1</v>
      </c>
      <c r="AC19" s="1264">
        <v>1</v>
      </c>
    </row>
    <row r="20" spans="1:29" ht="71.25">
      <c r="A20" s="348"/>
      <c r="B20" s="556" t="s">
        <v>1834</v>
      </c>
      <c r="C20" s="1754" t="str">
        <f>IF(B1="工业",估价对象房地状况!G7,估价对象房地状况!C9)</f>
        <v>估价对象周边有九龙花园篮球场等自然人文场所，综合评价环境状况一般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518"/>
      <c r="Q20" s="1263" t="str">
        <f>B20</f>
        <v>自然及人文环境</v>
      </c>
      <c r="R20" s="667" t="s">
        <v>14</v>
      </c>
      <c r="S20" s="668">
        <f>F20</f>
        <v>100</v>
      </c>
      <c r="T20" s="667" t="s">
        <v>14</v>
      </c>
      <c r="U20" s="668">
        <f>H20</f>
        <v>100</v>
      </c>
      <c r="V20" s="667" t="s">
        <v>14</v>
      </c>
      <c r="W20" s="668">
        <f>J20</f>
        <v>100</v>
      </c>
      <c r="X20" s="1265"/>
      <c r="Y20" s="351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518"/>
      <c r="Q21" s="1263"/>
      <c r="R21" s="667"/>
      <c r="S21" s="668"/>
      <c r="T21" s="667"/>
      <c r="U21" s="668"/>
      <c r="V21" s="667"/>
      <c r="W21" s="668"/>
      <c r="X21" s="1265"/>
      <c r="Y21" s="351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18"/>
      <c r="Q22" s="1263" t="str">
        <f>B22</f>
        <v>楼层</v>
      </c>
      <c r="R22" s="667" t="s">
        <v>14</v>
      </c>
      <c r="S22" s="668">
        <f>F22</f>
        <v>100</v>
      </c>
      <c r="T22" s="667" t="s">
        <v>14</v>
      </c>
      <c r="U22" s="668">
        <f>H22</f>
        <v>100</v>
      </c>
      <c r="V22" s="667" t="s">
        <v>14</v>
      </c>
      <c r="W22" s="668">
        <f>J22</f>
        <v>100</v>
      </c>
      <c r="X22" s="1265"/>
      <c r="Y22" s="351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518"/>
      <c r="Q23" s="1263">
        <f>B23</f>
        <v>111</v>
      </c>
      <c r="R23" s="667" t="s">
        <v>14</v>
      </c>
      <c r="S23" s="668">
        <f>F23</f>
        <v>100</v>
      </c>
      <c r="T23" s="667" t="s">
        <v>14</v>
      </c>
      <c r="U23" s="668">
        <f>H23</f>
        <v>100</v>
      </c>
      <c r="V23" s="667" t="s">
        <v>14</v>
      </c>
      <c r="W23" s="668">
        <f>J23</f>
        <v>100</v>
      </c>
      <c r="X23" s="1265"/>
      <c r="Y23" s="351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518"/>
      <c r="Q24" s="1263">
        <f t="shared" ref="Q24:Q36" si="11">B24</f>
        <v>111</v>
      </c>
      <c r="R24" s="667" t="s">
        <v>14</v>
      </c>
      <c r="S24" s="668">
        <f>F24</f>
        <v>100</v>
      </c>
      <c r="T24" s="667" t="s">
        <v>14</v>
      </c>
      <c r="U24" s="668">
        <f>H24</f>
        <v>100</v>
      </c>
      <c r="V24" s="667" t="s">
        <v>14</v>
      </c>
      <c r="W24" s="668">
        <f>J24</f>
        <v>100</v>
      </c>
      <c r="X24" s="1265"/>
      <c r="Y24" s="351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518"/>
      <c r="Q25" s="530">
        <f t="shared" si="11"/>
        <v>111</v>
      </c>
      <c r="R25" s="664" t="s">
        <v>14</v>
      </c>
      <c r="S25" s="665">
        <f>F25</f>
        <v>100</v>
      </c>
      <c r="T25" s="664" t="s">
        <v>14</v>
      </c>
      <c r="U25" s="665">
        <f>H25</f>
        <v>100</v>
      </c>
      <c r="V25" s="664" t="s">
        <v>14</v>
      </c>
      <c r="W25" s="665">
        <f>J25</f>
        <v>100</v>
      </c>
      <c r="X25" s="666"/>
      <c r="Y25" s="351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7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2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522"/>
      <c r="Q27" s="531" t="str">
        <f t="shared" si="11"/>
        <v>项目停车位配比</v>
      </c>
      <c r="R27" s="669" t="s">
        <v>14</v>
      </c>
      <c r="S27" s="670">
        <f t="shared" si="12"/>
        <v>100</v>
      </c>
      <c r="T27" s="669" t="s">
        <v>14</v>
      </c>
      <c r="U27" s="670">
        <f t="shared" si="13"/>
        <v>100</v>
      </c>
      <c r="V27" s="669" t="s">
        <v>14</v>
      </c>
      <c r="W27" s="670">
        <f t="shared" si="14"/>
        <v>100</v>
      </c>
      <c r="X27" s="671"/>
      <c r="Y27" s="352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522"/>
      <c r="Q28" s="1263" t="str">
        <f t="shared" si="11"/>
        <v>公共部分装修</v>
      </c>
      <c r="R28" s="667" t="s">
        <v>14</v>
      </c>
      <c r="S28" s="668">
        <f t="shared" si="12"/>
        <v>100</v>
      </c>
      <c r="T28" s="667" t="s">
        <v>14</v>
      </c>
      <c r="U28" s="668">
        <f t="shared" si="13"/>
        <v>100</v>
      </c>
      <c r="V28" s="667" t="s">
        <v>14</v>
      </c>
      <c r="W28" s="668">
        <f t="shared" si="14"/>
        <v>100</v>
      </c>
      <c r="X28" s="1265"/>
      <c r="Y28" s="352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522"/>
      <c r="Q29" s="1263" t="str">
        <f t="shared" si="11"/>
        <v>成新率</v>
      </c>
      <c r="R29" s="667" t="s">
        <v>14</v>
      </c>
      <c r="S29" s="668" t="e">
        <f t="shared" si="12"/>
        <v>#N/A</v>
      </c>
      <c r="T29" s="667" t="s">
        <v>14</v>
      </c>
      <c r="U29" s="668" t="e">
        <f t="shared" si="13"/>
        <v>#N/A</v>
      </c>
      <c r="V29" s="667" t="s">
        <v>14</v>
      </c>
      <c r="W29" s="668" t="e">
        <f t="shared" si="14"/>
        <v>#N/A</v>
      </c>
      <c r="X29" s="1265"/>
      <c r="Y29" s="352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522"/>
      <c r="Q30" s="1263" t="str">
        <f t="shared" si="11"/>
        <v>物业等级</v>
      </c>
      <c r="R30" s="667" t="s">
        <v>14</v>
      </c>
      <c r="S30" s="668">
        <f t="shared" si="12"/>
        <v>100</v>
      </c>
      <c r="T30" s="667" t="s">
        <v>14</v>
      </c>
      <c r="U30" s="668">
        <f t="shared" si="13"/>
        <v>100</v>
      </c>
      <c r="V30" s="667" t="s">
        <v>14</v>
      </c>
      <c r="W30" s="668">
        <f t="shared" si="14"/>
        <v>100</v>
      </c>
      <c r="X30" s="1265"/>
      <c r="Y30" s="352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522"/>
      <c r="Q31" s="530" t="str">
        <f t="shared" si="11"/>
        <v>停车位面积</v>
      </c>
      <c r="R31" s="664" t="s">
        <v>14</v>
      </c>
      <c r="S31" s="665" t="e">
        <f t="shared" si="12"/>
        <v>#N/A</v>
      </c>
      <c r="T31" s="664" t="s">
        <v>14</v>
      </c>
      <c r="U31" s="665" t="e">
        <f t="shared" si="13"/>
        <v>#N/A</v>
      </c>
      <c r="V31" s="664" t="s">
        <v>14</v>
      </c>
      <c r="W31" s="665" t="e">
        <f t="shared" si="14"/>
        <v>#N/A</v>
      </c>
      <c r="X31" s="666"/>
      <c r="Y31" s="352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522" t="s">
        <v>1696</v>
      </c>
      <c r="Q32" s="1263" t="str">
        <f t="shared" si="11"/>
        <v>车位类型</v>
      </c>
      <c r="R32" s="667" t="s">
        <v>14</v>
      </c>
      <c r="S32" s="668">
        <f t="shared" si="12"/>
        <v>100</v>
      </c>
      <c r="T32" s="667" t="s">
        <v>14</v>
      </c>
      <c r="U32" s="668">
        <f t="shared" si="13"/>
        <v>100</v>
      </c>
      <c r="V32" s="667" t="s">
        <v>14</v>
      </c>
      <c r="W32" s="668">
        <f t="shared" si="14"/>
        <v>100</v>
      </c>
      <c r="X32" s="1265"/>
      <c r="Y32" s="352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522"/>
      <c r="Q33" s="1263" t="str">
        <f t="shared" si="11"/>
        <v>是否直接入户</v>
      </c>
      <c r="R33" s="667" t="s">
        <v>14</v>
      </c>
      <c r="S33" s="668">
        <f t="shared" si="12"/>
        <v>100</v>
      </c>
      <c r="T33" s="667" t="s">
        <v>14</v>
      </c>
      <c r="U33" s="668">
        <f t="shared" si="13"/>
        <v>100</v>
      </c>
      <c r="V33" s="667" t="s">
        <v>14</v>
      </c>
      <c r="W33" s="668">
        <f t="shared" si="14"/>
        <v>100</v>
      </c>
      <c r="X33" s="1265"/>
      <c r="Y33" s="352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22"/>
      <c r="Q34" s="1263">
        <f t="shared" si="11"/>
        <v>111</v>
      </c>
      <c r="R34" s="667" t="s">
        <v>14</v>
      </c>
      <c r="S34" s="668">
        <f t="shared" si="12"/>
        <v>100</v>
      </c>
      <c r="T34" s="667" t="s">
        <v>14</v>
      </c>
      <c r="U34" s="668">
        <f t="shared" si="13"/>
        <v>100</v>
      </c>
      <c r="V34" s="667" t="s">
        <v>14</v>
      </c>
      <c r="W34" s="668">
        <f t="shared" si="14"/>
        <v>100</v>
      </c>
      <c r="X34" s="1265"/>
      <c r="Y34" s="352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22"/>
      <c r="Q35" s="531">
        <f t="shared" si="11"/>
        <v>111</v>
      </c>
      <c r="R35" s="669" t="s">
        <v>14</v>
      </c>
      <c r="S35" s="670">
        <f t="shared" si="12"/>
        <v>100</v>
      </c>
      <c r="T35" s="669" t="s">
        <v>14</v>
      </c>
      <c r="U35" s="670">
        <f t="shared" si="13"/>
        <v>100</v>
      </c>
      <c r="V35" s="669" t="s">
        <v>14</v>
      </c>
      <c r="W35" s="670">
        <f t="shared" si="14"/>
        <v>100</v>
      </c>
      <c r="X35" s="671"/>
      <c r="Y35" s="352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22"/>
      <c r="Q36" s="1263">
        <f t="shared" si="11"/>
        <v>111</v>
      </c>
      <c r="R36" s="667" t="s">
        <v>14</v>
      </c>
      <c r="S36" s="668">
        <f t="shared" si="12"/>
        <v>100</v>
      </c>
      <c r="T36" s="667" t="s">
        <v>14</v>
      </c>
      <c r="U36" s="668">
        <f t="shared" si="13"/>
        <v>100</v>
      </c>
      <c r="V36" s="667" t="s">
        <v>14</v>
      </c>
      <c r="W36" s="668">
        <f t="shared" si="14"/>
        <v>100</v>
      </c>
      <c r="X36" s="1265"/>
      <c r="Y36" s="3522"/>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4"/>
      <c r="M37" s="2487"/>
      <c r="N37" s="2487"/>
      <c r="O37" s="2487"/>
      <c r="P37" s="3524" t="str">
        <f>A37</f>
        <v>成交单价</v>
      </c>
      <c r="Q37" s="3524"/>
      <c r="R37" s="3485">
        <f>E37</f>
        <v>0</v>
      </c>
      <c r="S37" s="3485"/>
      <c r="T37" s="3485">
        <f>G37</f>
        <v>0</v>
      </c>
      <c r="U37" s="3485"/>
      <c r="V37" s="3485">
        <f>I37</f>
        <v>0</v>
      </c>
      <c r="W37" s="348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524" t="str">
        <f>A38</f>
        <v>比较价值（元/平方米）</v>
      </c>
      <c r="Q38" s="3524"/>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525" t="str">
        <f>A39</f>
        <v>估价对象XX用房的比较价值（楼面单价，元/平方米）</v>
      </c>
      <c r="Q39" s="3526"/>
      <c r="R39" s="3571" t="e">
        <f>IF(F1="售价",ROUND(IF(D38="简单平均",AVERAGE(R38:W38),R38*F38+T38*H38+V38*J38),0),ROUND(IF(D38="简单平均",AVERAGE(R38:V38),R38*F38+T38*H38+V38*J38),1))</f>
        <v>#DIV/0!</v>
      </c>
      <c r="S39" s="3571"/>
      <c r="T39" s="3571"/>
      <c r="U39" s="3571"/>
      <c r="V39" s="3571"/>
      <c r="W39" s="357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2023-11</v>
      </c>
      <c r="D48" s="1104">
        <f>EDATE(C48,-1)</f>
        <v>45200</v>
      </c>
      <c r="E48" s="1104">
        <f t="shared" ref="E48:O48" si="16">EDATE(D48,-1)</f>
        <v>45170</v>
      </c>
      <c r="F48" s="1104">
        <f t="shared" si="16"/>
        <v>45139</v>
      </c>
      <c r="G48" s="1104">
        <f t="shared" si="16"/>
        <v>45108</v>
      </c>
      <c r="H48" s="1104">
        <f t="shared" si="16"/>
        <v>45078</v>
      </c>
      <c r="I48" s="1104">
        <f t="shared" si="16"/>
        <v>45047</v>
      </c>
      <c r="J48" s="1104">
        <f t="shared" si="16"/>
        <v>45017</v>
      </c>
      <c r="K48" s="1104">
        <f t="shared" si="16"/>
        <v>44986</v>
      </c>
      <c r="L48" s="1104">
        <f t="shared" si="16"/>
        <v>44958</v>
      </c>
      <c r="M48" s="1104">
        <f t="shared" si="16"/>
        <v>44927</v>
      </c>
      <c r="N48" s="1104">
        <f t="shared" si="16"/>
        <v>44896</v>
      </c>
      <c r="O48" s="1104">
        <f t="shared" si="16"/>
        <v>44866</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B13" zoomScale="90" zoomScaleNormal="80" zoomScaleSheetLayoutView="90" workbookViewId="0">
      <selection activeCell="C58" sqref="C5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146.99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301</v>
      </c>
      <c r="C2" s="1846" t="s">
        <v>1935</v>
      </c>
      <c r="D2" s="162" t="s">
        <v>1936</v>
      </c>
      <c r="E2" s="3120"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30714</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20478</v>
      </c>
      <c r="C3" s="1846" t="s">
        <v>1941</v>
      </c>
      <c r="D3" s="162" t="s">
        <v>1942</v>
      </c>
      <c r="E3" s="3118" t="s">
        <v>2440</v>
      </c>
      <c r="F3" s="1848" t="s">
        <v>3669</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23240</v>
      </c>
      <c r="N3" s="813">
        <f>SUMPRODUCT((因素修正幅度!B30:B54=I2)*(因素修正幅度!C3:G3=E2)*(因素修正幅度!C30:G54))</f>
        <v>0.1</v>
      </c>
      <c r="O3" s="1056"/>
      <c r="P3" s="1056"/>
      <c r="Q3" s="1056"/>
      <c r="R3" s="1129">
        <v>2</v>
      </c>
      <c r="S3" s="3063">
        <f>ROUND(SUMPRODUCT((B106:B110=R3)*(C105:N105=G2)*(C106:N110)),4)</f>
        <v>1.1838</v>
      </c>
      <c r="T3" s="3063">
        <f t="shared" si="0"/>
        <v>24209</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579"/>
      <c r="B4" s="3580"/>
      <c r="C4" s="3580"/>
      <c r="D4" s="3581"/>
      <c r="E4" s="3581"/>
      <c r="F4" s="3581"/>
      <c r="G4" s="3581"/>
      <c r="H4" s="3581"/>
      <c r="I4" s="3581"/>
      <c r="J4" s="358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20460</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23240</v>
      </c>
      <c r="D5" s="1252">
        <f>ROUND(C6*C17+C20,0)</f>
        <v>23240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18045</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23240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17342</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2.5</v>
      </c>
      <c r="AA7" s="1133"/>
      <c r="AB7" s="1133"/>
      <c r="AC7" s="1134"/>
      <c r="AD7" s="1135"/>
      <c r="AE7" s="1135"/>
      <c r="AF7" s="1135"/>
      <c r="AG7" s="1135"/>
      <c r="AH7" s="1135"/>
      <c r="AI7" s="1135"/>
      <c r="AJ7" s="1136"/>
    </row>
    <row r="8" spans="1:36" ht="25.5">
      <c r="A8" s="3009"/>
      <c r="B8" s="162" t="s">
        <v>1957</v>
      </c>
      <c r="C8" s="1870" t="s">
        <v>3667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76" t="s">
        <v>1960</v>
      </c>
      <c r="X8" s="357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78"/>
      <c r="X9" s="3064" t="s">
        <v>3269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7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3239</v>
      </c>
      <c r="B12" s="3013" t="s">
        <v>3240</v>
      </c>
      <c r="C12" s="3014">
        <v>1</v>
      </c>
      <c r="D12" s="3015" t="s">
        <v>3241</v>
      </c>
      <c r="E12" s="3016" t="s">
        <v>3242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3244</v>
      </c>
      <c r="G14" s="3020" t="s">
        <v>3244</v>
      </c>
      <c r="H14" s="3020" t="s">
        <v>3244</v>
      </c>
      <c r="I14" s="3020" t="s">
        <v>3244</v>
      </c>
      <c r="J14" s="3020" t="s">
        <v>3244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3245</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3246</v>
      </c>
      <c r="B17" s="3027" t="s">
        <v>3247</v>
      </c>
      <c r="C17" s="3036">
        <f>ROUND(IF(OR(E2="工业",E2="公共服务"),1,IF(AND(E18=0,E19=0),1,IF(AND(E18=J24,E19=G19),0.8,IF(E19=0,1+E17*(-0.2),1+E17*G17*(-0.2))))),4)</f>
        <v>1</v>
      </c>
      <c r="D17" s="3028" t="s">
        <v>3248</v>
      </c>
      <c r="E17" s="3036">
        <f>ROUND(G18/I18,2)</f>
        <v>0</v>
      </c>
      <c r="F17" s="3028" t="s">
        <v>3251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3249</v>
      </c>
      <c r="E18" s="2356"/>
      <c r="F18" s="3030" t="s">
        <v>3252</v>
      </c>
      <c r="G18" s="3034">
        <f>ROUND(1-(1/(POWER(1+G24,E18))),4)</f>
        <v>0</v>
      </c>
      <c r="H18" s="3030" t="s">
        <v>3254</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3250</v>
      </c>
      <c r="E19" s="3043"/>
      <c r="F19" s="3044" t="s">
        <v>3253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83" t="s">
        <v>3255</v>
      </c>
      <c r="B20" s="159" t="s">
        <v>1994</v>
      </c>
      <c r="C20" s="3031">
        <f>ROUND(IF(F21="与级别开发程度一致",0,(G21-E21)/C21),0)</f>
        <v>0</v>
      </c>
      <c r="D20" s="3046" t="s">
        <v>1998</v>
      </c>
      <c r="E20" s="3047"/>
      <c r="F20" s="3589" t="s">
        <v>1995</v>
      </c>
      <c r="G20" s="3590"/>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8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3668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896" t="s">
        <v>2002</v>
      </c>
      <c r="E23" s="717">
        <v>44197</v>
      </c>
      <c r="F23" s="1896" t="s">
        <v>2003</v>
      </c>
      <c r="G23" s="718">
        <f>'数据-取费表'!B2</f>
        <v>45254</v>
      </c>
      <c r="H23" s="3048" t="s">
        <v>3257</v>
      </c>
      <c r="I23" s="3049" t="str">
        <f>IF(H23="季度增幅（自定义）",SUMIF(N25:N28,E2,O25:O28),"")</f>
        <v/>
      </c>
      <c r="J23" s="3141" t="s">
        <v>3256</v>
      </c>
      <c r="K23" s="1061"/>
      <c r="L23" s="1897" t="s">
        <v>2004</v>
      </c>
      <c r="M23" s="1241">
        <f>ROUND(SUMIF(地价!B2:G2,E2,地价!B16:G16),0)</f>
        <v>350</v>
      </c>
      <c r="N23" s="1898" t="s">
        <v>2005</v>
      </c>
      <c r="O23" s="719">
        <f>ROUNDDOWN(DATEDIF(E23,G23,"M")/3,0)</f>
        <v>11</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0.80410000000000004</v>
      </c>
      <c r="D24" s="1902" t="s">
        <v>2007</v>
      </c>
      <c r="E24" s="1248">
        <f>存贷款利率!E24/100</f>
        <v>4.3499999999999997E-2</v>
      </c>
      <c r="F24" s="1902" t="s">
        <v>1999</v>
      </c>
      <c r="G24" s="724">
        <f>SUMIF(M30:Q30,E2,M33:Q33)</f>
        <v>5.5E-2</v>
      </c>
      <c r="H24" s="1902" t="s">
        <v>2008</v>
      </c>
      <c r="I24" s="725">
        <f>SUMIF('数据-取费表'!C6:C15,E2,'数据-取费表'!F6:F15)/COUNTIF('数据-取费表'!C6:C15,E2)</f>
        <v>23.1</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3336</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3258</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1.0475000000000001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301</v>
      </c>
      <c r="D30" s="1925"/>
      <c r="E30" s="1842"/>
      <c r="F30" s="1926"/>
      <c r="G30" s="1842"/>
      <c r="H30" s="1842"/>
      <c r="I30" s="1842"/>
      <c r="J30" s="1927"/>
      <c r="K30" s="1056"/>
      <c r="L30" s="3055" t="s">
        <v>1936</v>
      </c>
      <c r="M30" s="3056" t="s">
        <v>1990</v>
      </c>
      <c r="N30" s="3056" t="s">
        <v>1991</v>
      </c>
      <c r="O30" s="3056" t="s">
        <v>1992</v>
      </c>
      <c r="P30" s="3056" t="s">
        <v>1993</v>
      </c>
      <c r="Q30" s="3059"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20450</v>
      </c>
      <c r="D33" s="1940">
        <f>'数据-汇总表'!F19</f>
        <v>146.99</v>
      </c>
      <c r="E33" s="727">
        <f>ROUND(C33*D33/10000,0)</f>
        <v>301</v>
      </c>
      <c r="F33" s="3050" t="s">
        <v>3261</v>
      </c>
      <c r="G33" s="1941"/>
      <c r="H33" s="1941"/>
      <c r="I33" s="1941"/>
      <c r="J33" s="1942"/>
      <c r="K33" s="1056"/>
      <c r="L33" s="3053" t="s">
        <v>3264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5113</v>
      </c>
      <c r="D34" s="1945"/>
      <c r="E34" s="727">
        <f>ROUND(IF(B25="楼层修正",SUM(V2:V16)*M40,C34*D34/10000),0)</f>
        <v>0</v>
      </c>
      <c r="F34" s="1946" t="s">
        <v>2032</v>
      </c>
      <c r="G34" s="1947"/>
      <c r="H34" s="1947"/>
      <c r="I34" s="1947"/>
      <c r="J34" s="1948"/>
      <c r="K34" s="1056"/>
      <c r="L34" s="3053" t="s">
        <v>3265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3266</v>
      </c>
      <c r="L36" s="3142">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87"/>
      <c r="B37" s="1955" t="s">
        <v>2036</v>
      </c>
      <c r="C37" s="167">
        <f>ROUND(D5*C22*C23*C24*C28*F37,0)</f>
        <v>12270</v>
      </c>
      <c r="D37" s="1940"/>
      <c r="E37" s="163">
        <f>ROUND(C37*D37/10000,0)</f>
        <v>0</v>
      </c>
      <c r="F37" s="163">
        <f>SUMIF(修正!A57:A68,G2,修正!B57:B68)</f>
        <v>0.6</v>
      </c>
      <c r="G37" s="163">
        <f>ROUND(IF(E2="工业",C37*$M$42,C37*$M$41),0)</f>
        <v>3068</v>
      </c>
      <c r="H37" s="163">
        <f>D37</f>
        <v>0</v>
      </c>
      <c r="I37" s="163">
        <f>ROUND(G37*H37/10000,0)</f>
        <v>0</v>
      </c>
      <c r="J37" s="2754"/>
      <c r="K37" s="3061" t="s">
        <v>3267</v>
      </c>
      <c r="L37" s="1964">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88"/>
      <c r="B38" s="1884" t="s">
        <v>2037</v>
      </c>
      <c r="C38" s="167">
        <f>ROUND(D5*C22*C23*C24*C28*F38,0)</f>
        <v>6135</v>
      </c>
      <c r="D38" s="1940"/>
      <c r="E38" s="163">
        <f t="shared" ref="E38:E42" si="4">ROUND(C38*D38/10000,0)</f>
        <v>0</v>
      </c>
      <c r="F38" s="163">
        <f>SUMIF(修正!A57:A68,G2,修正!C57:C68)</f>
        <v>0.3</v>
      </c>
      <c r="G38" s="163">
        <f>ROUND(IF(E2="工业",C38*$M$42,C38*$M$41),0)</f>
        <v>1534</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88"/>
      <c r="B39" s="1884" t="s">
        <v>3260</v>
      </c>
      <c r="C39" s="167">
        <f>ROUND(D5*C22*C23*C24*C28*F39,0)</f>
        <v>5112</v>
      </c>
      <c r="D39" s="1940"/>
      <c r="E39" s="163">
        <f t="shared" si="4"/>
        <v>0</v>
      </c>
      <c r="F39" s="163">
        <f>SUMIF(修正!A57:A68,G2,修正!D57:D68)</f>
        <v>0.25</v>
      </c>
      <c r="G39" s="163">
        <f>ROUND(IF(E2="工业",C39*$M$42,C39*$M$41),0)</f>
        <v>1278</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5112</v>
      </c>
      <c r="D40" s="1940"/>
      <c r="E40" s="163">
        <f t="shared" si="4"/>
        <v>0</v>
      </c>
      <c r="F40" s="167">
        <f>SUMIF(修正!A57:A68,G2,修正!E57:E68)</f>
        <v>0.25</v>
      </c>
      <c r="G40" s="163">
        <f>ROUND(IF(E2="工业",C40*$M$42,C40*$M$41),0)</f>
        <v>1278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2" t="s">
        <v>3268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1.0475000000000001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估价对象周边多为住宅、办公配套商业，人流量较大，商业繁华度较好。</v>
      </c>
      <c r="C50" s="1887" t="s">
        <v>3673</v>
      </c>
      <c r="D50" s="1002">
        <f t="shared" ref="D50:D58" si="7">SUMIF($J$49:$N$49,C50,J50:N50)</f>
        <v>1.4999999999999999E-2</v>
      </c>
      <c r="E50" s="702">
        <f>ROUND(SUM(D50:D58),4)</f>
        <v>4.7500000000000001E-2</v>
      </c>
      <c r="F50" s="1675">
        <f>IF(E2="商业",SUMIF(L1:L12,G2,N1:N12),"——")</f>
        <v>0.1</v>
      </c>
      <c r="G50" s="1000">
        <v>1.4999999999999999E-2</v>
      </c>
      <c r="H50" s="1003">
        <f t="shared" ref="H50:H58" si="8">IFERROR(ROUNDDOWN($F$50*I50/2,4),"——")</f>
        <v>1.4999999999999999E-2</v>
      </c>
      <c r="I50" s="3068">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76.5">
      <c r="A51" s="1970" t="s">
        <v>2053</v>
      </c>
      <c r="B51" s="1262" t="str">
        <f>估价对象房地状况!C18</f>
        <v>估价对象周边有专10路、23路、54路、91路、312路等多条公交线路，距离地铁7、10号线双井站约600米，周边道路网线较密集，通达度较好。综合评价交通便捷度较好。</v>
      </c>
      <c r="C51" s="1887" t="s">
        <v>3673</v>
      </c>
      <c r="D51" s="1002">
        <f t="shared" si="7"/>
        <v>1.0999999999999999E-2</v>
      </c>
      <c r="E51" s="703"/>
      <c r="F51" s="1675"/>
      <c r="G51" s="1000">
        <v>1.0999999999999999E-2</v>
      </c>
      <c r="H51" s="1003">
        <f t="shared" si="8"/>
        <v>1.0999999999999999E-2</v>
      </c>
      <c r="I51" s="3068">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70" t="s">
        <v>3270</v>
      </c>
      <c r="B52" s="1262">
        <f>估价对象房地状况!C19</f>
        <v>0</v>
      </c>
      <c r="C52" s="1887" t="s">
        <v>3673</v>
      </c>
      <c r="D52" s="1002">
        <f t="shared" si="7"/>
        <v>6.0000000000000001E-3</v>
      </c>
      <c r="E52" s="703"/>
      <c r="F52" s="1675"/>
      <c r="G52" s="1000">
        <v>6.0000000000000001E-3</v>
      </c>
      <c r="H52" s="1003">
        <f t="shared" si="8"/>
        <v>6.0000000000000001E-3</v>
      </c>
      <c r="I52" s="3068">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3673</v>
      </c>
      <c r="D53" s="1002">
        <f t="shared" si="7"/>
        <v>2.5000000000000001E-3</v>
      </c>
      <c r="E53" s="703"/>
      <c r="F53" s="1675"/>
      <c r="G53" s="1000">
        <v>2.5000000000000001E-3</v>
      </c>
      <c r="H53" s="1003">
        <f t="shared" si="8"/>
        <v>2.5000000000000001E-3</v>
      </c>
      <c r="I53" s="3068">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3674</v>
      </c>
      <c r="D54" s="1002">
        <f t="shared" si="7"/>
        <v>0</v>
      </c>
      <c r="E54" s="703"/>
      <c r="F54" s="1675"/>
      <c r="G54" s="1000">
        <v>4.0000000000000001E-3</v>
      </c>
      <c r="H54" s="1003">
        <f t="shared" si="8"/>
        <v>4.0000000000000001E-3</v>
      </c>
      <c r="I54" s="3068">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3673</v>
      </c>
      <c r="D55" s="1002">
        <f t="shared" si="7"/>
        <v>2.5000000000000001E-3</v>
      </c>
      <c r="E55" s="703"/>
      <c r="F55" s="1675"/>
      <c r="G55" s="1000">
        <v>2.5000000000000001E-3</v>
      </c>
      <c r="H55" s="1003">
        <f t="shared" si="8"/>
        <v>2.5000000000000001E-3</v>
      </c>
      <c r="I55" s="3068">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140.25">
      <c r="A56" s="1976" t="s">
        <v>2059</v>
      </c>
      <c r="B5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56" s="1887" t="s">
        <v>3673</v>
      </c>
      <c r="D56" s="1002">
        <f t="shared" si="7"/>
        <v>2.5000000000000001E-3</v>
      </c>
      <c r="E56" s="703"/>
      <c r="F56" s="1675"/>
      <c r="G56" s="1000">
        <v>2.5000000000000001E-3</v>
      </c>
      <c r="H56" s="1003">
        <f t="shared" si="8"/>
        <v>2.5000000000000001E-3</v>
      </c>
      <c r="I56" s="3068">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估价对象所在区域基础设施水平-七通</v>
      </c>
      <c r="C57" s="1887" t="s">
        <v>3675</v>
      </c>
      <c r="D57" s="1002">
        <f t="shared" si="7"/>
        <v>8.0000000000000002E-3</v>
      </c>
      <c r="E57" s="703"/>
      <c r="F57" s="1675"/>
      <c r="G57" s="1000">
        <v>4.0000000000000001E-3</v>
      </c>
      <c r="H57" s="1003">
        <f t="shared" si="8"/>
        <v>4.0000000000000001E-3</v>
      </c>
      <c r="I57" s="3068">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估价对象周边有九龙花园篮球场等自然人文场所，综合评价环境状况一般</v>
      </c>
      <c r="C58" s="1887" t="s">
        <v>3674</v>
      </c>
      <c r="D58" s="1002">
        <f t="shared" si="7"/>
        <v>0</v>
      </c>
      <c r="E58" s="704"/>
      <c r="F58" s="1675"/>
      <c r="G58" s="1000">
        <v>2.5000000000000001E-3</v>
      </c>
      <c r="H58" s="1003">
        <f t="shared" si="8"/>
        <v>2.5000000000000001E-3</v>
      </c>
      <c r="I58" s="3069">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估价对象位于双井商圈，周边办公楼项目较少，办公集聚程度一般</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6.5">
      <c r="A62" s="1970" t="s">
        <v>2053</v>
      </c>
      <c r="B62" s="1262" t="str">
        <f>估价对象房地状况!C18</f>
        <v>估价对象周边有专10路、23路、54路、91路、312路等多条公交线路，距离地铁7、10号线双井站约600米，周边道路网线较密集，通达度较好。综合评价交通便捷度较好。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3270</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40.25">
      <c r="A67" s="1970" t="s">
        <v>2059</v>
      </c>
      <c r="B67"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估价对象所在区域基础设施水平-七通</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估价对象周边有九龙花园篮球场等自然人文场所，综合评价环境状况一般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6.5">
      <c r="A73" s="1970" t="s">
        <v>2053</v>
      </c>
      <c r="B73" s="1262" t="str">
        <f>估价对象房地状况!C18</f>
        <v>估价对象周边有专10路、23路、54路、91路、312路等多条公交线路，距离地铁7、10号线双井站约600米，周边道路网线较密集，通达度较好。综合评价交通便捷度较好。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3270</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40.25">
      <c r="A76" s="1970" t="s">
        <v>2059</v>
      </c>
      <c r="B7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估价对象所在区域基础设施水平-七通</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估价对象周边有九龙花园篮球场等自然人文场所，综合评价环境状况一般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3271</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2613</v>
      </c>
      <c r="B91" s="3079">
        <f>1+E93</f>
        <v>1</v>
      </c>
      <c r="C91" s="3072"/>
      <c r="D91" s="3073"/>
      <c r="E91" s="1675"/>
      <c r="F91" s="1675"/>
      <c r="G91" s="3074"/>
      <c r="H91" s="3075"/>
      <c r="I91" s="3076"/>
      <c r="J91" s="3077"/>
      <c r="K91" s="3077"/>
      <c r="L91" s="3077"/>
      <c r="M91" s="3077"/>
      <c r="N91" s="3077"/>
    </row>
    <row r="92" spans="1:37" ht="24.75">
      <c r="A92" s="3080" t="s">
        <v>3272</v>
      </c>
      <c r="B92" s="2309"/>
      <c r="C92" s="2309" t="s">
        <v>3281</v>
      </c>
      <c r="D92" s="2309" t="s">
        <v>3282</v>
      </c>
      <c r="E92" s="3052" t="s">
        <v>3283</v>
      </c>
      <c r="F92" s="3082" t="s">
        <v>3284</v>
      </c>
      <c r="G92" s="2309" t="s">
        <v>3285</v>
      </c>
      <c r="H92" s="3089" t="s">
        <v>3288</v>
      </c>
      <c r="I92" s="2309" t="s">
        <v>3289</v>
      </c>
      <c r="J92" s="2150" t="s">
        <v>3290</v>
      </c>
      <c r="K92" s="2150" t="s">
        <v>3291</v>
      </c>
      <c r="L92" s="2150" t="s">
        <v>3292</v>
      </c>
      <c r="M92" s="2150" t="s">
        <v>3293</v>
      </c>
      <c r="N92" s="2150" t="s">
        <v>3294</v>
      </c>
    </row>
    <row r="93" spans="1:37" ht="24">
      <c r="A93" s="3070" t="s">
        <v>3273</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76.5">
      <c r="A94" s="3080" t="s">
        <v>3274</v>
      </c>
      <c r="B94" s="3071" t="str">
        <f>估价对象房地状况!C18</f>
        <v>估价对象周边有专10路、23路、54路、91路、312路等多条公交线路，距离地铁7、10号线双井站约600米，周边道路网线较密集，通达度较好。综合评价交通便捷度较好。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3270</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3275</v>
      </c>
      <c r="B96" s="3086" t="s">
        <v>3286</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3276</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3277</v>
      </c>
      <c r="B98" s="3087" t="s">
        <v>3287</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140.25">
      <c r="A99" s="3080" t="s">
        <v>3278</v>
      </c>
      <c r="B99" s="3071"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3279</v>
      </c>
      <c r="B100" s="3071" t="str">
        <f>估价对象房地状况!C22</f>
        <v>估价对象所在区域基础设施水平-七通</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39" thickBot="1">
      <c r="A101" s="3081" t="s">
        <v>3280</v>
      </c>
      <c r="B101" s="3088" t="str">
        <f>估价对象房地状况!C20</f>
        <v>估价对象周边有九龙花园篮球场等自然人文场所，综合评价环境状况一般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585" t="s">
        <v>3295</v>
      </c>
      <c r="B103" s="3585"/>
      <c r="C103" s="3585"/>
      <c r="D103" s="3585"/>
      <c r="E103" s="3585"/>
      <c r="F103" s="3585"/>
      <c r="G103" s="3585"/>
      <c r="H103" s="3585"/>
      <c r="I103" s="3585"/>
      <c r="J103" s="3585"/>
      <c r="K103" s="1667"/>
      <c r="L103" s="1667"/>
      <c r="M103" s="1667"/>
      <c r="N103" s="1667"/>
    </row>
    <row r="104" spans="1:14">
      <c r="A104" s="3586" t="s">
        <v>3296</v>
      </c>
      <c r="B104" s="3586" t="s">
        <v>3297</v>
      </c>
      <c r="C104" s="3090" t="s">
        <v>3298</v>
      </c>
      <c r="D104" s="3091"/>
      <c r="E104" s="3091"/>
      <c r="F104" s="3091"/>
      <c r="G104" s="3091"/>
      <c r="H104" s="3091"/>
      <c r="I104" s="3091"/>
      <c r="J104" s="3092"/>
      <c r="K104" s="3093"/>
      <c r="L104" s="3093"/>
      <c r="M104" s="3093"/>
      <c r="N104" s="3093"/>
    </row>
    <row r="105" spans="1:14">
      <c r="A105" s="3586"/>
      <c r="B105" s="3586"/>
      <c r="C105" s="3094" t="s">
        <v>3299</v>
      </c>
      <c r="D105" s="3094" t="s">
        <v>3300</v>
      </c>
      <c r="E105" s="3094" t="s">
        <v>3301</v>
      </c>
      <c r="F105" s="3094" t="s">
        <v>3302</v>
      </c>
      <c r="G105" s="3094" t="s">
        <v>3303</v>
      </c>
      <c r="H105" s="3094" t="s">
        <v>3304</v>
      </c>
      <c r="I105" s="3094" t="s">
        <v>3305</v>
      </c>
      <c r="J105" s="3094" t="s">
        <v>3306</v>
      </c>
      <c r="K105" s="3094" t="s">
        <v>3307</v>
      </c>
      <c r="L105" s="3094" t="s">
        <v>3308</v>
      </c>
      <c r="M105" s="3094" t="s">
        <v>3309</v>
      </c>
      <c r="N105" s="3094" t="s">
        <v>3310</v>
      </c>
    </row>
    <row r="106" spans="1:14">
      <c r="A106" s="3572" t="s">
        <v>3311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7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7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7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7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73"/>
      <c r="B111" s="3094" t="s">
        <v>3269</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7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75" t="s">
        <v>3312</v>
      </c>
      <c r="B113" s="3575"/>
      <c r="C113" s="3575"/>
      <c r="D113" s="3575"/>
      <c r="E113" s="3575"/>
      <c r="F113" s="3575"/>
      <c r="G113" s="3575"/>
      <c r="H113" s="3575"/>
      <c r="I113" s="3575"/>
      <c r="J113" s="3575"/>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3313</v>
      </c>
      <c r="B116" s="3114">
        <f>G3</f>
        <v>2.5</v>
      </c>
      <c r="C116" s="3099" t="s">
        <v>3314</v>
      </c>
      <c r="D116" s="3100">
        <f>SUMPRODUCT((A118:A122=F116)*(B117:M117=H116)*B118:M122)</f>
        <v>0.91400000000000003</v>
      </c>
      <c r="E116" s="162" t="s">
        <v>3315</v>
      </c>
      <c r="F116" s="3101" t="str">
        <f>E2</f>
        <v>商业</v>
      </c>
      <c r="G116" s="162" t="s">
        <v>3316</v>
      </c>
      <c r="H116" s="3101" t="str">
        <f>G2</f>
        <v>三级</v>
      </c>
      <c r="I116" s="162"/>
      <c r="J116" s="3102"/>
      <c r="K116" s="3102"/>
      <c r="L116" s="3102"/>
      <c r="M116" s="3102"/>
      <c r="N116" s="3097"/>
    </row>
    <row r="117" spans="1:14">
      <c r="A117" s="3103"/>
      <c r="B117" s="3104" t="s">
        <v>3317</v>
      </c>
      <c r="C117" s="3104" t="s">
        <v>3318</v>
      </c>
      <c r="D117" s="3104" t="s">
        <v>3319</v>
      </c>
      <c r="E117" s="3105" t="s">
        <v>3320</v>
      </c>
      <c r="F117" s="3105" t="s">
        <v>3321</v>
      </c>
      <c r="G117" s="3105" t="s">
        <v>3322</v>
      </c>
      <c r="H117" s="3106" t="s">
        <v>3323</v>
      </c>
      <c r="I117" s="3106" t="s">
        <v>3324</v>
      </c>
      <c r="J117" s="3107" t="s">
        <v>3325</v>
      </c>
      <c r="K117" s="3107" t="s">
        <v>3326</v>
      </c>
      <c r="L117" s="3107" t="s">
        <v>3327</v>
      </c>
      <c r="M117" s="3108" t="s">
        <v>3328</v>
      </c>
      <c r="N117" s="3097"/>
    </row>
    <row r="118" spans="1:14">
      <c r="A118" s="3057" t="s">
        <v>3329</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3330</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3331</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3332</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2613</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4" priority="6" stopIfTrue="1" operator="notEqual">
      <formula>"——"</formula>
    </cfRule>
  </conditionalFormatting>
  <conditionalFormatting sqref="F61">
    <cfRule type="cellIs" dxfId="53" priority="5" stopIfTrue="1" operator="notEqual">
      <formula>"——"</formula>
    </cfRule>
  </conditionalFormatting>
  <conditionalFormatting sqref="F72">
    <cfRule type="cellIs" dxfId="52" priority="4" stopIfTrue="1" operator="notEqual">
      <formula>"——"</formula>
    </cfRule>
  </conditionalFormatting>
  <conditionalFormatting sqref="F83">
    <cfRule type="cellIs" dxfId="51" priority="3" stopIfTrue="1" operator="notEqual">
      <formula>"——"</formula>
    </cfRule>
  </conditionalFormatting>
  <conditionalFormatting sqref="H50:H58 H61:H69 H72:H80 H83:H91">
    <cfRule type="cellIs" dxfId="50" priority="2" operator="notEqual">
      <formula>"——"</formula>
    </cfRule>
  </conditionalFormatting>
  <conditionalFormatting sqref="H93:H101">
    <cfRule type="cellIs" dxfId="49"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6D348-7EBA-4C69-B73A-85B9980E3349}">
  <sheetPr>
    <tabColor theme="9" tint="-0.249977111117893"/>
  </sheetPr>
  <dimension ref="K2:M14"/>
  <sheetViews>
    <sheetView workbookViewId="0">
      <selection activeCell="M14" sqref="M14"/>
    </sheetView>
  </sheetViews>
  <sheetFormatPr defaultRowHeight="13.5"/>
  <sheetData>
    <row r="2" spans="11:13">
      <c r="K2" s="1405" t="s">
        <v>3656</v>
      </c>
      <c r="L2">
        <v>1100</v>
      </c>
      <c r="M2">
        <v>6.5</v>
      </c>
    </row>
    <row r="3" spans="11:13">
      <c r="K3" s="3241" t="s">
        <v>3657</v>
      </c>
      <c r="L3" s="3241">
        <v>500</v>
      </c>
      <c r="M3" s="3241">
        <v>7</v>
      </c>
    </row>
    <row r="4" spans="11:13">
      <c r="K4" s="3241" t="s">
        <v>3658</v>
      </c>
      <c r="L4" s="3241">
        <v>75</v>
      </c>
      <c r="M4" s="3241">
        <v>7.11</v>
      </c>
    </row>
    <row r="5" spans="11:13">
      <c r="K5" s="3240" t="s">
        <v>3659</v>
      </c>
      <c r="L5" s="3240">
        <v>135</v>
      </c>
      <c r="M5" s="3240">
        <v>6.17</v>
      </c>
    </row>
    <row r="6" spans="11:13">
      <c r="K6" s="3239" t="s">
        <v>3659</v>
      </c>
      <c r="L6" s="3239">
        <v>300</v>
      </c>
      <c r="M6" s="3239">
        <v>8.6999999999999993</v>
      </c>
    </row>
    <row r="7" spans="11:13">
      <c r="K7" s="3241" t="s">
        <v>3660</v>
      </c>
      <c r="L7" s="3241">
        <v>200</v>
      </c>
      <c r="M7" s="3241">
        <v>6.67</v>
      </c>
    </row>
    <row r="12" spans="11:13">
      <c r="K12" s="1405" t="s">
        <v>3697</v>
      </c>
      <c r="L12">
        <v>380</v>
      </c>
      <c r="M12">
        <v>0.8</v>
      </c>
    </row>
    <row r="13" spans="11:13">
      <c r="K13" s="1405" t="s">
        <v>3657</v>
      </c>
      <c r="L13">
        <v>380</v>
      </c>
      <c r="M13">
        <v>1.2</v>
      </c>
    </row>
    <row r="14" spans="11:13">
      <c r="K14" s="1405" t="s">
        <v>3698</v>
      </c>
      <c r="L14">
        <v>200</v>
      </c>
      <c r="M14">
        <v>0.8</v>
      </c>
    </row>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21CA5-68B4-4D34-AAB1-5343C740F7EF}">
  <sheetPr>
    <tabColor rgb="FFFFC000"/>
  </sheetPr>
  <dimension ref="A1:P45"/>
  <sheetViews>
    <sheetView topLeftCell="B1" zoomScale="90" zoomScaleNormal="90" workbookViewId="0">
      <selection activeCell="I32" sqref="I32"/>
    </sheetView>
  </sheetViews>
  <sheetFormatPr defaultRowHeight="13.5"/>
  <cols>
    <col min="1" max="1" width="6.375" style="3181" customWidth="1"/>
    <col min="2" max="2" width="19.375" style="3156" customWidth="1"/>
    <col min="3" max="3" width="7" style="3181" customWidth="1"/>
    <col min="4" max="4" width="3.875" style="3181" customWidth="1"/>
    <col min="5" max="5" width="7.375" style="3181" customWidth="1"/>
    <col min="6" max="6" width="3.5" style="3181" customWidth="1"/>
    <col min="7" max="7" width="19.375" style="3226" customWidth="1"/>
    <col min="8" max="8" width="19.5" style="3181" customWidth="1"/>
    <col min="9" max="9" width="8.625" style="3181" customWidth="1"/>
    <col min="10" max="10" width="10.5" style="3149" customWidth="1"/>
    <col min="11" max="11" width="4.875" style="3149" customWidth="1"/>
    <col min="12" max="12" width="16.375" style="3149" customWidth="1"/>
    <col min="13" max="16" width="8.125" style="3181" customWidth="1"/>
    <col min="17" max="256" width="9" style="3181"/>
    <col min="257" max="257" width="6.375" style="3181" customWidth="1"/>
    <col min="258" max="258" width="19.375" style="3181" customWidth="1"/>
    <col min="259" max="259" width="7" style="3181" customWidth="1"/>
    <col min="260" max="260" width="3.25" style="3181" customWidth="1"/>
    <col min="261" max="261" width="7.375" style="3181" customWidth="1"/>
    <col min="262" max="262" width="3.5" style="3181" customWidth="1"/>
    <col min="263" max="263" width="19.375" style="3181" customWidth="1"/>
    <col min="264" max="264" width="19.5" style="3181" customWidth="1"/>
    <col min="265" max="265" width="8.625" style="3181" customWidth="1"/>
    <col min="266" max="266" width="10.5" style="3181" customWidth="1"/>
    <col min="267" max="267" width="4.875" style="3181" customWidth="1"/>
    <col min="268" max="268" width="16.375" style="3181" customWidth="1"/>
    <col min="269" max="272" width="8.125" style="3181" customWidth="1"/>
    <col min="273" max="512" width="9" style="3181"/>
    <col min="513" max="513" width="6.375" style="3181" customWidth="1"/>
    <col min="514" max="514" width="19.375" style="3181" customWidth="1"/>
    <col min="515" max="515" width="7" style="3181" customWidth="1"/>
    <col min="516" max="516" width="3.25" style="3181" customWidth="1"/>
    <col min="517" max="517" width="7.375" style="3181" customWidth="1"/>
    <col min="518" max="518" width="3.5" style="3181" customWidth="1"/>
    <col min="519" max="519" width="19.375" style="3181" customWidth="1"/>
    <col min="520" max="520" width="19.5" style="3181" customWidth="1"/>
    <col min="521" max="521" width="8.625" style="3181" customWidth="1"/>
    <col min="522" max="522" width="10.5" style="3181" customWidth="1"/>
    <col min="523" max="523" width="4.875" style="3181" customWidth="1"/>
    <col min="524" max="524" width="16.375" style="3181" customWidth="1"/>
    <col min="525" max="528" width="8.125" style="3181" customWidth="1"/>
    <col min="529" max="768" width="9" style="3181"/>
    <col min="769" max="769" width="6.375" style="3181" customWidth="1"/>
    <col min="770" max="770" width="19.375" style="3181" customWidth="1"/>
    <col min="771" max="771" width="7" style="3181" customWidth="1"/>
    <col min="772" max="772" width="3.25" style="3181" customWidth="1"/>
    <col min="773" max="773" width="7.375" style="3181" customWidth="1"/>
    <col min="774" max="774" width="3.5" style="3181" customWidth="1"/>
    <col min="775" max="775" width="19.375" style="3181" customWidth="1"/>
    <col min="776" max="776" width="19.5" style="3181" customWidth="1"/>
    <col min="777" max="777" width="8.625" style="3181" customWidth="1"/>
    <col min="778" max="778" width="10.5" style="3181" customWidth="1"/>
    <col min="779" max="779" width="4.875" style="3181" customWidth="1"/>
    <col min="780" max="780" width="16.375" style="3181" customWidth="1"/>
    <col min="781" max="784" width="8.125" style="3181" customWidth="1"/>
    <col min="785" max="1024" width="9" style="3181"/>
    <col min="1025" max="1025" width="6.375" style="3181" customWidth="1"/>
    <col min="1026" max="1026" width="19.375" style="3181" customWidth="1"/>
    <col min="1027" max="1027" width="7" style="3181" customWidth="1"/>
    <col min="1028" max="1028" width="3.25" style="3181" customWidth="1"/>
    <col min="1029" max="1029" width="7.375" style="3181" customWidth="1"/>
    <col min="1030" max="1030" width="3.5" style="3181" customWidth="1"/>
    <col min="1031" max="1031" width="19.375" style="3181" customWidth="1"/>
    <col min="1032" max="1032" width="19.5" style="3181" customWidth="1"/>
    <col min="1033" max="1033" width="8.625" style="3181" customWidth="1"/>
    <col min="1034" max="1034" width="10.5" style="3181" customWidth="1"/>
    <col min="1035" max="1035" width="4.875" style="3181" customWidth="1"/>
    <col min="1036" max="1036" width="16.375" style="3181" customWidth="1"/>
    <col min="1037" max="1040" width="8.125" style="3181" customWidth="1"/>
    <col min="1041" max="1280" width="9" style="3181"/>
    <col min="1281" max="1281" width="6.375" style="3181" customWidth="1"/>
    <col min="1282" max="1282" width="19.375" style="3181" customWidth="1"/>
    <col min="1283" max="1283" width="7" style="3181" customWidth="1"/>
    <col min="1284" max="1284" width="3.25" style="3181" customWidth="1"/>
    <col min="1285" max="1285" width="7.375" style="3181" customWidth="1"/>
    <col min="1286" max="1286" width="3.5" style="3181" customWidth="1"/>
    <col min="1287" max="1287" width="19.375" style="3181" customWidth="1"/>
    <col min="1288" max="1288" width="19.5" style="3181" customWidth="1"/>
    <col min="1289" max="1289" width="8.625" style="3181" customWidth="1"/>
    <col min="1290" max="1290" width="10.5" style="3181" customWidth="1"/>
    <col min="1291" max="1291" width="4.875" style="3181" customWidth="1"/>
    <col min="1292" max="1292" width="16.375" style="3181" customWidth="1"/>
    <col min="1293" max="1296" width="8.125" style="3181" customWidth="1"/>
    <col min="1297" max="1536" width="9" style="3181"/>
    <col min="1537" max="1537" width="6.375" style="3181" customWidth="1"/>
    <col min="1538" max="1538" width="19.375" style="3181" customWidth="1"/>
    <col min="1539" max="1539" width="7" style="3181" customWidth="1"/>
    <col min="1540" max="1540" width="3.25" style="3181" customWidth="1"/>
    <col min="1541" max="1541" width="7.375" style="3181" customWidth="1"/>
    <col min="1542" max="1542" width="3.5" style="3181" customWidth="1"/>
    <col min="1543" max="1543" width="19.375" style="3181" customWidth="1"/>
    <col min="1544" max="1544" width="19.5" style="3181" customWidth="1"/>
    <col min="1545" max="1545" width="8.625" style="3181" customWidth="1"/>
    <col min="1546" max="1546" width="10.5" style="3181" customWidth="1"/>
    <col min="1547" max="1547" width="4.875" style="3181" customWidth="1"/>
    <col min="1548" max="1548" width="16.375" style="3181" customWidth="1"/>
    <col min="1549" max="1552" width="8.125" style="3181" customWidth="1"/>
    <col min="1553" max="1792" width="9" style="3181"/>
    <col min="1793" max="1793" width="6.375" style="3181" customWidth="1"/>
    <col min="1794" max="1794" width="19.375" style="3181" customWidth="1"/>
    <col min="1795" max="1795" width="7" style="3181" customWidth="1"/>
    <col min="1796" max="1796" width="3.25" style="3181" customWidth="1"/>
    <col min="1797" max="1797" width="7.375" style="3181" customWidth="1"/>
    <col min="1798" max="1798" width="3.5" style="3181" customWidth="1"/>
    <col min="1799" max="1799" width="19.375" style="3181" customWidth="1"/>
    <col min="1800" max="1800" width="19.5" style="3181" customWidth="1"/>
    <col min="1801" max="1801" width="8.625" style="3181" customWidth="1"/>
    <col min="1802" max="1802" width="10.5" style="3181" customWidth="1"/>
    <col min="1803" max="1803" width="4.875" style="3181" customWidth="1"/>
    <col min="1804" max="1804" width="16.375" style="3181" customWidth="1"/>
    <col min="1805" max="1808" width="8.125" style="3181" customWidth="1"/>
    <col min="1809" max="2048" width="9" style="3181"/>
    <col min="2049" max="2049" width="6.375" style="3181" customWidth="1"/>
    <col min="2050" max="2050" width="19.375" style="3181" customWidth="1"/>
    <col min="2051" max="2051" width="7" style="3181" customWidth="1"/>
    <col min="2052" max="2052" width="3.25" style="3181" customWidth="1"/>
    <col min="2053" max="2053" width="7.375" style="3181" customWidth="1"/>
    <col min="2054" max="2054" width="3.5" style="3181" customWidth="1"/>
    <col min="2055" max="2055" width="19.375" style="3181" customWidth="1"/>
    <col min="2056" max="2056" width="19.5" style="3181" customWidth="1"/>
    <col min="2057" max="2057" width="8.625" style="3181" customWidth="1"/>
    <col min="2058" max="2058" width="10.5" style="3181" customWidth="1"/>
    <col min="2059" max="2059" width="4.875" style="3181" customWidth="1"/>
    <col min="2060" max="2060" width="16.375" style="3181" customWidth="1"/>
    <col min="2061" max="2064" width="8.125" style="3181" customWidth="1"/>
    <col min="2065" max="2304" width="9" style="3181"/>
    <col min="2305" max="2305" width="6.375" style="3181" customWidth="1"/>
    <col min="2306" max="2306" width="19.375" style="3181" customWidth="1"/>
    <col min="2307" max="2307" width="7" style="3181" customWidth="1"/>
    <col min="2308" max="2308" width="3.25" style="3181" customWidth="1"/>
    <col min="2309" max="2309" width="7.375" style="3181" customWidth="1"/>
    <col min="2310" max="2310" width="3.5" style="3181" customWidth="1"/>
    <col min="2311" max="2311" width="19.375" style="3181" customWidth="1"/>
    <col min="2312" max="2312" width="19.5" style="3181" customWidth="1"/>
    <col min="2313" max="2313" width="8.625" style="3181" customWidth="1"/>
    <col min="2314" max="2314" width="10.5" style="3181" customWidth="1"/>
    <col min="2315" max="2315" width="4.875" style="3181" customWidth="1"/>
    <col min="2316" max="2316" width="16.375" style="3181" customWidth="1"/>
    <col min="2317" max="2320" width="8.125" style="3181" customWidth="1"/>
    <col min="2321" max="2560" width="9" style="3181"/>
    <col min="2561" max="2561" width="6.375" style="3181" customWidth="1"/>
    <col min="2562" max="2562" width="19.375" style="3181" customWidth="1"/>
    <col min="2563" max="2563" width="7" style="3181" customWidth="1"/>
    <col min="2564" max="2564" width="3.25" style="3181" customWidth="1"/>
    <col min="2565" max="2565" width="7.375" style="3181" customWidth="1"/>
    <col min="2566" max="2566" width="3.5" style="3181" customWidth="1"/>
    <col min="2567" max="2567" width="19.375" style="3181" customWidth="1"/>
    <col min="2568" max="2568" width="19.5" style="3181" customWidth="1"/>
    <col min="2569" max="2569" width="8.625" style="3181" customWidth="1"/>
    <col min="2570" max="2570" width="10.5" style="3181" customWidth="1"/>
    <col min="2571" max="2571" width="4.875" style="3181" customWidth="1"/>
    <col min="2572" max="2572" width="16.375" style="3181" customWidth="1"/>
    <col min="2573" max="2576" width="8.125" style="3181" customWidth="1"/>
    <col min="2577" max="2816" width="9" style="3181"/>
    <col min="2817" max="2817" width="6.375" style="3181" customWidth="1"/>
    <col min="2818" max="2818" width="19.375" style="3181" customWidth="1"/>
    <col min="2819" max="2819" width="7" style="3181" customWidth="1"/>
    <col min="2820" max="2820" width="3.25" style="3181" customWidth="1"/>
    <col min="2821" max="2821" width="7.375" style="3181" customWidth="1"/>
    <col min="2822" max="2822" width="3.5" style="3181" customWidth="1"/>
    <col min="2823" max="2823" width="19.375" style="3181" customWidth="1"/>
    <col min="2824" max="2824" width="19.5" style="3181" customWidth="1"/>
    <col min="2825" max="2825" width="8.625" style="3181" customWidth="1"/>
    <col min="2826" max="2826" width="10.5" style="3181" customWidth="1"/>
    <col min="2827" max="2827" width="4.875" style="3181" customWidth="1"/>
    <col min="2828" max="2828" width="16.375" style="3181" customWidth="1"/>
    <col min="2829" max="2832" width="8.125" style="3181" customWidth="1"/>
    <col min="2833" max="3072" width="9" style="3181"/>
    <col min="3073" max="3073" width="6.375" style="3181" customWidth="1"/>
    <col min="3074" max="3074" width="19.375" style="3181" customWidth="1"/>
    <col min="3075" max="3075" width="7" style="3181" customWidth="1"/>
    <col min="3076" max="3076" width="3.25" style="3181" customWidth="1"/>
    <col min="3077" max="3077" width="7.375" style="3181" customWidth="1"/>
    <col min="3078" max="3078" width="3.5" style="3181" customWidth="1"/>
    <col min="3079" max="3079" width="19.375" style="3181" customWidth="1"/>
    <col min="3080" max="3080" width="19.5" style="3181" customWidth="1"/>
    <col min="3081" max="3081" width="8.625" style="3181" customWidth="1"/>
    <col min="3082" max="3082" width="10.5" style="3181" customWidth="1"/>
    <col min="3083" max="3083" width="4.875" style="3181" customWidth="1"/>
    <col min="3084" max="3084" width="16.375" style="3181" customWidth="1"/>
    <col min="3085" max="3088" width="8.125" style="3181" customWidth="1"/>
    <col min="3089" max="3328" width="9" style="3181"/>
    <col min="3329" max="3329" width="6.375" style="3181" customWidth="1"/>
    <col min="3330" max="3330" width="19.375" style="3181" customWidth="1"/>
    <col min="3331" max="3331" width="7" style="3181" customWidth="1"/>
    <col min="3332" max="3332" width="3.25" style="3181" customWidth="1"/>
    <col min="3333" max="3333" width="7.375" style="3181" customWidth="1"/>
    <col min="3334" max="3334" width="3.5" style="3181" customWidth="1"/>
    <col min="3335" max="3335" width="19.375" style="3181" customWidth="1"/>
    <col min="3336" max="3336" width="19.5" style="3181" customWidth="1"/>
    <col min="3337" max="3337" width="8.625" style="3181" customWidth="1"/>
    <col min="3338" max="3338" width="10.5" style="3181" customWidth="1"/>
    <col min="3339" max="3339" width="4.875" style="3181" customWidth="1"/>
    <col min="3340" max="3340" width="16.375" style="3181" customWidth="1"/>
    <col min="3341" max="3344" width="8.125" style="3181" customWidth="1"/>
    <col min="3345" max="3584" width="9" style="3181"/>
    <col min="3585" max="3585" width="6.375" style="3181" customWidth="1"/>
    <col min="3586" max="3586" width="19.375" style="3181" customWidth="1"/>
    <col min="3587" max="3587" width="7" style="3181" customWidth="1"/>
    <col min="3588" max="3588" width="3.25" style="3181" customWidth="1"/>
    <col min="3589" max="3589" width="7.375" style="3181" customWidth="1"/>
    <col min="3590" max="3590" width="3.5" style="3181" customWidth="1"/>
    <col min="3591" max="3591" width="19.375" style="3181" customWidth="1"/>
    <col min="3592" max="3592" width="19.5" style="3181" customWidth="1"/>
    <col min="3593" max="3593" width="8.625" style="3181" customWidth="1"/>
    <col min="3594" max="3594" width="10.5" style="3181" customWidth="1"/>
    <col min="3595" max="3595" width="4.875" style="3181" customWidth="1"/>
    <col min="3596" max="3596" width="16.375" style="3181" customWidth="1"/>
    <col min="3597" max="3600" width="8.125" style="3181" customWidth="1"/>
    <col min="3601" max="3840" width="9" style="3181"/>
    <col min="3841" max="3841" width="6.375" style="3181" customWidth="1"/>
    <col min="3842" max="3842" width="19.375" style="3181" customWidth="1"/>
    <col min="3843" max="3843" width="7" style="3181" customWidth="1"/>
    <col min="3844" max="3844" width="3.25" style="3181" customWidth="1"/>
    <col min="3845" max="3845" width="7.375" style="3181" customWidth="1"/>
    <col min="3846" max="3846" width="3.5" style="3181" customWidth="1"/>
    <col min="3847" max="3847" width="19.375" style="3181" customWidth="1"/>
    <col min="3848" max="3848" width="19.5" style="3181" customWidth="1"/>
    <col min="3849" max="3849" width="8.625" style="3181" customWidth="1"/>
    <col min="3850" max="3850" width="10.5" style="3181" customWidth="1"/>
    <col min="3851" max="3851" width="4.875" style="3181" customWidth="1"/>
    <col min="3852" max="3852" width="16.375" style="3181" customWidth="1"/>
    <col min="3853" max="3856" width="8.125" style="3181" customWidth="1"/>
    <col min="3857" max="4096" width="9" style="3181"/>
    <col min="4097" max="4097" width="6.375" style="3181" customWidth="1"/>
    <col min="4098" max="4098" width="19.375" style="3181" customWidth="1"/>
    <col min="4099" max="4099" width="7" style="3181" customWidth="1"/>
    <col min="4100" max="4100" width="3.25" style="3181" customWidth="1"/>
    <col min="4101" max="4101" width="7.375" style="3181" customWidth="1"/>
    <col min="4102" max="4102" width="3.5" style="3181" customWidth="1"/>
    <col min="4103" max="4103" width="19.375" style="3181" customWidth="1"/>
    <col min="4104" max="4104" width="19.5" style="3181" customWidth="1"/>
    <col min="4105" max="4105" width="8.625" style="3181" customWidth="1"/>
    <col min="4106" max="4106" width="10.5" style="3181" customWidth="1"/>
    <col min="4107" max="4107" width="4.875" style="3181" customWidth="1"/>
    <col min="4108" max="4108" width="16.375" style="3181" customWidth="1"/>
    <col min="4109" max="4112" width="8.125" style="3181" customWidth="1"/>
    <col min="4113" max="4352" width="9" style="3181"/>
    <col min="4353" max="4353" width="6.375" style="3181" customWidth="1"/>
    <col min="4354" max="4354" width="19.375" style="3181" customWidth="1"/>
    <col min="4355" max="4355" width="7" style="3181" customWidth="1"/>
    <col min="4356" max="4356" width="3.25" style="3181" customWidth="1"/>
    <col min="4357" max="4357" width="7.375" style="3181" customWidth="1"/>
    <col min="4358" max="4358" width="3.5" style="3181" customWidth="1"/>
    <col min="4359" max="4359" width="19.375" style="3181" customWidth="1"/>
    <col min="4360" max="4360" width="19.5" style="3181" customWidth="1"/>
    <col min="4361" max="4361" width="8.625" style="3181" customWidth="1"/>
    <col min="4362" max="4362" width="10.5" style="3181" customWidth="1"/>
    <col min="4363" max="4363" width="4.875" style="3181" customWidth="1"/>
    <col min="4364" max="4364" width="16.375" style="3181" customWidth="1"/>
    <col min="4365" max="4368" width="8.125" style="3181" customWidth="1"/>
    <col min="4369" max="4608" width="9" style="3181"/>
    <col min="4609" max="4609" width="6.375" style="3181" customWidth="1"/>
    <col min="4610" max="4610" width="19.375" style="3181" customWidth="1"/>
    <col min="4611" max="4611" width="7" style="3181" customWidth="1"/>
    <col min="4612" max="4612" width="3.25" style="3181" customWidth="1"/>
    <col min="4613" max="4613" width="7.375" style="3181" customWidth="1"/>
    <col min="4614" max="4614" width="3.5" style="3181" customWidth="1"/>
    <col min="4615" max="4615" width="19.375" style="3181" customWidth="1"/>
    <col min="4616" max="4616" width="19.5" style="3181" customWidth="1"/>
    <col min="4617" max="4617" width="8.625" style="3181" customWidth="1"/>
    <col min="4618" max="4618" width="10.5" style="3181" customWidth="1"/>
    <col min="4619" max="4619" width="4.875" style="3181" customWidth="1"/>
    <col min="4620" max="4620" width="16.375" style="3181" customWidth="1"/>
    <col min="4621" max="4624" width="8.125" style="3181" customWidth="1"/>
    <col min="4625" max="4864" width="9" style="3181"/>
    <col min="4865" max="4865" width="6.375" style="3181" customWidth="1"/>
    <col min="4866" max="4866" width="19.375" style="3181" customWidth="1"/>
    <col min="4867" max="4867" width="7" style="3181" customWidth="1"/>
    <col min="4868" max="4868" width="3.25" style="3181" customWidth="1"/>
    <col min="4869" max="4869" width="7.375" style="3181" customWidth="1"/>
    <col min="4870" max="4870" width="3.5" style="3181" customWidth="1"/>
    <col min="4871" max="4871" width="19.375" style="3181" customWidth="1"/>
    <col min="4872" max="4872" width="19.5" style="3181" customWidth="1"/>
    <col min="4873" max="4873" width="8.625" style="3181" customWidth="1"/>
    <col min="4874" max="4874" width="10.5" style="3181" customWidth="1"/>
    <col min="4875" max="4875" width="4.875" style="3181" customWidth="1"/>
    <col min="4876" max="4876" width="16.375" style="3181" customWidth="1"/>
    <col min="4877" max="4880" width="8.125" style="3181" customWidth="1"/>
    <col min="4881" max="5120" width="9" style="3181"/>
    <col min="5121" max="5121" width="6.375" style="3181" customWidth="1"/>
    <col min="5122" max="5122" width="19.375" style="3181" customWidth="1"/>
    <col min="5123" max="5123" width="7" style="3181" customWidth="1"/>
    <col min="5124" max="5124" width="3.25" style="3181" customWidth="1"/>
    <col min="5125" max="5125" width="7.375" style="3181" customWidth="1"/>
    <col min="5126" max="5126" width="3.5" style="3181" customWidth="1"/>
    <col min="5127" max="5127" width="19.375" style="3181" customWidth="1"/>
    <col min="5128" max="5128" width="19.5" style="3181" customWidth="1"/>
    <col min="5129" max="5129" width="8.625" style="3181" customWidth="1"/>
    <col min="5130" max="5130" width="10.5" style="3181" customWidth="1"/>
    <col min="5131" max="5131" width="4.875" style="3181" customWidth="1"/>
    <col min="5132" max="5132" width="16.375" style="3181" customWidth="1"/>
    <col min="5133" max="5136" width="8.125" style="3181" customWidth="1"/>
    <col min="5137" max="5376" width="9" style="3181"/>
    <col min="5377" max="5377" width="6.375" style="3181" customWidth="1"/>
    <col min="5378" max="5378" width="19.375" style="3181" customWidth="1"/>
    <col min="5379" max="5379" width="7" style="3181" customWidth="1"/>
    <col min="5380" max="5380" width="3.25" style="3181" customWidth="1"/>
    <col min="5381" max="5381" width="7.375" style="3181" customWidth="1"/>
    <col min="5382" max="5382" width="3.5" style="3181" customWidth="1"/>
    <col min="5383" max="5383" width="19.375" style="3181" customWidth="1"/>
    <col min="5384" max="5384" width="19.5" style="3181" customWidth="1"/>
    <col min="5385" max="5385" width="8.625" style="3181" customWidth="1"/>
    <col min="5386" max="5386" width="10.5" style="3181" customWidth="1"/>
    <col min="5387" max="5387" width="4.875" style="3181" customWidth="1"/>
    <col min="5388" max="5388" width="16.375" style="3181" customWidth="1"/>
    <col min="5389" max="5392" width="8.125" style="3181" customWidth="1"/>
    <col min="5393" max="5632" width="9" style="3181"/>
    <col min="5633" max="5633" width="6.375" style="3181" customWidth="1"/>
    <col min="5634" max="5634" width="19.375" style="3181" customWidth="1"/>
    <col min="5635" max="5635" width="7" style="3181" customWidth="1"/>
    <col min="5636" max="5636" width="3.25" style="3181" customWidth="1"/>
    <col min="5637" max="5637" width="7.375" style="3181" customWidth="1"/>
    <col min="5638" max="5638" width="3.5" style="3181" customWidth="1"/>
    <col min="5639" max="5639" width="19.375" style="3181" customWidth="1"/>
    <col min="5640" max="5640" width="19.5" style="3181" customWidth="1"/>
    <col min="5641" max="5641" width="8.625" style="3181" customWidth="1"/>
    <col min="5642" max="5642" width="10.5" style="3181" customWidth="1"/>
    <col min="5643" max="5643" width="4.875" style="3181" customWidth="1"/>
    <col min="5644" max="5644" width="16.375" style="3181" customWidth="1"/>
    <col min="5645" max="5648" width="8.125" style="3181" customWidth="1"/>
    <col min="5649" max="5888" width="9" style="3181"/>
    <col min="5889" max="5889" width="6.375" style="3181" customWidth="1"/>
    <col min="5890" max="5890" width="19.375" style="3181" customWidth="1"/>
    <col min="5891" max="5891" width="7" style="3181" customWidth="1"/>
    <col min="5892" max="5892" width="3.25" style="3181" customWidth="1"/>
    <col min="5893" max="5893" width="7.375" style="3181" customWidth="1"/>
    <col min="5894" max="5894" width="3.5" style="3181" customWidth="1"/>
    <col min="5895" max="5895" width="19.375" style="3181" customWidth="1"/>
    <col min="5896" max="5896" width="19.5" style="3181" customWidth="1"/>
    <col min="5897" max="5897" width="8.625" style="3181" customWidth="1"/>
    <col min="5898" max="5898" width="10.5" style="3181" customWidth="1"/>
    <col min="5899" max="5899" width="4.875" style="3181" customWidth="1"/>
    <col min="5900" max="5900" width="16.375" style="3181" customWidth="1"/>
    <col min="5901" max="5904" width="8.125" style="3181" customWidth="1"/>
    <col min="5905" max="6144" width="9" style="3181"/>
    <col min="6145" max="6145" width="6.375" style="3181" customWidth="1"/>
    <col min="6146" max="6146" width="19.375" style="3181" customWidth="1"/>
    <col min="6147" max="6147" width="7" style="3181" customWidth="1"/>
    <col min="6148" max="6148" width="3.25" style="3181" customWidth="1"/>
    <col min="6149" max="6149" width="7.375" style="3181" customWidth="1"/>
    <col min="6150" max="6150" width="3.5" style="3181" customWidth="1"/>
    <col min="6151" max="6151" width="19.375" style="3181" customWidth="1"/>
    <col min="6152" max="6152" width="19.5" style="3181" customWidth="1"/>
    <col min="6153" max="6153" width="8.625" style="3181" customWidth="1"/>
    <col min="6154" max="6154" width="10.5" style="3181" customWidth="1"/>
    <col min="6155" max="6155" width="4.875" style="3181" customWidth="1"/>
    <col min="6156" max="6156" width="16.375" style="3181" customWidth="1"/>
    <col min="6157" max="6160" width="8.125" style="3181" customWidth="1"/>
    <col min="6161" max="6400" width="9" style="3181"/>
    <col min="6401" max="6401" width="6.375" style="3181" customWidth="1"/>
    <col min="6402" max="6402" width="19.375" style="3181" customWidth="1"/>
    <col min="6403" max="6403" width="7" style="3181" customWidth="1"/>
    <col min="6404" max="6404" width="3.25" style="3181" customWidth="1"/>
    <col min="6405" max="6405" width="7.375" style="3181" customWidth="1"/>
    <col min="6406" max="6406" width="3.5" style="3181" customWidth="1"/>
    <col min="6407" max="6407" width="19.375" style="3181" customWidth="1"/>
    <col min="6408" max="6408" width="19.5" style="3181" customWidth="1"/>
    <col min="6409" max="6409" width="8.625" style="3181" customWidth="1"/>
    <col min="6410" max="6410" width="10.5" style="3181" customWidth="1"/>
    <col min="6411" max="6411" width="4.875" style="3181" customWidth="1"/>
    <col min="6412" max="6412" width="16.375" style="3181" customWidth="1"/>
    <col min="6413" max="6416" width="8.125" style="3181" customWidth="1"/>
    <col min="6417" max="6656" width="9" style="3181"/>
    <col min="6657" max="6657" width="6.375" style="3181" customWidth="1"/>
    <col min="6658" max="6658" width="19.375" style="3181" customWidth="1"/>
    <col min="6659" max="6659" width="7" style="3181" customWidth="1"/>
    <col min="6660" max="6660" width="3.25" style="3181" customWidth="1"/>
    <col min="6661" max="6661" width="7.375" style="3181" customWidth="1"/>
    <col min="6662" max="6662" width="3.5" style="3181" customWidth="1"/>
    <col min="6663" max="6663" width="19.375" style="3181" customWidth="1"/>
    <col min="6664" max="6664" width="19.5" style="3181" customWidth="1"/>
    <col min="6665" max="6665" width="8.625" style="3181" customWidth="1"/>
    <col min="6666" max="6666" width="10.5" style="3181" customWidth="1"/>
    <col min="6667" max="6667" width="4.875" style="3181" customWidth="1"/>
    <col min="6668" max="6668" width="16.375" style="3181" customWidth="1"/>
    <col min="6669" max="6672" width="8.125" style="3181" customWidth="1"/>
    <col min="6673" max="6912" width="9" style="3181"/>
    <col min="6913" max="6913" width="6.375" style="3181" customWidth="1"/>
    <col min="6914" max="6914" width="19.375" style="3181" customWidth="1"/>
    <col min="6915" max="6915" width="7" style="3181" customWidth="1"/>
    <col min="6916" max="6916" width="3.25" style="3181" customWidth="1"/>
    <col min="6917" max="6917" width="7.375" style="3181" customWidth="1"/>
    <col min="6918" max="6918" width="3.5" style="3181" customWidth="1"/>
    <col min="6919" max="6919" width="19.375" style="3181" customWidth="1"/>
    <col min="6920" max="6920" width="19.5" style="3181" customWidth="1"/>
    <col min="6921" max="6921" width="8.625" style="3181" customWidth="1"/>
    <col min="6922" max="6922" width="10.5" style="3181" customWidth="1"/>
    <col min="6923" max="6923" width="4.875" style="3181" customWidth="1"/>
    <col min="6924" max="6924" width="16.375" style="3181" customWidth="1"/>
    <col min="6925" max="6928" width="8.125" style="3181" customWidth="1"/>
    <col min="6929" max="7168" width="9" style="3181"/>
    <col min="7169" max="7169" width="6.375" style="3181" customWidth="1"/>
    <col min="7170" max="7170" width="19.375" style="3181" customWidth="1"/>
    <col min="7171" max="7171" width="7" style="3181" customWidth="1"/>
    <col min="7172" max="7172" width="3.25" style="3181" customWidth="1"/>
    <col min="7173" max="7173" width="7.375" style="3181" customWidth="1"/>
    <col min="7174" max="7174" width="3.5" style="3181" customWidth="1"/>
    <col min="7175" max="7175" width="19.375" style="3181" customWidth="1"/>
    <col min="7176" max="7176" width="19.5" style="3181" customWidth="1"/>
    <col min="7177" max="7177" width="8.625" style="3181" customWidth="1"/>
    <col min="7178" max="7178" width="10.5" style="3181" customWidth="1"/>
    <col min="7179" max="7179" width="4.875" style="3181" customWidth="1"/>
    <col min="7180" max="7180" width="16.375" style="3181" customWidth="1"/>
    <col min="7181" max="7184" width="8.125" style="3181" customWidth="1"/>
    <col min="7185" max="7424" width="9" style="3181"/>
    <col min="7425" max="7425" width="6.375" style="3181" customWidth="1"/>
    <col min="7426" max="7426" width="19.375" style="3181" customWidth="1"/>
    <col min="7427" max="7427" width="7" style="3181" customWidth="1"/>
    <col min="7428" max="7428" width="3.25" style="3181" customWidth="1"/>
    <col min="7429" max="7429" width="7.375" style="3181" customWidth="1"/>
    <col min="7430" max="7430" width="3.5" style="3181" customWidth="1"/>
    <col min="7431" max="7431" width="19.375" style="3181" customWidth="1"/>
    <col min="7432" max="7432" width="19.5" style="3181" customWidth="1"/>
    <col min="7433" max="7433" width="8.625" style="3181" customWidth="1"/>
    <col min="7434" max="7434" width="10.5" style="3181" customWidth="1"/>
    <col min="7435" max="7435" width="4.875" style="3181" customWidth="1"/>
    <col min="7436" max="7436" width="16.375" style="3181" customWidth="1"/>
    <col min="7437" max="7440" width="8.125" style="3181" customWidth="1"/>
    <col min="7441" max="7680" width="9" style="3181"/>
    <col min="7681" max="7681" width="6.375" style="3181" customWidth="1"/>
    <col min="7682" max="7682" width="19.375" style="3181" customWidth="1"/>
    <col min="7683" max="7683" width="7" style="3181" customWidth="1"/>
    <col min="7684" max="7684" width="3.25" style="3181" customWidth="1"/>
    <col min="7685" max="7685" width="7.375" style="3181" customWidth="1"/>
    <col min="7686" max="7686" width="3.5" style="3181" customWidth="1"/>
    <col min="7687" max="7687" width="19.375" style="3181" customWidth="1"/>
    <col min="7688" max="7688" width="19.5" style="3181" customWidth="1"/>
    <col min="7689" max="7689" width="8.625" style="3181" customWidth="1"/>
    <col min="7690" max="7690" width="10.5" style="3181" customWidth="1"/>
    <col min="7691" max="7691" width="4.875" style="3181" customWidth="1"/>
    <col min="7692" max="7692" width="16.375" style="3181" customWidth="1"/>
    <col min="7693" max="7696" width="8.125" style="3181" customWidth="1"/>
    <col min="7697" max="7936" width="9" style="3181"/>
    <col min="7937" max="7937" width="6.375" style="3181" customWidth="1"/>
    <col min="7938" max="7938" width="19.375" style="3181" customWidth="1"/>
    <col min="7939" max="7939" width="7" style="3181" customWidth="1"/>
    <col min="7940" max="7940" width="3.25" style="3181" customWidth="1"/>
    <col min="7941" max="7941" width="7.375" style="3181" customWidth="1"/>
    <col min="7942" max="7942" width="3.5" style="3181" customWidth="1"/>
    <col min="7943" max="7943" width="19.375" style="3181" customWidth="1"/>
    <col min="7944" max="7944" width="19.5" style="3181" customWidth="1"/>
    <col min="7945" max="7945" width="8.625" style="3181" customWidth="1"/>
    <col min="7946" max="7946" width="10.5" style="3181" customWidth="1"/>
    <col min="7947" max="7947" width="4.875" style="3181" customWidth="1"/>
    <col min="7948" max="7948" width="16.375" style="3181" customWidth="1"/>
    <col min="7949" max="7952" width="8.125" style="3181" customWidth="1"/>
    <col min="7953" max="8192" width="9" style="3181"/>
    <col min="8193" max="8193" width="6.375" style="3181" customWidth="1"/>
    <col min="8194" max="8194" width="19.375" style="3181" customWidth="1"/>
    <col min="8195" max="8195" width="7" style="3181" customWidth="1"/>
    <col min="8196" max="8196" width="3.25" style="3181" customWidth="1"/>
    <col min="8197" max="8197" width="7.375" style="3181" customWidth="1"/>
    <col min="8198" max="8198" width="3.5" style="3181" customWidth="1"/>
    <col min="8199" max="8199" width="19.375" style="3181" customWidth="1"/>
    <col min="8200" max="8200" width="19.5" style="3181" customWidth="1"/>
    <col min="8201" max="8201" width="8.625" style="3181" customWidth="1"/>
    <col min="8202" max="8202" width="10.5" style="3181" customWidth="1"/>
    <col min="8203" max="8203" width="4.875" style="3181" customWidth="1"/>
    <col min="8204" max="8204" width="16.375" style="3181" customWidth="1"/>
    <col min="8205" max="8208" width="8.125" style="3181" customWidth="1"/>
    <col min="8209" max="8448" width="9" style="3181"/>
    <col min="8449" max="8449" width="6.375" style="3181" customWidth="1"/>
    <col min="8450" max="8450" width="19.375" style="3181" customWidth="1"/>
    <col min="8451" max="8451" width="7" style="3181" customWidth="1"/>
    <col min="8452" max="8452" width="3.25" style="3181" customWidth="1"/>
    <col min="8453" max="8453" width="7.375" style="3181" customWidth="1"/>
    <col min="8454" max="8454" width="3.5" style="3181" customWidth="1"/>
    <col min="8455" max="8455" width="19.375" style="3181" customWidth="1"/>
    <col min="8456" max="8456" width="19.5" style="3181" customWidth="1"/>
    <col min="8457" max="8457" width="8.625" style="3181" customWidth="1"/>
    <col min="8458" max="8458" width="10.5" style="3181" customWidth="1"/>
    <col min="8459" max="8459" width="4.875" style="3181" customWidth="1"/>
    <col min="8460" max="8460" width="16.375" style="3181" customWidth="1"/>
    <col min="8461" max="8464" width="8.125" style="3181" customWidth="1"/>
    <col min="8465" max="8704" width="9" style="3181"/>
    <col min="8705" max="8705" width="6.375" style="3181" customWidth="1"/>
    <col min="8706" max="8706" width="19.375" style="3181" customWidth="1"/>
    <col min="8707" max="8707" width="7" style="3181" customWidth="1"/>
    <col min="8708" max="8708" width="3.25" style="3181" customWidth="1"/>
    <col min="8709" max="8709" width="7.375" style="3181" customWidth="1"/>
    <col min="8710" max="8710" width="3.5" style="3181" customWidth="1"/>
    <col min="8711" max="8711" width="19.375" style="3181" customWidth="1"/>
    <col min="8712" max="8712" width="19.5" style="3181" customWidth="1"/>
    <col min="8713" max="8713" width="8.625" style="3181" customWidth="1"/>
    <col min="8714" max="8714" width="10.5" style="3181" customWidth="1"/>
    <col min="8715" max="8715" width="4.875" style="3181" customWidth="1"/>
    <col min="8716" max="8716" width="16.375" style="3181" customWidth="1"/>
    <col min="8717" max="8720" width="8.125" style="3181" customWidth="1"/>
    <col min="8721" max="8960" width="9" style="3181"/>
    <col min="8961" max="8961" width="6.375" style="3181" customWidth="1"/>
    <col min="8962" max="8962" width="19.375" style="3181" customWidth="1"/>
    <col min="8963" max="8963" width="7" style="3181" customWidth="1"/>
    <col min="8964" max="8964" width="3.25" style="3181" customWidth="1"/>
    <col min="8965" max="8965" width="7.375" style="3181" customWidth="1"/>
    <col min="8966" max="8966" width="3.5" style="3181" customWidth="1"/>
    <col min="8967" max="8967" width="19.375" style="3181" customWidth="1"/>
    <col min="8968" max="8968" width="19.5" style="3181" customWidth="1"/>
    <col min="8969" max="8969" width="8.625" style="3181" customWidth="1"/>
    <col min="8970" max="8970" width="10.5" style="3181" customWidth="1"/>
    <col min="8971" max="8971" width="4.875" style="3181" customWidth="1"/>
    <col min="8972" max="8972" width="16.375" style="3181" customWidth="1"/>
    <col min="8973" max="8976" width="8.125" style="3181" customWidth="1"/>
    <col min="8977" max="9216" width="9" style="3181"/>
    <col min="9217" max="9217" width="6.375" style="3181" customWidth="1"/>
    <col min="9218" max="9218" width="19.375" style="3181" customWidth="1"/>
    <col min="9219" max="9219" width="7" style="3181" customWidth="1"/>
    <col min="9220" max="9220" width="3.25" style="3181" customWidth="1"/>
    <col min="9221" max="9221" width="7.375" style="3181" customWidth="1"/>
    <col min="9222" max="9222" width="3.5" style="3181" customWidth="1"/>
    <col min="9223" max="9223" width="19.375" style="3181" customWidth="1"/>
    <col min="9224" max="9224" width="19.5" style="3181" customWidth="1"/>
    <col min="9225" max="9225" width="8.625" style="3181" customWidth="1"/>
    <col min="9226" max="9226" width="10.5" style="3181" customWidth="1"/>
    <col min="9227" max="9227" width="4.875" style="3181" customWidth="1"/>
    <col min="9228" max="9228" width="16.375" style="3181" customWidth="1"/>
    <col min="9229" max="9232" width="8.125" style="3181" customWidth="1"/>
    <col min="9233" max="9472" width="9" style="3181"/>
    <col min="9473" max="9473" width="6.375" style="3181" customWidth="1"/>
    <col min="9474" max="9474" width="19.375" style="3181" customWidth="1"/>
    <col min="9475" max="9475" width="7" style="3181" customWidth="1"/>
    <col min="9476" max="9476" width="3.25" style="3181" customWidth="1"/>
    <col min="9477" max="9477" width="7.375" style="3181" customWidth="1"/>
    <col min="9478" max="9478" width="3.5" style="3181" customWidth="1"/>
    <col min="9479" max="9479" width="19.375" style="3181" customWidth="1"/>
    <col min="9480" max="9480" width="19.5" style="3181" customWidth="1"/>
    <col min="9481" max="9481" width="8.625" style="3181" customWidth="1"/>
    <col min="9482" max="9482" width="10.5" style="3181" customWidth="1"/>
    <col min="9483" max="9483" width="4.875" style="3181" customWidth="1"/>
    <col min="9484" max="9484" width="16.375" style="3181" customWidth="1"/>
    <col min="9485" max="9488" width="8.125" style="3181" customWidth="1"/>
    <col min="9489" max="9728" width="9" style="3181"/>
    <col min="9729" max="9729" width="6.375" style="3181" customWidth="1"/>
    <col min="9730" max="9730" width="19.375" style="3181" customWidth="1"/>
    <col min="9731" max="9731" width="7" style="3181" customWidth="1"/>
    <col min="9732" max="9732" width="3.25" style="3181" customWidth="1"/>
    <col min="9733" max="9733" width="7.375" style="3181" customWidth="1"/>
    <col min="9734" max="9734" width="3.5" style="3181" customWidth="1"/>
    <col min="9735" max="9735" width="19.375" style="3181" customWidth="1"/>
    <col min="9736" max="9736" width="19.5" style="3181" customWidth="1"/>
    <col min="9737" max="9737" width="8.625" style="3181" customWidth="1"/>
    <col min="9738" max="9738" width="10.5" style="3181" customWidth="1"/>
    <col min="9739" max="9739" width="4.875" style="3181" customWidth="1"/>
    <col min="9740" max="9740" width="16.375" style="3181" customWidth="1"/>
    <col min="9741" max="9744" width="8.125" style="3181" customWidth="1"/>
    <col min="9745" max="9984" width="9" style="3181"/>
    <col min="9985" max="9985" width="6.375" style="3181" customWidth="1"/>
    <col min="9986" max="9986" width="19.375" style="3181" customWidth="1"/>
    <col min="9987" max="9987" width="7" style="3181" customWidth="1"/>
    <col min="9988" max="9988" width="3.25" style="3181" customWidth="1"/>
    <col min="9989" max="9989" width="7.375" style="3181" customWidth="1"/>
    <col min="9990" max="9990" width="3.5" style="3181" customWidth="1"/>
    <col min="9991" max="9991" width="19.375" style="3181" customWidth="1"/>
    <col min="9992" max="9992" width="19.5" style="3181" customWidth="1"/>
    <col min="9993" max="9993" width="8.625" style="3181" customWidth="1"/>
    <col min="9994" max="9994" width="10.5" style="3181" customWidth="1"/>
    <col min="9995" max="9995" width="4.875" style="3181" customWidth="1"/>
    <col min="9996" max="9996" width="16.375" style="3181" customWidth="1"/>
    <col min="9997" max="10000" width="8.125" style="3181" customWidth="1"/>
    <col min="10001" max="10240" width="9" style="3181"/>
    <col min="10241" max="10241" width="6.375" style="3181" customWidth="1"/>
    <col min="10242" max="10242" width="19.375" style="3181" customWidth="1"/>
    <col min="10243" max="10243" width="7" style="3181" customWidth="1"/>
    <col min="10244" max="10244" width="3.25" style="3181" customWidth="1"/>
    <col min="10245" max="10245" width="7.375" style="3181" customWidth="1"/>
    <col min="10246" max="10246" width="3.5" style="3181" customWidth="1"/>
    <col min="10247" max="10247" width="19.375" style="3181" customWidth="1"/>
    <col min="10248" max="10248" width="19.5" style="3181" customWidth="1"/>
    <col min="10249" max="10249" width="8.625" style="3181" customWidth="1"/>
    <col min="10250" max="10250" width="10.5" style="3181" customWidth="1"/>
    <col min="10251" max="10251" width="4.875" style="3181" customWidth="1"/>
    <col min="10252" max="10252" width="16.375" style="3181" customWidth="1"/>
    <col min="10253" max="10256" width="8.125" style="3181" customWidth="1"/>
    <col min="10257" max="10496" width="9" style="3181"/>
    <col min="10497" max="10497" width="6.375" style="3181" customWidth="1"/>
    <col min="10498" max="10498" width="19.375" style="3181" customWidth="1"/>
    <col min="10499" max="10499" width="7" style="3181" customWidth="1"/>
    <col min="10500" max="10500" width="3.25" style="3181" customWidth="1"/>
    <col min="10501" max="10501" width="7.375" style="3181" customWidth="1"/>
    <col min="10502" max="10502" width="3.5" style="3181" customWidth="1"/>
    <col min="10503" max="10503" width="19.375" style="3181" customWidth="1"/>
    <col min="10504" max="10504" width="19.5" style="3181" customWidth="1"/>
    <col min="10505" max="10505" width="8.625" style="3181" customWidth="1"/>
    <col min="10506" max="10506" width="10.5" style="3181" customWidth="1"/>
    <col min="10507" max="10507" width="4.875" style="3181" customWidth="1"/>
    <col min="10508" max="10508" width="16.375" style="3181" customWidth="1"/>
    <col min="10509" max="10512" width="8.125" style="3181" customWidth="1"/>
    <col min="10513" max="10752" width="9" style="3181"/>
    <col min="10753" max="10753" width="6.375" style="3181" customWidth="1"/>
    <col min="10754" max="10754" width="19.375" style="3181" customWidth="1"/>
    <col min="10755" max="10755" width="7" style="3181" customWidth="1"/>
    <col min="10756" max="10756" width="3.25" style="3181" customWidth="1"/>
    <col min="10757" max="10757" width="7.375" style="3181" customWidth="1"/>
    <col min="10758" max="10758" width="3.5" style="3181" customWidth="1"/>
    <col min="10759" max="10759" width="19.375" style="3181" customWidth="1"/>
    <col min="10760" max="10760" width="19.5" style="3181" customWidth="1"/>
    <col min="10761" max="10761" width="8.625" style="3181" customWidth="1"/>
    <col min="10762" max="10762" width="10.5" style="3181" customWidth="1"/>
    <col min="10763" max="10763" width="4.875" style="3181" customWidth="1"/>
    <col min="10764" max="10764" width="16.375" style="3181" customWidth="1"/>
    <col min="10765" max="10768" width="8.125" style="3181" customWidth="1"/>
    <col min="10769" max="11008" width="9" style="3181"/>
    <col min="11009" max="11009" width="6.375" style="3181" customWidth="1"/>
    <col min="11010" max="11010" width="19.375" style="3181" customWidth="1"/>
    <col min="11011" max="11011" width="7" style="3181" customWidth="1"/>
    <col min="11012" max="11012" width="3.25" style="3181" customWidth="1"/>
    <col min="11013" max="11013" width="7.375" style="3181" customWidth="1"/>
    <col min="11014" max="11014" width="3.5" style="3181" customWidth="1"/>
    <col min="11015" max="11015" width="19.375" style="3181" customWidth="1"/>
    <col min="11016" max="11016" width="19.5" style="3181" customWidth="1"/>
    <col min="11017" max="11017" width="8.625" style="3181" customWidth="1"/>
    <col min="11018" max="11018" width="10.5" style="3181" customWidth="1"/>
    <col min="11019" max="11019" width="4.875" style="3181" customWidth="1"/>
    <col min="11020" max="11020" width="16.375" style="3181" customWidth="1"/>
    <col min="11021" max="11024" width="8.125" style="3181" customWidth="1"/>
    <col min="11025" max="11264" width="9" style="3181"/>
    <col min="11265" max="11265" width="6.375" style="3181" customWidth="1"/>
    <col min="11266" max="11266" width="19.375" style="3181" customWidth="1"/>
    <col min="11267" max="11267" width="7" style="3181" customWidth="1"/>
    <col min="11268" max="11268" width="3.25" style="3181" customWidth="1"/>
    <col min="11269" max="11269" width="7.375" style="3181" customWidth="1"/>
    <col min="11270" max="11270" width="3.5" style="3181" customWidth="1"/>
    <col min="11271" max="11271" width="19.375" style="3181" customWidth="1"/>
    <col min="11272" max="11272" width="19.5" style="3181" customWidth="1"/>
    <col min="11273" max="11273" width="8.625" style="3181" customWidth="1"/>
    <col min="11274" max="11274" width="10.5" style="3181" customWidth="1"/>
    <col min="11275" max="11275" width="4.875" style="3181" customWidth="1"/>
    <col min="11276" max="11276" width="16.375" style="3181" customWidth="1"/>
    <col min="11277" max="11280" width="8.125" style="3181" customWidth="1"/>
    <col min="11281" max="11520" width="9" style="3181"/>
    <col min="11521" max="11521" width="6.375" style="3181" customWidth="1"/>
    <col min="11522" max="11522" width="19.375" style="3181" customWidth="1"/>
    <col min="11523" max="11523" width="7" style="3181" customWidth="1"/>
    <col min="11524" max="11524" width="3.25" style="3181" customWidth="1"/>
    <col min="11525" max="11525" width="7.375" style="3181" customWidth="1"/>
    <col min="11526" max="11526" width="3.5" style="3181" customWidth="1"/>
    <col min="11527" max="11527" width="19.375" style="3181" customWidth="1"/>
    <col min="11528" max="11528" width="19.5" style="3181" customWidth="1"/>
    <col min="11529" max="11529" width="8.625" style="3181" customWidth="1"/>
    <col min="11530" max="11530" width="10.5" style="3181" customWidth="1"/>
    <col min="11531" max="11531" width="4.875" style="3181" customWidth="1"/>
    <col min="11532" max="11532" width="16.375" style="3181" customWidth="1"/>
    <col min="11533" max="11536" width="8.125" style="3181" customWidth="1"/>
    <col min="11537" max="11776" width="9" style="3181"/>
    <col min="11777" max="11777" width="6.375" style="3181" customWidth="1"/>
    <col min="11778" max="11778" width="19.375" style="3181" customWidth="1"/>
    <col min="11779" max="11779" width="7" style="3181" customWidth="1"/>
    <col min="11780" max="11780" width="3.25" style="3181" customWidth="1"/>
    <col min="11781" max="11781" width="7.375" style="3181" customWidth="1"/>
    <col min="11782" max="11782" width="3.5" style="3181" customWidth="1"/>
    <col min="11783" max="11783" width="19.375" style="3181" customWidth="1"/>
    <col min="11784" max="11784" width="19.5" style="3181" customWidth="1"/>
    <col min="11785" max="11785" width="8.625" style="3181" customWidth="1"/>
    <col min="11786" max="11786" width="10.5" style="3181" customWidth="1"/>
    <col min="11787" max="11787" width="4.875" style="3181" customWidth="1"/>
    <col min="11788" max="11788" width="16.375" style="3181" customWidth="1"/>
    <col min="11789" max="11792" width="8.125" style="3181" customWidth="1"/>
    <col min="11793" max="12032" width="9" style="3181"/>
    <col min="12033" max="12033" width="6.375" style="3181" customWidth="1"/>
    <col min="12034" max="12034" width="19.375" style="3181" customWidth="1"/>
    <col min="12035" max="12035" width="7" style="3181" customWidth="1"/>
    <col min="12036" max="12036" width="3.25" style="3181" customWidth="1"/>
    <col min="12037" max="12037" width="7.375" style="3181" customWidth="1"/>
    <col min="12038" max="12038" width="3.5" style="3181" customWidth="1"/>
    <col min="12039" max="12039" width="19.375" style="3181" customWidth="1"/>
    <col min="12040" max="12040" width="19.5" style="3181" customWidth="1"/>
    <col min="12041" max="12041" width="8.625" style="3181" customWidth="1"/>
    <col min="12042" max="12042" width="10.5" style="3181" customWidth="1"/>
    <col min="12043" max="12043" width="4.875" style="3181" customWidth="1"/>
    <col min="12044" max="12044" width="16.375" style="3181" customWidth="1"/>
    <col min="12045" max="12048" width="8.125" style="3181" customWidth="1"/>
    <col min="12049" max="12288" width="9" style="3181"/>
    <col min="12289" max="12289" width="6.375" style="3181" customWidth="1"/>
    <col min="12290" max="12290" width="19.375" style="3181" customWidth="1"/>
    <col min="12291" max="12291" width="7" style="3181" customWidth="1"/>
    <col min="12292" max="12292" width="3.25" style="3181" customWidth="1"/>
    <col min="12293" max="12293" width="7.375" style="3181" customWidth="1"/>
    <col min="12294" max="12294" width="3.5" style="3181" customWidth="1"/>
    <col min="12295" max="12295" width="19.375" style="3181" customWidth="1"/>
    <col min="12296" max="12296" width="19.5" style="3181" customWidth="1"/>
    <col min="12297" max="12297" width="8.625" style="3181" customWidth="1"/>
    <col min="12298" max="12298" width="10.5" style="3181" customWidth="1"/>
    <col min="12299" max="12299" width="4.875" style="3181" customWidth="1"/>
    <col min="12300" max="12300" width="16.375" style="3181" customWidth="1"/>
    <col min="12301" max="12304" width="8.125" style="3181" customWidth="1"/>
    <col min="12305" max="12544" width="9" style="3181"/>
    <col min="12545" max="12545" width="6.375" style="3181" customWidth="1"/>
    <col min="12546" max="12546" width="19.375" style="3181" customWidth="1"/>
    <col min="12547" max="12547" width="7" style="3181" customWidth="1"/>
    <col min="12548" max="12548" width="3.25" style="3181" customWidth="1"/>
    <col min="12549" max="12549" width="7.375" style="3181" customWidth="1"/>
    <col min="12550" max="12550" width="3.5" style="3181" customWidth="1"/>
    <col min="12551" max="12551" width="19.375" style="3181" customWidth="1"/>
    <col min="12552" max="12552" width="19.5" style="3181" customWidth="1"/>
    <col min="12553" max="12553" width="8.625" style="3181" customWidth="1"/>
    <col min="12554" max="12554" width="10.5" style="3181" customWidth="1"/>
    <col min="12555" max="12555" width="4.875" style="3181" customWidth="1"/>
    <col min="12556" max="12556" width="16.375" style="3181" customWidth="1"/>
    <col min="12557" max="12560" width="8.125" style="3181" customWidth="1"/>
    <col min="12561" max="12800" width="9" style="3181"/>
    <col min="12801" max="12801" width="6.375" style="3181" customWidth="1"/>
    <col min="12802" max="12802" width="19.375" style="3181" customWidth="1"/>
    <col min="12803" max="12803" width="7" style="3181" customWidth="1"/>
    <col min="12804" max="12804" width="3.25" style="3181" customWidth="1"/>
    <col min="12805" max="12805" width="7.375" style="3181" customWidth="1"/>
    <col min="12806" max="12806" width="3.5" style="3181" customWidth="1"/>
    <col min="12807" max="12807" width="19.375" style="3181" customWidth="1"/>
    <col min="12808" max="12808" width="19.5" style="3181" customWidth="1"/>
    <col min="12809" max="12809" width="8.625" style="3181" customWidth="1"/>
    <col min="12810" max="12810" width="10.5" style="3181" customWidth="1"/>
    <col min="12811" max="12811" width="4.875" style="3181" customWidth="1"/>
    <col min="12812" max="12812" width="16.375" style="3181" customWidth="1"/>
    <col min="12813" max="12816" width="8.125" style="3181" customWidth="1"/>
    <col min="12817" max="13056" width="9" style="3181"/>
    <col min="13057" max="13057" width="6.375" style="3181" customWidth="1"/>
    <col min="13058" max="13058" width="19.375" style="3181" customWidth="1"/>
    <col min="13059" max="13059" width="7" style="3181" customWidth="1"/>
    <col min="13060" max="13060" width="3.25" style="3181" customWidth="1"/>
    <col min="13061" max="13061" width="7.375" style="3181" customWidth="1"/>
    <col min="13062" max="13062" width="3.5" style="3181" customWidth="1"/>
    <col min="13063" max="13063" width="19.375" style="3181" customWidth="1"/>
    <col min="13064" max="13064" width="19.5" style="3181" customWidth="1"/>
    <col min="13065" max="13065" width="8.625" style="3181" customWidth="1"/>
    <col min="13066" max="13066" width="10.5" style="3181" customWidth="1"/>
    <col min="13067" max="13067" width="4.875" style="3181" customWidth="1"/>
    <col min="13068" max="13068" width="16.375" style="3181" customWidth="1"/>
    <col min="13069" max="13072" width="8.125" style="3181" customWidth="1"/>
    <col min="13073" max="13312" width="9" style="3181"/>
    <col min="13313" max="13313" width="6.375" style="3181" customWidth="1"/>
    <col min="13314" max="13314" width="19.375" style="3181" customWidth="1"/>
    <col min="13315" max="13315" width="7" style="3181" customWidth="1"/>
    <col min="13316" max="13316" width="3.25" style="3181" customWidth="1"/>
    <col min="13317" max="13317" width="7.375" style="3181" customWidth="1"/>
    <col min="13318" max="13318" width="3.5" style="3181" customWidth="1"/>
    <col min="13319" max="13319" width="19.375" style="3181" customWidth="1"/>
    <col min="13320" max="13320" width="19.5" style="3181" customWidth="1"/>
    <col min="13321" max="13321" width="8.625" style="3181" customWidth="1"/>
    <col min="13322" max="13322" width="10.5" style="3181" customWidth="1"/>
    <col min="13323" max="13323" width="4.875" style="3181" customWidth="1"/>
    <col min="13324" max="13324" width="16.375" style="3181" customWidth="1"/>
    <col min="13325" max="13328" width="8.125" style="3181" customWidth="1"/>
    <col min="13329" max="13568" width="9" style="3181"/>
    <col min="13569" max="13569" width="6.375" style="3181" customWidth="1"/>
    <col min="13570" max="13570" width="19.375" style="3181" customWidth="1"/>
    <col min="13571" max="13571" width="7" style="3181" customWidth="1"/>
    <col min="13572" max="13572" width="3.25" style="3181" customWidth="1"/>
    <col min="13573" max="13573" width="7.375" style="3181" customWidth="1"/>
    <col min="13574" max="13574" width="3.5" style="3181" customWidth="1"/>
    <col min="13575" max="13575" width="19.375" style="3181" customWidth="1"/>
    <col min="13576" max="13576" width="19.5" style="3181" customWidth="1"/>
    <col min="13577" max="13577" width="8.625" style="3181" customWidth="1"/>
    <col min="13578" max="13578" width="10.5" style="3181" customWidth="1"/>
    <col min="13579" max="13579" width="4.875" style="3181" customWidth="1"/>
    <col min="13580" max="13580" width="16.375" style="3181" customWidth="1"/>
    <col min="13581" max="13584" width="8.125" style="3181" customWidth="1"/>
    <col min="13585" max="13824" width="9" style="3181"/>
    <col min="13825" max="13825" width="6.375" style="3181" customWidth="1"/>
    <col min="13826" max="13826" width="19.375" style="3181" customWidth="1"/>
    <col min="13827" max="13827" width="7" style="3181" customWidth="1"/>
    <col min="13828" max="13828" width="3.25" style="3181" customWidth="1"/>
    <col min="13829" max="13829" width="7.375" style="3181" customWidth="1"/>
    <col min="13830" max="13830" width="3.5" style="3181" customWidth="1"/>
    <col min="13831" max="13831" width="19.375" style="3181" customWidth="1"/>
    <col min="13832" max="13832" width="19.5" style="3181" customWidth="1"/>
    <col min="13833" max="13833" width="8.625" style="3181" customWidth="1"/>
    <col min="13834" max="13834" width="10.5" style="3181" customWidth="1"/>
    <col min="13835" max="13835" width="4.875" style="3181" customWidth="1"/>
    <col min="13836" max="13836" width="16.375" style="3181" customWidth="1"/>
    <col min="13837" max="13840" width="8.125" style="3181" customWidth="1"/>
    <col min="13841" max="14080" width="9" style="3181"/>
    <col min="14081" max="14081" width="6.375" style="3181" customWidth="1"/>
    <col min="14082" max="14082" width="19.375" style="3181" customWidth="1"/>
    <col min="14083" max="14083" width="7" style="3181" customWidth="1"/>
    <col min="14084" max="14084" width="3.25" style="3181" customWidth="1"/>
    <col min="14085" max="14085" width="7.375" style="3181" customWidth="1"/>
    <col min="14086" max="14086" width="3.5" style="3181" customWidth="1"/>
    <col min="14087" max="14087" width="19.375" style="3181" customWidth="1"/>
    <col min="14088" max="14088" width="19.5" style="3181" customWidth="1"/>
    <col min="14089" max="14089" width="8.625" style="3181" customWidth="1"/>
    <col min="14090" max="14090" width="10.5" style="3181" customWidth="1"/>
    <col min="14091" max="14091" width="4.875" style="3181" customWidth="1"/>
    <col min="14092" max="14092" width="16.375" style="3181" customWidth="1"/>
    <col min="14093" max="14096" width="8.125" style="3181" customWidth="1"/>
    <col min="14097" max="14336" width="9" style="3181"/>
    <col min="14337" max="14337" width="6.375" style="3181" customWidth="1"/>
    <col min="14338" max="14338" width="19.375" style="3181" customWidth="1"/>
    <col min="14339" max="14339" width="7" style="3181" customWidth="1"/>
    <col min="14340" max="14340" width="3.25" style="3181" customWidth="1"/>
    <col min="14341" max="14341" width="7.375" style="3181" customWidth="1"/>
    <col min="14342" max="14342" width="3.5" style="3181" customWidth="1"/>
    <col min="14343" max="14343" width="19.375" style="3181" customWidth="1"/>
    <col min="14344" max="14344" width="19.5" style="3181" customWidth="1"/>
    <col min="14345" max="14345" width="8.625" style="3181" customWidth="1"/>
    <col min="14346" max="14346" width="10.5" style="3181" customWidth="1"/>
    <col min="14347" max="14347" width="4.875" style="3181" customWidth="1"/>
    <col min="14348" max="14348" width="16.375" style="3181" customWidth="1"/>
    <col min="14349" max="14352" width="8.125" style="3181" customWidth="1"/>
    <col min="14353" max="14592" width="9" style="3181"/>
    <col min="14593" max="14593" width="6.375" style="3181" customWidth="1"/>
    <col min="14594" max="14594" width="19.375" style="3181" customWidth="1"/>
    <col min="14595" max="14595" width="7" style="3181" customWidth="1"/>
    <col min="14596" max="14596" width="3.25" style="3181" customWidth="1"/>
    <col min="14597" max="14597" width="7.375" style="3181" customWidth="1"/>
    <col min="14598" max="14598" width="3.5" style="3181" customWidth="1"/>
    <col min="14599" max="14599" width="19.375" style="3181" customWidth="1"/>
    <col min="14600" max="14600" width="19.5" style="3181" customWidth="1"/>
    <col min="14601" max="14601" width="8.625" style="3181" customWidth="1"/>
    <col min="14602" max="14602" width="10.5" style="3181" customWidth="1"/>
    <col min="14603" max="14603" width="4.875" style="3181" customWidth="1"/>
    <col min="14604" max="14604" width="16.375" style="3181" customWidth="1"/>
    <col min="14605" max="14608" width="8.125" style="3181" customWidth="1"/>
    <col min="14609" max="14848" width="9" style="3181"/>
    <col min="14849" max="14849" width="6.375" style="3181" customWidth="1"/>
    <col min="14850" max="14850" width="19.375" style="3181" customWidth="1"/>
    <col min="14851" max="14851" width="7" style="3181" customWidth="1"/>
    <col min="14852" max="14852" width="3.25" style="3181" customWidth="1"/>
    <col min="14853" max="14853" width="7.375" style="3181" customWidth="1"/>
    <col min="14854" max="14854" width="3.5" style="3181" customWidth="1"/>
    <col min="14855" max="14855" width="19.375" style="3181" customWidth="1"/>
    <col min="14856" max="14856" width="19.5" style="3181" customWidth="1"/>
    <col min="14857" max="14857" width="8.625" style="3181" customWidth="1"/>
    <col min="14858" max="14858" width="10.5" style="3181" customWidth="1"/>
    <col min="14859" max="14859" width="4.875" style="3181" customWidth="1"/>
    <col min="14860" max="14860" width="16.375" style="3181" customWidth="1"/>
    <col min="14861" max="14864" width="8.125" style="3181" customWidth="1"/>
    <col min="14865" max="15104" width="9" style="3181"/>
    <col min="15105" max="15105" width="6.375" style="3181" customWidth="1"/>
    <col min="15106" max="15106" width="19.375" style="3181" customWidth="1"/>
    <col min="15107" max="15107" width="7" style="3181" customWidth="1"/>
    <col min="15108" max="15108" width="3.25" style="3181" customWidth="1"/>
    <col min="15109" max="15109" width="7.375" style="3181" customWidth="1"/>
    <col min="15110" max="15110" width="3.5" style="3181" customWidth="1"/>
    <col min="15111" max="15111" width="19.375" style="3181" customWidth="1"/>
    <col min="15112" max="15112" width="19.5" style="3181" customWidth="1"/>
    <col min="15113" max="15113" width="8.625" style="3181" customWidth="1"/>
    <col min="15114" max="15114" width="10.5" style="3181" customWidth="1"/>
    <col min="15115" max="15115" width="4.875" style="3181" customWidth="1"/>
    <col min="15116" max="15116" width="16.375" style="3181" customWidth="1"/>
    <col min="15117" max="15120" width="8.125" style="3181" customWidth="1"/>
    <col min="15121" max="15360" width="9" style="3181"/>
    <col min="15361" max="15361" width="6.375" style="3181" customWidth="1"/>
    <col min="15362" max="15362" width="19.375" style="3181" customWidth="1"/>
    <col min="15363" max="15363" width="7" style="3181" customWidth="1"/>
    <col min="15364" max="15364" width="3.25" style="3181" customWidth="1"/>
    <col min="15365" max="15365" width="7.375" style="3181" customWidth="1"/>
    <col min="15366" max="15366" width="3.5" style="3181" customWidth="1"/>
    <col min="15367" max="15367" width="19.375" style="3181" customWidth="1"/>
    <col min="15368" max="15368" width="19.5" style="3181" customWidth="1"/>
    <col min="15369" max="15369" width="8.625" style="3181" customWidth="1"/>
    <col min="15370" max="15370" width="10.5" style="3181" customWidth="1"/>
    <col min="15371" max="15371" width="4.875" style="3181" customWidth="1"/>
    <col min="15372" max="15372" width="16.375" style="3181" customWidth="1"/>
    <col min="15373" max="15376" width="8.125" style="3181" customWidth="1"/>
    <col min="15377" max="15616" width="9" style="3181"/>
    <col min="15617" max="15617" width="6.375" style="3181" customWidth="1"/>
    <col min="15618" max="15618" width="19.375" style="3181" customWidth="1"/>
    <col min="15619" max="15619" width="7" style="3181" customWidth="1"/>
    <col min="15620" max="15620" width="3.25" style="3181" customWidth="1"/>
    <col min="15621" max="15621" width="7.375" style="3181" customWidth="1"/>
    <col min="15622" max="15622" width="3.5" style="3181" customWidth="1"/>
    <col min="15623" max="15623" width="19.375" style="3181" customWidth="1"/>
    <col min="15624" max="15624" width="19.5" style="3181" customWidth="1"/>
    <col min="15625" max="15625" width="8.625" style="3181" customWidth="1"/>
    <col min="15626" max="15626" width="10.5" style="3181" customWidth="1"/>
    <col min="15627" max="15627" width="4.875" style="3181" customWidth="1"/>
    <col min="15628" max="15628" width="16.375" style="3181" customWidth="1"/>
    <col min="15629" max="15632" width="8.125" style="3181" customWidth="1"/>
    <col min="15633" max="15872" width="9" style="3181"/>
    <col min="15873" max="15873" width="6.375" style="3181" customWidth="1"/>
    <col min="15874" max="15874" width="19.375" style="3181" customWidth="1"/>
    <col min="15875" max="15875" width="7" style="3181" customWidth="1"/>
    <col min="15876" max="15876" width="3.25" style="3181" customWidth="1"/>
    <col min="15877" max="15877" width="7.375" style="3181" customWidth="1"/>
    <col min="15878" max="15878" width="3.5" style="3181" customWidth="1"/>
    <col min="15879" max="15879" width="19.375" style="3181" customWidth="1"/>
    <col min="15880" max="15880" width="19.5" style="3181" customWidth="1"/>
    <col min="15881" max="15881" width="8.625" style="3181" customWidth="1"/>
    <col min="15882" max="15882" width="10.5" style="3181" customWidth="1"/>
    <col min="15883" max="15883" width="4.875" style="3181" customWidth="1"/>
    <col min="15884" max="15884" width="16.375" style="3181" customWidth="1"/>
    <col min="15885" max="15888" width="8.125" style="3181" customWidth="1"/>
    <col min="15889" max="16128" width="9" style="3181"/>
    <col min="16129" max="16129" width="6.375" style="3181" customWidth="1"/>
    <col min="16130" max="16130" width="19.375" style="3181" customWidth="1"/>
    <col min="16131" max="16131" width="7" style="3181" customWidth="1"/>
    <col min="16132" max="16132" width="3.25" style="3181" customWidth="1"/>
    <col min="16133" max="16133" width="7.375" style="3181" customWidth="1"/>
    <col min="16134" max="16134" width="3.5" style="3181" customWidth="1"/>
    <col min="16135" max="16135" width="19.375" style="3181" customWidth="1"/>
    <col min="16136" max="16136" width="19.5" style="3181" customWidth="1"/>
    <col min="16137" max="16137" width="8.625" style="3181" customWidth="1"/>
    <col min="16138" max="16138" width="10.5" style="3181" customWidth="1"/>
    <col min="16139" max="16139" width="4.875" style="3181" customWidth="1"/>
    <col min="16140" max="16140" width="16.375" style="3181" customWidth="1"/>
    <col min="16141" max="16144" width="8.125" style="3181" customWidth="1"/>
    <col min="16145" max="16384" width="9" style="3181"/>
  </cols>
  <sheetData>
    <row r="1" spans="1:16">
      <c r="A1" s="3467" t="s">
        <v>3480</v>
      </c>
      <c r="B1" s="3467"/>
      <c r="C1" s="3467"/>
      <c r="D1" s="3467"/>
      <c r="E1" s="3467"/>
      <c r="F1" s="3467"/>
      <c r="G1" s="3467"/>
      <c r="H1" s="3467"/>
      <c r="I1" s="3467"/>
      <c r="K1" s="3468" t="s">
        <v>3481</v>
      </c>
      <c r="L1" s="3178" t="s">
        <v>3482</v>
      </c>
      <c r="M1" s="3179">
        <v>0</v>
      </c>
      <c r="N1" s="3180"/>
      <c r="O1" s="3180"/>
    </row>
    <row r="2" spans="1:16" ht="15.75" customHeight="1">
      <c r="A2" s="3182" t="s">
        <v>2645</v>
      </c>
      <c r="B2" s="3183" t="s">
        <v>3483</v>
      </c>
      <c r="C2" s="3440" t="s">
        <v>3484</v>
      </c>
      <c r="D2" s="3441"/>
      <c r="E2" s="3441"/>
      <c r="F2" s="3442"/>
      <c r="G2" s="3186" t="s">
        <v>3485</v>
      </c>
      <c r="H2" s="3443" t="s">
        <v>3486</v>
      </c>
      <c r="I2" s="3443"/>
      <c r="K2" s="3468"/>
      <c r="L2" s="3178" t="s">
        <v>3487</v>
      </c>
      <c r="M2" s="3191" t="s">
        <v>3604</v>
      </c>
      <c r="N2" s="3188">
        <v>2011</v>
      </c>
      <c r="O2" s="3188"/>
    </row>
    <row r="3" spans="1:16">
      <c r="A3" s="3186" t="s">
        <v>3488</v>
      </c>
      <c r="B3" s="3189" t="s">
        <v>3489</v>
      </c>
      <c r="C3" s="3440">
        <f ca="1">'成本法 (元) -库房'!C52</f>
        <v>1345837</v>
      </c>
      <c r="D3" s="3441"/>
      <c r="E3" s="3441"/>
      <c r="F3" s="3442"/>
      <c r="G3" s="3186" t="s">
        <v>3490</v>
      </c>
      <c r="H3" s="3189" t="s">
        <v>3491</v>
      </c>
      <c r="I3" s="3190">
        <f>'数据-汇总表'!G20</f>
        <v>131.88</v>
      </c>
      <c r="K3" s="3468"/>
      <c r="L3" s="3178" t="s">
        <v>3492</v>
      </c>
      <c r="M3" s="3191" t="s">
        <v>3493</v>
      </c>
      <c r="N3" s="3188"/>
      <c r="O3" s="3188"/>
    </row>
    <row r="4" spans="1:16">
      <c r="A4" s="3443" t="s">
        <v>3494</v>
      </c>
      <c r="B4" s="3447" t="s">
        <v>3495</v>
      </c>
      <c r="C4" s="3469">
        <f ca="1">ROUND(C3*(I4-I6)/(1-((1+I6)/(1+I4))^I5),0)</f>
        <v>61592</v>
      </c>
      <c r="D4" s="3470"/>
      <c r="E4" s="3470"/>
      <c r="F4" s="3471"/>
      <c r="G4" s="3443" t="s">
        <v>3496</v>
      </c>
      <c r="H4" s="3192" t="s">
        <v>3497</v>
      </c>
      <c r="I4" s="3193">
        <v>0.06</v>
      </c>
      <c r="K4" s="3468"/>
      <c r="L4" s="3178" t="s">
        <v>3498</v>
      </c>
      <c r="M4" s="3194">
        <f>ROUND(1-(1-M1)*M2/M3,2)</f>
        <v>0.83</v>
      </c>
      <c r="N4" s="3188"/>
      <c r="O4" s="3188"/>
    </row>
    <row r="5" spans="1:16" s="3198" customFormat="1" ht="18" customHeight="1">
      <c r="A5" s="3443"/>
      <c r="B5" s="3447"/>
      <c r="C5" s="3472"/>
      <c r="D5" s="3473"/>
      <c r="E5" s="3473"/>
      <c r="F5" s="3474"/>
      <c r="G5" s="3443"/>
      <c r="H5" s="3189" t="s">
        <v>3499</v>
      </c>
      <c r="I5" s="3254">
        <f>项目基本情况!G15</f>
        <v>33.11</v>
      </c>
      <c r="J5" s="3196"/>
      <c r="K5" s="3468"/>
      <c r="L5" s="3178" t="s">
        <v>3500</v>
      </c>
      <c r="M5" s="3197">
        <v>0.5</v>
      </c>
      <c r="N5" s="3188"/>
      <c r="O5" s="3188"/>
    </row>
    <row r="6" spans="1:16" s="3198" customFormat="1" ht="18" customHeight="1">
      <c r="A6" s="3443"/>
      <c r="B6" s="3447"/>
      <c r="C6" s="3475"/>
      <c r="D6" s="3476"/>
      <c r="E6" s="3476"/>
      <c r="F6" s="3477"/>
      <c r="G6" s="3443"/>
      <c r="H6" s="3189" t="s">
        <v>3501</v>
      </c>
      <c r="I6" s="3193">
        <v>3.5000000000000003E-2</v>
      </c>
      <c r="J6" s="3199"/>
      <c r="K6" s="3478" t="s">
        <v>3502</v>
      </c>
      <c r="L6" s="3200" t="s">
        <v>3503</v>
      </c>
      <c r="M6" s="3201" t="s">
        <v>3504</v>
      </c>
      <c r="N6" s="3201" t="s">
        <v>3505</v>
      </c>
      <c r="O6" s="3201" t="s">
        <v>3506</v>
      </c>
      <c r="P6" s="3201" t="s">
        <v>3507</v>
      </c>
    </row>
    <row r="7" spans="1:16" s="3198" customFormat="1" ht="18" customHeight="1">
      <c r="A7" s="3186" t="s">
        <v>3508</v>
      </c>
      <c r="B7" s="3189" t="s">
        <v>3509</v>
      </c>
      <c r="C7" s="3440">
        <f ca="1">'成本法 (元) -库房'!C51</f>
        <v>411801</v>
      </c>
      <c r="D7" s="3441"/>
      <c r="E7" s="3441"/>
      <c r="F7" s="3442"/>
      <c r="G7" s="3186" t="s">
        <v>3510</v>
      </c>
      <c r="H7" s="3189" t="s">
        <v>3511</v>
      </c>
      <c r="I7" s="3202">
        <f>'数据-取费表'!N6</f>
        <v>0.8</v>
      </c>
      <c r="K7" s="3478"/>
      <c r="L7" s="3200" t="s">
        <v>3512</v>
      </c>
      <c r="M7" s="3201">
        <v>100</v>
      </c>
      <c r="N7" s="3201" t="s">
        <v>3513</v>
      </c>
      <c r="O7" s="3201">
        <v>90</v>
      </c>
      <c r="P7" s="3203">
        <v>0.3</v>
      </c>
    </row>
    <row r="8" spans="1:16" s="3198" customFormat="1" ht="18" hidden="1" customHeight="1">
      <c r="A8" s="3182" t="s">
        <v>3514</v>
      </c>
      <c r="B8" s="3189" t="s">
        <v>3515</v>
      </c>
      <c r="C8" s="3440">
        <f>ROUND(I8*I3,0)</f>
        <v>461580</v>
      </c>
      <c r="D8" s="3441"/>
      <c r="E8" s="3441"/>
      <c r="F8" s="3442"/>
      <c r="G8" s="3186" t="s">
        <v>3516</v>
      </c>
      <c r="H8" s="3189" t="s">
        <v>3517</v>
      </c>
      <c r="I8" s="3186">
        <v>3500</v>
      </c>
      <c r="J8" s="3204">
        <f>D35</f>
        <v>1.3</v>
      </c>
      <c r="K8" s="3478"/>
      <c r="L8" s="3200" t="s">
        <v>3518</v>
      </c>
      <c r="M8" s="3201">
        <v>100</v>
      </c>
      <c r="N8" s="3201" t="s">
        <v>3513</v>
      </c>
      <c r="O8" s="3201">
        <v>90</v>
      </c>
      <c r="P8" s="3203">
        <v>0.5</v>
      </c>
    </row>
    <row r="9" spans="1:16" s="3198" customFormat="1" ht="18" hidden="1" customHeight="1">
      <c r="A9" s="3182" t="s">
        <v>3519</v>
      </c>
      <c r="B9" s="3189" t="s">
        <v>3520</v>
      </c>
      <c r="C9" s="3440">
        <f>ROUND(C8*H9,0)</f>
        <v>13847</v>
      </c>
      <c r="D9" s="3441"/>
      <c r="E9" s="3441"/>
      <c r="F9" s="3442"/>
      <c r="G9" s="3186" t="s">
        <v>3521</v>
      </c>
      <c r="H9" s="3464">
        <f>'数据-取费表'!B33</f>
        <v>0.03</v>
      </c>
      <c r="I9" s="3464"/>
      <c r="J9" s="3204">
        <f ca="1">D36</f>
        <v>1.71</v>
      </c>
      <c r="K9" s="3478"/>
      <c r="L9" s="3200" t="s">
        <v>3522</v>
      </c>
      <c r="M9" s="3201">
        <v>100</v>
      </c>
      <c r="N9" s="3201" t="s">
        <v>3513</v>
      </c>
      <c r="O9" s="3201">
        <v>90</v>
      </c>
      <c r="P9" s="3203">
        <f>1-P7-P8</f>
        <v>0.19999999999999996</v>
      </c>
    </row>
    <row r="10" spans="1:16" s="3198" customFormat="1" ht="18" hidden="1" customHeight="1">
      <c r="A10" s="3182" t="s">
        <v>3523</v>
      </c>
      <c r="B10" s="3189" t="s">
        <v>3524</v>
      </c>
      <c r="C10" s="3440">
        <f>ROUND(C8*H10,0)</f>
        <v>0</v>
      </c>
      <c r="D10" s="3441"/>
      <c r="E10" s="3441"/>
      <c r="F10" s="3442"/>
      <c r="G10" s="3186" t="s">
        <v>3521</v>
      </c>
      <c r="H10" s="3464">
        <f>'[1]数据-取费表'!B34</f>
        <v>0</v>
      </c>
      <c r="I10" s="3464"/>
      <c r="J10" s="3204">
        <f ca="1">D37</f>
        <v>1.4</v>
      </c>
      <c r="K10" s="3478"/>
      <c r="L10" s="3205" t="s">
        <v>3500</v>
      </c>
      <c r="M10" s="3206">
        <f>1-M5</f>
        <v>0.5</v>
      </c>
      <c r="N10" s="3201" t="s">
        <v>3498</v>
      </c>
      <c r="O10" s="3207">
        <f>ROUND((O7*P7+O8*P8+O9*P9)/100,2)</f>
        <v>0.9</v>
      </c>
      <c r="P10" s="3208"/>
    </row>
    <row r="11" spans="1:16" s="3198" customFormat="1" ht="29.25" hidden="1" customHeight="1">
      <c r="A11" s="3182" t="s">
        <v>3525</v>
      </c>
      <c r="B11" s="3189" t="s">
        <v>3526</v>
      </c>
      <c r="C11" s="3440">
        <f>ROUND(I11*I3,0)</f>
        <v>26376</v>
      </c>
      <c r="D11" s="3441"/>
      <c r="E11" s="3441"/>
      <c r="F11" s="3442"/>
      <c r="G11" s="3186" t="s">
        <v>3527</v>
      </c>
      <c r="H11" s="3189" t="s">
        <v>3528</v>
      </c>
      <c r="I11" s="3186">
        <f>'[1]数据-取费表'!B28</f>
        <v>200</v>
      </c>
      <c r="J11" s="3196"/>
      <c r="K11" s="3149"/>
      <c r="L11" s="3149"/>
    </row>
    <row r="12" spans="1:16" s="3198" customFormat="1" ht="18" hidden="1" customHeight="1">
      <c r="A12" s="3182" t="s">
        <v>3529</v>
      </c>
      <c r="B12" s="3189" t="s">
        <v>3530</v>
      </c>
      <c r="C12" s="3440">
        <f>ROUND(C8*H12,0)</f>
        <v>6924</v>
      </c>
      <c r="D12" s="3441"/>
      <c r="E12" s="3441"/>
      <c r="F12" s="3442"/>
      <c r="G12" s="3186" t="s">
        <v>3521</v>
      </c>
      <c r="H12" s="3464">
        <v>1.4999999999999999E-2</v>
      </c>
      <c r="I12" s="3464"/>
      <c r="J12" s="3209" t="s">
        <v>3531</v>
      </c>
      <c r="L12" s="3210"/>
    </row>
    <row r="13" spans="1:16" s="3198" customFormat="1" ht="18" hidden="1" customHeight="1">
      <c r="A13" s="3182" t="s">
        <v>438</v>
      </c>
      <c r="B13" s="3189" t="s">
        <v>3532</v>
      </c>
      <c r="C13" s="3440">
        <f>SUM(C8:F12)</f>
        <v>508727</v>
      </c>
      <c r="D13" s="3441"/>
      <c r="E13" s="3441"/>
      <c r="F13" s="3442"/>
      <c r="G13" s="3443" t="s">
        <v>3533</v>
      </c>
      <c r="H13" s="3443"/>
      <c r="I13" s="3443"/>
      <c r="J13" s="3209" t="s">
        <v>3534</v>
      </c>
      <c r="L13" s="3210"/>
    </row>
    <row r="14" spans="1:16" s="3198" customFormat="1" ht="18" hidden="1" customHeight="1">
      <c r="A14" s="3182" t="s">
        <v>3535</v>
      </c>
      <c r="B14" s="3189" t="s">
        <v>3536</v>
      </c>
      <c r="C14" s="3440">
        <f>ROUND(C13*H14,0)</f>
        <v>5087</v>
      </c>
      <c r="D14" s="3441"/>
      <c r="E14" s="3441"/>
      <c r="F14" s="3442"/>
      <c r="G14" s="3186" t="s">
        <v>3537</v>
      </c>
      <c r="H14" s="3464">
        <v>0.01</v>
      </c>
      <c r="I14" s="3464"/>
      <c r="J14" s="3196"/>
      <c r="L14" s="3210"/>
      <c r="N14" s="3198">
        <v>1.5</v>
      </c>
    </row>
    <row r="15" spans="1:16" s="3198" customFormat="1" ht="18" hidden="1" customHeight="1">
      <c r="A15" s="3182" t="s">
        <v>393</v>
      </c>
      <c r="B15" s="3189" t="s">
        <v>3538</v>
      </c>
      <c r="C15" s="3454">
        <f>H15</f>
        <v>0.01</v>
      </c>
      <c r="D15" s="3455"/>
      <c r="E15" s="3462" t="str">
        <f>E18</f>
        <v>V</v>
      </c>
      <c r="F15" s="3463"/>
      <c r="G15" s="3186" t="s">
        <v>3539</v>
      </c>
      <c r="H15" s="3464">
        <v>0.01</v>
      </c>
      <c r="I15" s="3464"/>
      <c r="J15" s="3213"/>
      <c r="K15" s="3214"/>
    </row>
    <row r="16" spans="1:16" s="3198" customFormat="1" ht="18" hidden="1" customHeight="1">
      <c r="A16" s="3215" t="s">
        <v>394</v>
      </c>
      <c r="B16" s="3216" t="s">
        <v>3540</v>
      </c>
      <c r="C16" s="3184">
        <f ca="1">C17</f>
        <v>17727</v>
      </c>
      <c r="D16" s="3185" t="s">
        <v>3541</v>
      </c>
      <c r="E16" s="3217">
        <f ca="1">C18</f>
        <v>2.9999999999999997E-4</v>
      </c>
      <c r="F16" s="3212" t="str">
        <f>E18</f>
        <v>V</v>
      </c>
      <c r="G16" s="3440" t="s">
        <v>3542</v>
      </c>
      <c r="H16" s="3441"/>
      <c r="I16" s="3442"/>
      <c r="J16" s="3196"/>
      <c r="K16" s="3149"/>
    </row>
    <row r="17" spans="1:12" s="3198" customFormat="1" ht="18" hidden="1" customHeight="1">
      <c r="A17" s="3182" t="s">
        <v>3543</v>
      </c>
      <c r="B17" s="3189" t="s">
        <v>3544</v>
      </c>
      <c r="C17" s="3440">
        <f ca="1">ROUND((C13+C14)*I18*(I17/2),0)</f>
        <v>17727</v>
      </c>
      <c r="D17" s="3441"/>
      <c r="E17" s="3441"/>
      <c r="F17" s="3442"/>
      <c r="G17" s="3184" t="s">
        <v>3545</v>
      </c>
      <c r="H17" s="3189" t="s">
        <v>3546</v>
      </c>
      <c r="I17" s="3186">
        <f>'[1]数据-取费表'!B20</f>
        <v>2</v>
      </c>
      <c r="J17" s="3209" t="s">
        <v>3547</v>
      </c>
      <c r="K17" s="3149"/>
      <c r="L17" s="3149"/>
    </row>
    <row r="18" spans="1:12" s="3198" customFormat="1" ht="18" hidden="1" customHeight="1">
      <c r="A18" s="3182" t="s">
        <v>3548</v>
      </c>
      <c r="B18" s="3189" t="s">
        <v>3549</v>
      </c>
      <c r="C18" s="3591">
        <f ca="1">ROUND(H15*I18*I17/2,4)</f>
        <v>2.9999999999999997E-4</v>
      </c>
      <c r="D18" s="3592"/>
      <c r="E18" s="3462" t="s">
        <v>3550</v>
      </c>
      <c r="F18" s="3463"/>
      <c r="G18" s="3184" t="s">
        <v>3551</v>
      </c>
      <c r="H18" s="3189" t="s">
        <v>3552</v>
      </c>
      <c r="I18" s="3218">
        <f ca="1">'数据-取费表'!B40</f>
        <v>3.4500000000000003E-2</v>
      </c>
      <c r="J18" s="3209" t="s">
        <v>3553</v>
      </c>
      <c r="K18" s="3149"/>
      <c r="L18" s="3149"/>
    </row>
    <row r="19" spans="1:12" s="3198" customFormat="1" ht="27" hidden="1" customHeight="1">
      <c r="A19" s="3182" t="s">
        <v>395</v>
      </c>
      <c r="B19" s="3189" t="s">
        <v>3554</v>
      </c>
      <c r="C19" s="3184">
        <f>C20</f>
        <v>25691</v>
      </c>
      <c r="D19" s="3185" t="s">
        <v>3541</v>
      </c>
      <c r="E19" s="3185">
        <f>C21</f>
        <v>5.0000000000000001E-4</v>
      </c>
      <c r="F19" s="3212" t="str">
        <f>E21</f>
        <v>V</v>
      </c>
      <c r="G19" s="3440" t="s">
        <v>3555</v>
      </c>
      <c r="H19" s="3441"/>
      <c r="I19" s="3442"/>
      <c r="J19" s="3196"/>
      <c r="K19" s="3149"/>
      <c r="L19" s="3149"/>
    </row>
    <row r="20" spans="1:12" s="3198" customFormat="1" ht="26.25" hidden="1" customHeight="1">
      <c r="A20" s="3182" t="s">
        <v>3556</v>
      </c>
      <c r="B20" s="3189" t="s">
        <v>3557</v>
      </c>
      <c r="C20" s="3440">
        <f>ROUND((C13+C14)*I20,0)</f>
        <v>25691</v>
      </c>
      <c r="D20" s="3441"/>
      <c r="E20" s="3441"/>
      <c r="F20" s="3442"/>
      <c r="G20" s="3186" t="s">
        <v>3558</v>
      </c>
      <c r="H20" s="3459" t="s">
        <v>3559</v>
      </c>
      <c r="I20" s="3461">
        <v>0.05</v>
      </c>
      <c r="J20" s="3209" t="s">
        <v>3560</v>
      </c>
      <c r="K20" s="3149"/>
      <c r="L20" s="3149"/>
    </row>
    <row r="21" spans="1:12" s="3198" customFormat="1" ht="27" hidden="1" customHeight="1">
      <c r="A21" s="3182" t="s">
        <v>3556</v>
      </c>
      <c r="B21" s="3189" t="s">
        <v>3561</v>
      </c>
      <c r="C21" s="3454">
        <f>H15*I20</f>
        <v>5.0000000000000001E-4</v>
      </c>
      <c r="D21" s="3455"/>
      <c r="E21" s="3462" t="s">
        <v>3550</v>
      </c>
      <c r="F21" s="3463"/>
      <c r="G21" s="3186" t="s">
        <v>3562</v>
      </c>
      <c r="H21" s="3460"/>
      <c r="I21" s="3461"/>
      <c r="J21" s="3196"/>
      <c r="K21" s="3149"/>
      <c r="L21" s="3149"/>
    </row>
    <row r="22" spans="1:12" s="3198" customFormat="1" ht="18" hidden="1" customHeight="1">
      <c r="A22" s="3182" t="s">
        <v>396</v>
      </c>
      <c r="B22" s="3189" t="s">
        <v>3563</v>
      </c>
      <c r="C22" s="3454">
        <f>ROUND(H22/1.05,4)</f>
        <v>5.33E-2</v>
      </c>
      <c r="D22" s="3455"/>
      <c r="E22" s="3462" t="s">
        <v>3550</v>
      </c>
      <c r="F22" s="3463"/>
      <c r="G22" s="3186" t="s">
        <v>3564</v>
      </c>
      <c r="H22" s="3464">
        <v>5.6000000000000001E-2</v>
      </c>
      <c r="I22" s="3464"/>
      <c r="J22" s="3220"/>
      <c r="K22" s="3149"/>
      <c r="L22" s="3149"/>
    </row>
    <row r="23" spans="1:12" s="3198" customFormat="1" ht="18" hidden="1" customHeight="1">
      <c r="A23" s="3182" t="s">
        <v>3565</v>
      </c>
      <c r="B23" s="3189" t="s">
        <v>3566</v>
      </c>
      <c r="C23" s="3440">
        <f ca="1">ROUND((C13+C14+C17+C20)/(1-C15-C18-C21-C22),0)</f>
        <v>595397</v>
      </c>
      <c r="D23" s="3441"/>
      <c r="E23" s="3441"/>
      <c r="F23" s="3442"/>
      <c r="G23" s="3440" t="s">
        <v>3567</v>
      </c>
      <c r="H23" s="3441"/>
      <c r="I23" s="3442"/>
      <c r="J23" s="3220"/>
      <c r="K23" s="3149"/>
      <c r="L23" s="3149"/>
    </row>
    <row r="24" spans="1:12" s="3198" customFormat="1" ht="18" customHeight="1">
      <c r="A24" s="3182" t="s">
        <v>3568</v>
      </c>
      <c r="B24" s="3189" t="s">
        <v>3569</v>
      </c>
      <c r="C24" s="3211">
        <f ca="1">C26+C27</f>
        <v>3183</v>
      </c>
      <c r="D24" s="3221" t="s">
        <v>3570</v>
      </c>
      <c r="E24" s="3456">
        <f>H25+H28</f>
        <v>0.125</v>
      </c>
      <c r="F24" s="3457"/>
      <c r="G24" s="3443" t="s">
        <v>3571</v>
      </c>
      <c r="H24" s="3443"/>
      <c r="I24" s="3443"/>
      <c r="J24" s="3220"/>
      <c r="K24" s="3149"/>
      <c r="L24" s="3149"/>
    </row>
    <row r="25" spans="1:12" s="3198" customFormat="1" ht="18" customHeight="1">
      <c r="A25" s="3182" t="s">
        <v>438</v>
      </c>
      <c r="B25" s="3189" t="s">
        <v>3572</v>
      </c>
      <c r="C25" s="3454" t="s">
        <v>3573</v>
      </c>
      <c r="D25" s="3455"/>
      <c r="E25" s="3456">
        <f>H25</f>
        <v>0.12</v>
      </c>
      <c r="F25" s="3457"/>
      <c r="G25" s="3186" t="s">
        <v>3574</v>
      </c>
      <c r="H25" s="3439">
        <v>0.12</v>
      </c>
      <c r="I25" s="3439"/>
      <c r="J25" s="3213"/>
      <c r="K25" s="3149"/>
      <c r="L25" s="3149"/>
    </row>
    <row r="26" spans="1:12" s="3198" customFormat="1" ht="18" customHeight="1">
      <c r="A26" s="3182" t="s">
        <v>3535</v>
      </c>
      <c r="B26" s="3189" t="s">
        <v>3575</v>
      </c>
      <c r="C26" s="3440">
        <f ca="1">ROUND(C23*H26,0)</f>
        <v>2977</v>
      </c>
      <c r="D26" s="3441"/>
      <c r="E26" s="3441"/>
      <c r="F26" s="3442"/>
      <c r="G26" s="3186" t="s">
        <v>3576</v>
      </c>
      <c r="H26" s="3439">
        <v>5.0000000000000001E-3</v>
      </c>
      <c r="I26" s="3439"/>
      <c r="J26" s="3213"/>
      <c r="K26" s="3149"/>
      <c r="L26" s="3149"/>
    </row>
    <row r="27" spans="1:12" s="3198" customFormat="1" ht="18" customHeight="1">
      <c r="A27" s="3182" t="s">
        <v>393</v>
      </c>
      <c r="B27" s="3189" t="s">
        <v>3577</v>
      </c>
      <c r="C27" s="3440">
        <f ca="1">ROUND(C7*H27,0)</f>
        <v>206</v>
      </c>
      <c r="D27" s="3441"/>
      <c r="E27" s="3441"/>
      <c r="F27" s="3442"/>
      <c r="G27" s="3186" t="s">
        <v>3578</v>
      </c>
      <c r="H27" s="3458">
        <v>5.0000000000000001E-4</v>
      </c>
      <c r="I27" s="3458"/>
      <c r="J27" s="3196"/>
      <c r="K27" s="3149"/>
      <c r="L27" s="3149"/>
    </row>
    <row r="28" spans="1:12" s="3198" customFormat="1" ht="18" customHeight="1">
      <c r="A28" s="3182" t="s">
        <v>394</v>
      </c>
      <c r="B28" s="3189" t="s">
        <v>3579</v>
      </c>
      <c r="C28" s="3454" t="s">
        <v>3573</v>
      </c>
      <c r="D28" s="3455"/>
      <c r="E28" s="3456">
        <f>H28</f>
        <v>5.0000000000000001E-3</v>
      </c>
      <c r="F28" s="3457"/>
      <c r="G28" s="3186" t="s">
        <v>3580</v>
      </c>
      <c r="H28" s="3439">
        <v>5.0000000000000001E-3</v>
      </c>
      <c r="I28" s="3439"/>
      <c r="J28" s="3222"/>
      <c r="K28" s="3149"/>
      <c r="L28" s="3149"/>
    </row>
    <row r="29" spans="1:12" s="3198" customFormat="1" ht="18" customHeight="1">
      <c r="A29" s="3186" t="s">
        <v>3581</v>
      </c>
      <c r="B29" s="3189" t="s">
        <v>3582</v>
      </c>
      <c r="C29" s="3440">
        <f ca="1">ROUND((C4+C24)/(1-E24),0)</f>
        <v>74029</v>
      </c>
      <c r="D29" s="3441"/>
      <c r="E29" s="3441"/>
      <c r="F29" s="3442"/>
      <c r="G29" s="3443" t="s">
        <v>3583</v>
      </c>
      <c r="H29" s="3443"/>
      <c r="I29" s="3443"/>
      <c r="J29" s="3237" t="s">
        <v>3605</v>
      </c>
      <c r="K29" s="3149"/>
      <c r="L29" s="3149"/>
    </row>
    <row r="30" spans="1:12" s="3198" customFormat="1" ht="21" customHeight="1">
      <c r="A30" s="3443" t="s">
        <v>3585</v>
      </c>
      <c r="B30" s="3447" t="s">
        <v>3586</v>
      </c>
      <c r="C30" s="3448">
        <f ca="1">ROUND(C29/I30/I31/I3,2)</f>
        <v>1.71</v>
      </c>
      <c r="D30" s="3449"/>
      <c r="E30" s="3449"/>
      <c r="F30" s="3450"/>
      <c r="G30" s="3443" t="s">
        <v>3587</v>
      </c>
      <c r="H30" s="3189" t="s">
        <v>3588</v>
      </c>
      <c r="I30" s="3186">
        <v>365</v>
      </c>
      <c r="J30" s="3224"/>
      <c r="K30" s="3149"/>
      <c r="L30" s="3149"/>
    </row>
    <row r="31" spans="1:12" s="3198" customFormat="1" ht="18" customHeight="1">
      <c r="A31" s="3443"/>
      <c r="B31" s="3447"/>
      <c r="C31" s="3451"/>
      <c r="D31" s="3452"/>
      <c r="E31" s="3452"/>
      <c r="F31" s="3453"/>
      <c r="G31" s="3443"/>
      <c r="H31" s="3189" t="s">
        <v>3589</v>
      </c>
      <c r="I31" s="3219">
        <v>0.9</v>
      </c>
      <c r="J31" s="3225"/>
      <c r="K31" s="3149"/>
      <c r="L31" s="3149"/>
    </row>
    <row r="32" spans="1:12" s="3198" customFormat="1" ht="18" customHeight="1">
      <c r="A32" s="3181"/>
      <c r="B32" s="3156"/>
      <c r="C32" s="3181"/>
      <c r="D32" s="3181"/>
      <c r="E32" s="3181"/>
      <c r="F32" s="3181"/>
      <c r="G32" s="3226"/>
      <c r="H32" s="3181"/>
      <c r="I32" s="3181"/>
      <c r="J32" s="3196"/>
      <c r="K32" s="3149"/>
      <c r="L32" s="3149"/>
    </row>
    <row r="33" spans="1:13" s="3198" customFormat="1" ht="18" customHeight="1">
      <c r="A33" s="3181"/>
      <c r="B33" s="3445" t="s">
        <v>3590</v>
      </c>
      <c r="C33" s="3445"/>
      <c r="D33" s="3445"/>
      <c r="E33" s="3445"/>
      <c r="F33" s="3445"/>
      <c r="G33" s="3227"/>
      <c r="H33" s="3228"/>
      <c r="I33" s="3181"/>
      <c r="J33" s="3196"/>
      <c r="K33" s="3149"/>
      <c r="L33" s="3149"/>
      <c r="M33" s="3181"/>
    </row>
    <row r="34" spans="1:13" s="3198" customFormat="1" ht="18" customHeight="1">
      <c r="A34" s="3181"/>
      <c r="B34" s="3229" t="s">
        <v>3591</v>
      </c>
      <c r="C34" s="3229" t="s">
        <v>3507</v>
      </c>
      <c r="D34" s="3446" t="s">
        <v>3592</v>
      </c>
      <c r="E34" s="3446"/>
      <c r="F34" s="3446"/>
      <c r="G34" s="3227"/>
      <c r="H34" s="3228"/>
      <c r="I34" s="3181"/>
      <c r="J34" s="3220"/>
      <c r="K34" s="3181"/>
      <c r="L34" s="3181"/>
      <c r="M34" s="3181"/>
    </row>
    <row r="35" spans="1:13">
      <c r="B35" s="3229" t="s">
        <v>3593</v>
      </c>
      <c r="C35" s="3230">
        <v>0.7</v>
      </c>
      <c r="D35" s="3444">
        <f>'比较法-仓储'!C36</f>
        <v>1.3</v>
      </c>
      <c r="E35" s="3444"/>
      <c r="F35" s="3444"/>
      <c r="G35" s="3227">
        <f ca="1">(D35-D36)/D36</f>
        <v>-0.23976608187134499</v>
      </c>
      <c r="H35" s="3228"/>
      <c r="K35" s="3181"/>
      <c r="L35" s="3181"/>
    </row>
    <row r="36" spans="1:13" ht="20.100000000000001" customHeight="1">
      <c r="B36" s="3229" t="s">
        <v>3594</v>
      </c>
      <c r="C36" s="3230">
        <f>1-C35</f>
        <v>0.30000000000000004</v>
      </c>
      <c r="D36" s="3444">
        <f ca="1">C30</f>
        <v>1.71</v>
      </c>
      <c r="E36" s="3444"/>
      <c r="F36" s="3444"/>
      <c r="G36" s="3227"/>
      <c r="H36" s="3228"/>
      <c r="J36" s="3181"/>
      <c r="K36" s="3181"/>
      <c r="L36" s="3181"/>
    </row>
    <row r="37" spans="1:13" ht="22.5" customHeight="1">
      <c r="B37" s="3446" t="s">
        <v>3595</v>
      </c>
      <c r="C37" s="3446"/>
      <c r="D37" s="3444">
        <f ca="1">ROUND(C35*D35+C36*D36,1)</f>
        <v>1.4</v>
      </c>
      <c r="E37" s="3444"/>
      <c r="F37" s="3444"/>
      <c r="G37" s="3227">
        <f ca="1">ROUND(D37*I3/10000,2)</f>
        <v>0.02</v>
      </c>
      <c r="H37" s="3228"/>
      <c r="J37" s="3181"/>
      <c r="K37" s="3181"/>
      <c r="L37" s="3181"/>
    </row>
    <row r="38" spans="1:13" ht="22.5" customHeight="1">
      <c r="B38" s="3229" t="s">
        <v>3596</v>
      </c>
      <c r="C38" s="3229">
        <f ca="1">ROUND(D37*0.9,2)</f>
        <v>1.26</v>
      </c>
      <c r="D38" s="3231" t="s">
        <v>3597</v>
      </c>
      <c r="E38" s="3444">
        <f ca="1">ROUND(D37*1.1,2)</f>
        <v>1.54</v>
      </c>
      <c r="F38" s="3444"/>
      <c r="G38" s="3227" t="s">
        <v>3598</v>
      </c>
      <c r="H38" s="3232">
        <v>12</v>
      </c>
      <c r="J38" s="3181"/>
      <c r="K38" s="3181"/>
      <c r="L38" s="3181"/>
    </row>
    <row r="39" spans="1:13" ht="18" customHeight="1">
      <c r="B39" s="3229" t="s">
        <v>3599</v>
      </c>
      <c r="C39" s="3229">
        <f ca="1">ROUND(C38+H39,2)</f>
        <v>1.31</v>
      </c>
      <c r="D39" s="3231" t="s">
        <v>3597</v>
      </c>
      <c r="E39" s="3444">
        <f ca="1">ROUND(E38+H39,2)</f>
        <v>1.59</v>
      </c>
      <c r="F39" s="3444"/>
      <c r="G39" s="3233" t="s">
        <v>3600</v>
      </c>
      <c r="H39" s="3233">
        <v>0.05</v>
      </c>
      <c r="J39" s="3181"/>
      <c r="K39" s="3181"/>
      <c r="L39" s="3181"/>
    </row>
    <row r="40" spans="1:13" ht="18" customHeight="1">
      <c r="B40" s="3234"/>
      <c r="C40" s="3235"/>
      <c r="D40" s="3228"/>
      <c r="E40" s="3228"/>
      <c r="F40" s="3228"/>
      <c r="G40" s="3227"/>
      <c r="H40" s="3228"/>
      <c r="J40" s="3181"/>
    </row>
    <row r="41" spans="1:13" ht="18" customHeight="1">
      <c r="B41" s="3227" t="s">
        <v>3601</v>
      </c>
      <c r="C41" s="3228"/>
      <c r="D41" s="3228"/>
      <c r="E41" s="3227" t="s">
        <v>3602</v>
      </c>
      <c r="F41" s="3228"/>
      <c r="G41" s="3227"/>
      <c r="H41" s="3227" t="s">
        <v>3603</v>
      </c>
      <c r="J41" s="3181"/>
    </row>
    <row r="42" spans="1:13" ht="29.25" customHeight="1"/>
    <row r="45" spans="1:13">
      <c r="H45" s="3236"/>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7661-1448-4DE5-8430-6D8B224CBEF5}">
  <sheetPr>
    <tabColor rgb="FF92D050"/>
    <pageSetUpPr fitToPage="1"/>
  </sheetPr>
  <dimension ref="A1:H57"/>
  <sheetViews>
    <sheetView view="pageBreakPreview" topLeftCell="B10" zoomScale="90" zoomScaleNormal="70" zoomScaleSheetLayoutView="90" workbookViewId="0">
      <selection activeCell="D46" sqref="D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3665</v>
      </c>
      <c r="C1" s="1717" t="s">
        <v>1563</v>
      </c>
      <c r="D1" s="190"/>
      <c r="E1" s="190"/>
      <c r="F1" s="190"/>
      <c r="G1" s="1062">
        <f>MATCH(B1,'数据-取费表'!A6:A16,0)+5</f>
        <v>7</v>
      </c>
      <c r="H1" s="998" t="str">
        <f>IF(ISERROR(FIND("住宅",B1)),"非住宅","住宅")</f>
        <v>非住宅</v>
      </c>
    </row>
    <row r="2" spans="1:8" s="192" customFormat="1" ht="18" customHeight="1">
      <c r="A2" s="193" t="s">
        <v>685</v>
      </c>
      <c r="B2" s="3122">
        <f ca="1">ROUND(IF(D2="——",C52/10000,C52/10000-E2),4)</f>
        <v>134.58369999999999</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f ca="1">ROUND(B2*10000/(IF(B1="",'数据-汇总表'!E3,INDIRECT("'数据-取费表'!k"&amp;$G$1))),0)</f>
        <v>10205</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772888</v>
      </c>
      <c r="D5" s="203" t="s">
        <v>1469</v>
      </c>
      <c r="E5" s="204" t="s">
        <v>1470</v>
      </c>
      <c r="F5" s="204" t="s">
        <v>1471</v>
      </c>
      <c r="G5" s="205"/>
    </row>
    <row r="6" spans="1:8" s="206" customFormat="1" ht="13.5" customHeight="1">
      <c r="A6" s="732" t="s">
        <v>346</v>
      </c>
      <c r="B6" s="207" t="s">
        <v>1473</v>
      </c>
      <c r="C6" s="208">
        <f>ROUND('基准地价修正-库房'!C41*'基准地价修正-库房'!D41,0)</f>
        <v>724417</v>
      </c>
      <c r="D6" s="209"/>
      <c r="E6" s="210"/>
      <c r="F6" s="210"/>
      <c r="G6" s="211"/>
    </row>
    <row r="7" spans="1:8" s="206" customFormat="1" ht="13.5" customHeight="1">
      <c r="A7" s="732" t="s">
        <v>347</v>
      </c>
      <c r="B7" s="207" t="s">
        <v>1475</v>
      </c>
      <c r="C7" s="212">
        <f>ROUND(C6*F7,0)</f>
        <v>22095</v>
      </c>
      <c r="D7" s="212"/>
      <c r="E7" s="210"/>
      <c r="F7" s="213">
        <f>IF(项目基本情况!B8="出让",0,'数据-取费表'!B48+'数据-取费表'!B49)</f>
        <v>3.0499999999999999E-2</v>
      </c>
      <c r="G7" s="211"/>
    </row>
    <row r="8" spans="1:8" s="215" customFormat="1">
      <c r="A8" s="732" t="s">
        <v>348</v>
      </c>
      <c r="B8" s="207" t="s">
        <v>1477</v>
      </c>
      <c r="C8" s="212">
        <f ca="1">IF(G8="已包含在土地购买价格中",0,C9+C10)</f>
        <v>26376</v>
      </c>
      <c r="D8" s="214"/>
      <c r="E8" s="212"/>
      <c r="F8" s="213"/>
      <c r="G8" s="1714" t="s">
        <v>3670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26376</v>
      </c>
      <c r="D10" s="795">
        <f ca="1">IF(B1="",'数据-汇总表'!E6,IF(INDIRECT("'数据-取费表'!c"&amp;$G$1)="住宅",INDIRECT("'数据-取费表'!s"&amp;$G$1),INDIRECT("'数据-取费表'!k"&amp;$G$1)+INDIRECT("'数据-取费表'!s"&amp;$G$1)))</f>
        <v>131.88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131.88</v>
      </c>
      <c r="E19" s="203">
        <f>'数据-取费表'!B31</f>
        <v>200</v>
      </c>
      <c r="F19" s="223"/>
      <c r="G19" s="1714" t="s">
        <v>3671</v>
      </c>
    </row>
    <row r="20" spans="1:7" s="206" customFormat="1" ht="13.5" customHeight="1">
      <c r="A20" s="247" t="s">
        <v>1493</v>
      </c>
      <c r="B20" s="202" t="s">
        <v>1494</v>
      </c>
      <c r="C20" s="224">
        <f ca="1">ROUND((C5+C19)*F20,0)</f>
        <v>7729</v>
      </c>
      <c r="D20" s="224"/>
      <c r="E20" s="224"/>
      <c r="F20" s="225">
        <f>'结果一览表-库房'!H14</f>
        <v>0.01</v>
      </c>
      <c r="G20" s="226" t="s">
        <v>1495</v>
      </c>
    </row>
    <row r="21" spans="1:7" s="206" customFormat="1" ht="13.5" customHeight="1">
      <c r="A21" s="247" t="s">
        <v>1496</v>
      </c>
      <c r="B21" s="202" t="s">
        <v>1497</v>
      </c>
      <c r="C21" s="227">
        <f>F21</f>
        <v>0.01</v>
      </c>
      <c r="D21" s="228" t="s">
        <v>1498</v>
      </c>
      <c r="E21" s="224"/>
      <c r="F21" s="225">
        <f>'结果一览表-库房'!H15</f>
        <v>0.01</v>
      </c>
      <c r="G21" s="226" t="s">
        <v>1499</v>
      </c>
    </row>
    <row r="22" spans="1:7" s="206" customFormat="1" ht="13.5" customHeight="1">
      <c r="A22" s="247" t="s">
        <v>1500</v>
      </c>
      <c r="B22" s="202" t="s">
        <v>1501</v>
      </c>
      <c r="C22" s="224">
        <f ca="1">ROUND(SUM(C23:C25),0)</f>
        <v>54516</v>
      </c>
      <c r="D22" s="227">
        <f ca="1">C26</f>
        <v>2.9999999999999997E-4</v>
      </c>
      <c r="E22" s="228" t="s">
        <v>1498</v>
      </c>
      <c r="F22" s="229">
        <f ca="1">'数据-取费表'!B40</f>
        <v>3.4500000000000003E-2</v>
      </c>
      <c r="G22" s="226" t="str">
        <f>IF('数据-取费表'!B22&lt;=1,"单利计息","复利计息")</f>
        <v>复利计息</v>
      </c>
    </row>
    <row r="23" spans="1:7" s="206" customFormat="1" ht="13.5" customHeight="1">
      <c r="A23" s="734" t="s">
        <v>346</v>
      </c>
      <c r="B23" s="207" t="s">
        <v>1503</v>
      </c>
      <c r="C23" s="230">
        <f ca="1">ROUND(IF('数据-取费表'!B22&lt;=1,C5*F22*'数据-取费表'!B22,C5*(POWER((1+F22),'数据-取费表'!B22)-1)),0)</f>
        <v>54249</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f ca="1">ROUND(IF('数据-取费表'!B22&lt;=1,C20*F22*'数据-取费表'!B22/2,C20*(POWER((1+F22),'数据-取费表'!B22/2)-1)),0)</f>
        <v>267</v>
      </c>
      <c r="D25" s="230"/>
      <c r="E25" s="233"/>
      <c r="F25" s="231"/>
      <c r="G25" s="234" t="s">
        <v>1510</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39031</v>
      </c>
      <c r="D27" s="227">
        <f>C29</f>
        <v>5.0000000000000001E-4</v>
      </c>
      <c r="E27" s="228" t="s">
        <v>1498</v>
      </c>
      <c r="F27" s="238">
        <v>0.05</v>
      </c>
      <c r="G27" s="239" t="s">
        <v>1515</v>
      </c>
    </row>
    <row r="28" spans="1:7" s="206" customFormat="1" ht="13.5" customHeight="1">
      <c r="A28" s="734" t="s">
        <v>346</v>
      </c>
      <c r="B28" s="240" t="s">
        <v>1516</v>
      </c>
      <c r="C28" s="241">
        <f ca="1">ROUND((C5+C19+C20)*F27,0)</f>
        <v>39031</v>
      </c>
      <c r="D28" s="227"/>
      <c r="E28" s="228"/>
      <c r="F28" s="238"/>
      <c r="G28" s="239"/>
    </row>
    <row r="29" spans="1:7" s="206" customFormat="1" ht="13.5" customHeight="1">
      <c r="A29" s="734" t="s">
        <v>347</v>
      </c>
      <c r="B29" s="240" t="s">
        <v>1517</v>
      </c>
      <c r="C29" s="230">
        <f>ROUND(C21*F27,4)</f>
        <v>5.0000000000000001E-4</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934036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439820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395640</v>
      </c>
      <c r="D34" s="209"/>
      <c r="E34" s="212"/>
      <c r="F34" s="249"/>
      <c r="G34" s="211"/>
    </row>
    <row r="35" spans="1:7" ht="13.5" customHeight="1">
      <c r="A35" s="734" t="s">
        <v>351</v>
      </c>
      <c r="B35" s="207" t="s">
        <v>1527</v>
      </c>
      <c r="C35" s="212">
        <f ca="1">ROUND(C34*F35,0)</f>
        <v>11869</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26376</v>
      </c>
      <c r="D37" s="209">
        <f ca="1">D19</f>
        <v>131.88</v>
      </c>
      <c r="E37" s="241">
        <f>'数据-取费表'!B35</f>
        <v>200</v>
      </c>
      <c r="F37" s="251"/>
      <c r="G37" s="253"/>
    </row>
    <row r="38" spans="1:7" ht="13.5" customHeight="1">
      <c r="A38" s="734" t="s">
        <v>354</v>
      </c>
      <c r="B38" s="207" t="s">
        <v>1533</v>
      </c>
      <c r="C38" s="212">
        <f ca="1">ROUND(C34*F38,0)</f>
        <v>5935</v>
      </c>
      <c r="D38" s="212"/>
      <c r="E38" s="212"/>
      <c r="F38" s="251">
        <f>'数据-取费表'!B36</f>
        <v>1.4999999999999999E-2</v>
      </c>
      <c r="G38" s="211" t="s">
        <v>1528</v>
      </c>
    </row>
    <row r="39" spans="1:7" s="206" customFormat="1" ht="13.5" customHeight="1">
      <c r="A39" s="247" t="s">
        <v>1491</v>
      </c>
      <c r="B39" s="202" t="s">
        <v>1494</v>
      </c>
      <c r="C39" s="224">
        <f ca="1">ROUND(C33*F20,0)</f>
        <v>4398</v>
      </c>
      <c r="D39" s="224"/>
      <c r="E39" s="224"/>
      <c r="F39" s="225">
        <f>F20</f>
        <v>0.01</v>
      </c>
      <c r="G39" s="226" t="s">
        <v>1536</v>
      </c>
    </row>
    <row r="40" spans="1:7" s="206" customFormat="1" ht="13.5" customHeight="1">
      <c r="A40" s="247" t="s">
        <v>1493</v>
      </c>
      <c r="B40" s="202" t="s">
        <v>1497</v>
      </c>
      <c r="C40" s="227">
        <f>F21</f>
        <v>0.01</v>
      </c>
      <c r="D40" s="228" t="s">
        <v>1539</v>
      </c>
      <c r="E40" s="224"/>
      <c r="F40" s="225">
        <f>F21</f>
        <v>0.01</v>
      </c>
      <c r="G40" s="226" t="s">
        <v>1540</v>
      </c>
    </row>
    <row r="41" spans="1:7" s="206" customFormat="1" ht="13.5" customHeight="1">
      <c r="A41" s="247" t="s">
        <v>1496</v>
      </c>
      <c r="B41" s="202" t="s">
        <v>1501</v>
      </c>
      <c r="C41" s="224">
        <f ca="1">ROUND(SUM(C42:C43),0)</f>
        <v>15326</v>
      </c>
      <c r="D41" s="227">
        <f ca="1">C44</f>
        <v>2.9999999999999997E-4</v>
      </c>
      <c r="E41" s="228" t="s">
        <v>1539</v>
      </c>
      <c r="F41" s="229">
        <f ca="1">F22</f>
        <v>3.4500000000000003E-2</v>
      </c>
      <c r="G41" s="226" t="str">
        <f>IF('数据-取费表'!B22&lt;=1,"单利计息","复利计息")</f>
        <v>复利计息</v>
      </c>
    </row>
    <row r="42" spans="1:7" ht="13.5" customHeight="1">
      <c r="A42" s="734" t="s">
        <v>346</v>
      </c>
      <c r="B42" s="207" t="s">
        <v>1503</v>
      </c>
      <c r="C42" s="230">
        <f ca="1">ROUND(IF('数据-取费表'!B22&lt;=1,C33*F22*'数据-取费表'!B20/2,C33*(POWER((1+F22),'数据-取费表'!B20/2)-1)),0)</f>
        <v>15174</v>
      </c>
      <c r="D42" s="230"/>
      <c r="E42" s="230"/>
      <c r="F42" s="231"/>
      <c r="G42" s="3479" t="s">
        <v>1591</v>
      </c>
    </row>
    <row r="43" spans="1:7" ht="13.5" customHeight="1">
      <c r="A43" s="734" t="s">
        <v>347</v>
      </c>
      <c r="B43" s="207" t="s">
        <v>1506</v>
      </c>
      <c r="C43" s="230">
        <f ca="1">ROUND(IF('数据-取费表'!B22&lt;=1,C39*F22*'数据-取费表'!B20/2,C39*(POWER((1+F22),'数据-取费表'!B20/2)-1)),0)</f>
        <v>152</v>
      </c>
      <c r="D43" s="230"/>
      <c r="E43" s="230"/>
      <c r="F43" s="231"/>
      <c r="G43" s="3480"/>
    </row>
    <row r="44" spans="1:7" ht="13.5" customHeight="1">
      <c r="A44" s="734" t="s">
        <v>348</v>
      </c>
      <c r="B44" s="207" t="s">
        <v>1509</v>
      </c>
      <c r="C44" s="230">
        <f ca="1">ROUND(IF('数据-取费表'!B22&lt;=1,C40*F22*'数据-取费表'!B20/2,C40*(POWER((1+F22),'数据-取费表'!B20/2)-1)),4)</f>
        <v>2.9999999999999997E-4</v>
      </c>
      <c r="D44" s="230"/>
      <c r="E44" s="230"/>
      <c r="F44" s="231"/>
      <c r="G44" s="3481"/>
    </row>
    <row r="45" spans="1:7" s="206" customFormat="1" ht="13.5" customHeight="1">
      <c r="A45" s="247" t="s">
        <v>1500</v>
      </c>
      <c r="B45" s="236" t="s">
        <v>1513</v>
      </c>
      <c r="C45" s="237">
        <f ca="1">C46</f>
        <v>22211</v>
      </c>
      <c r="D45" s="227">
        <f>C47</f>
        <v>5.0000000000000001E-4</v>
      </c>
      <c r="E45" s="228" t="s">
        <v>1539</v>
      </c>
      <c r="F45" s="238">
        <f>F27</f>
        <v>0.05</v>
      </c>
      <c r="G45" s="239" t="s">
        <v>1548</v>
      </c>
    </row>
    <row r="46" spans="1:7" s="206" customFormat="1" ht="13.5" customHeight="1">
      <c r="A46" s="734" t="s">
        <v>346</v>
      </c>
      <c r="B46" s="240" t="s">
        <v>1549</v>
      </c>
      <c r="C46" s="241">
        <f ca="1">ROUND((C33+C39)*F27,0)</f>
        <v>22211</v>
      </c>
      <c r="D46" s="255"/>
      <c r="E46" s="228"/>
      <c r="F46" s="238"/>
      <c r="G46" s="239"/>
    </row>
    <row r="47" spans="1:7" s="206" customFormat="1" ht="13.5" customHeight="1">
      <c r="A47" s="734" t="s">
        <v>347</v>
      </c>
      <c r="B47" s="240" t="s">
        <v>1550</v>
      </c>
      <c r="C47" s="230">
        <f>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514751</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411801</v>
      </c>
      <c r="D51" s="224"/>
      <c r="E51" s="224"/>
      <c r="F51" s="256"/>
      <c r="G51" s="226" t="s">
        <v>1560</v>
      </c>
    </row>
    <row r="52" spans="1:7" s="200" customFormat="1" ht="16.5" thickBot="1">
      <c r="A52" s="257" t="s">
        <v>1561</v>
      </c>
      <c r="B52" s="258"/>
      <c r="C52" s="259">
        <f ca="1">C31+C51</f>
        <v>1345837</v>
      </c>
      <c r="D52" s="258"/>
      <c r="E52" s="258"/>
      <c r="F52" s="258"/>
      <c r="G52" s="260"/>
    </row>
    <row r="55" spans="1:7" ht="15">
      <c r="B55" s="262" t="s">
        <v>1562</v>
      </c>
      <c r="C55" s="263"/>
    </row>
    <row r="56" spans="1:7">
      <c r="B56" s="265" t="s">
        <v>802</v>
      </c>
      <c r="C56" s="267">
        <f ca="1">1-C57</f>
        <v>0.69399999999999995</v>
      </c>
    </row>
    <row r="57" spans="1:7">
      <c r="B57" s="265" t="s">
        <v>803</v>
      </c>
      <c r="C57" s="266">
        <f ca="1">ROUND(C51/C52,3)</f>
        <v>0.30599999999999999</v>
      </c>
    </row>
  </sheetData>
  <sheetProtection formatCells="0"/>
  <mergeCells count="1">
    <mergeCell ref="G42:G44"/>
  </mergeCells>
  <phoneticPr fontId="134" type="noConversion"/>
  <dataValidations count="5">
    <dataValidation type="list" allowBlank="1" showInputMessage="1" showErrorMessage="1" sqref="D2" xr:uid="{9207AC6B-C382-4E4B-9398-0D837EDE5813}">
      <formula1>"需扣减承租人权益,——"</formula1>
    </dataValidation>
    <dataValidation type="list" allowBlank="1" showInputMessage="1" showErrorMessage="1" sqref="G2" xr:uid="{892C115F-E722-477A-BB27-5090DE279309}">
      <formula1>估价方法</formula1>
    </dataValidation>
    <dataValidation type="list" allowBlank="1" showInputMessage="1" showErrorMessage="1" sqref="B1" xr:uid="{7E952861-2179-4D86-959F-01898546DF2A}">
      <formula1>项目类型</formula1>
    </dataValidation>
    <dataValidation type="list" allowBlank="1" showInputMessage="1" showErrorMessage="1" sqref="G19" xr:uid="{D52C9942-5D60-48AA-ACB5-2D12D3ED1DAC}">
      <formula1>"已包含在土地取得成本中,未包含在土地取得成本中"</formula1>
    </dataValidation>
    <dataValidation type="list" allowBlank="1" showInputMessage="1" showErrorMessage="1" sqref="G8" xr:uid="{CB1FDD68-28C3-42C3-B15D-36CBED8169C5}">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D863-1B2B-4D2A-808F-50BA4B1AF28A}">
  <sheetPr>
    <tabColor rgb="FF92D050"/>
  </sheetPr>
  <dimension ref="A1:AK122"/>
  <sheetViews>
    <sheetView view="pageBreakPreview" zoomScale="90" zoomScaleNormal="80" zoomScaleSheetLayoutView="90" workbookViewId="0">
      <selection activeCell="F21" sqref="F2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278.87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t="s">
        <v>3688</v>
      </c>
      <c r="F3" s="1848" t="s">
        <v>3669</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23140</v>
      </c>
      <c r="N3" s="813">
        <f>SUMPRODUCT((因素修正幅度!B30:B54=I2)*(因素修正幅度!C3:G3=E2)*(因素修正幅度!C30:G54))</f>
        <v>0.1</v>
      </c>
      <c r="O3" s="1056"/>
      <c r="P3" s="1056"/>
      <c r="Q3" s="1056"/>
      <c r="R3" s="1129">
        <v>2</v>
      </c>
      <c r="S3" s="3063">
        <f>ROUND(SUMPRODUCT((B106:B110=R3)*(C105:N105=G2)*(C106:N110)),4)</f>
        <v>1.1838</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579"/>
      <c r="B4" s="3580"/>
      <c r="C4" s="3580"/>
      <c r="D4" s="3581"/>
      <c r="E4" s="3581"/>
      <c r="F4" s="3581"/>
      <c r="G4" s="3581"/>
      <c r="H4" s="3581"/>
      <c r="I4" s="3581"/>
      <c r="J4" s="358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23140</v>
      </c>
      <c r="D5" s="1252">
        <f>ROUND(C6*C17+C20,0)</f>
        <v>23140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23140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t="str">
        <f>G2</f>
        <v>三级</v>
      </c>
      <c r="Y7" s="1131" t="s">
        <v>1956</v>
      </c>
      <c r="Z7" s="1132">
        <f>G3</f>
        <v>2.5</v>
      </c>
      <c r="AA7" s="1133"/>
      <c r="AB7" s="1133"/>
      <c r="AC7" s="1134"/>
      <c r="AD7" s="1135"/>
      <c r="AE7" s="1135"/>
      <c r="AF7" s="1135"/>
      <c r="AG7" s="1135"/>
      <c r="AH7" s="1135"/>
      <c r="AI7" s="1135"/>
      <c r="AJ7" s="1136"/>
    </row>
    <row r="8" spans="1:36" ht="25.5">
      <c r="A8" s="3009"/>
      <c r="B8" s="162" t="s">
        <v>1957</v>
      </c>
      <c r="C8" s="1870" t="s">
        <v>3667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576" t="s">
        <v>1960</v>
      </c>
      <c r="X8" s="357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578"/>
      <c r="X9" s="3064" t="s">
        <v>3269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57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3239</v>
      </c>
      <c r="B12" s="3013" t="s">
        <v>3240</v>
      </c>
      <c r="C12" s="3014">
        <v>1</v>
      </c>
      <c r="D12" s="3015" t="s">
        <v>3241</v>
      </c>
      <c r="E12" s="3016" t="s">
        <v>3242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3244</v>
      </c>
      <c r="G14" s="3020" t="s">
        <v>3244</v>
      </c>
      <c r="H14" s="3020" t="s">
        <v>3244</v>
      </c>
      <c r="I14" s="3020" t="s">
        <v>3244</v>
      </c>
      <c r="J14" s="3020" t="s">
        <v>3244</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3245</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3246</v>
      </c>
      <c r="B17" s="3027" t="s">
        <v>3247</v>
      </c>
      <c r="C17" s="3036">
        <f>ROUND(IF(OR(E2="工业",E2="公共服务"),1,IF(AND(E18=0,E19=0),1,IF(AND(E18=J24,E19=G19),0.8,IF(E19=0,1+E17*(-0.2),1+E17*G17*(-0.2))))),4)</f>
        <v>1</v>
      </c>
      <c r="D17" s="3028" t="s">
        <v>3248</v>
      </c>
      <c r="E17" s="3036">
        <f>ROUND(G18/I18,2)</f>
        <v>0</v>
      </c>
      <c r="F17" s="3028" t="s">
        <v>3251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3249</v>
      </c>
      <c r="E18" s="2356"/>
      <c r="F18" s="3030" t="s">
        <v>3252</v>
      </c>
      <c r="G18" s="3034">
        <f>ROUND(1-(1/(POWER(1+G24,E18))),4)</f>
        <v>0</v>
      </c>
      <c r="H18" s="3030" t="s">
        <v>3254</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3250</v>
      </c>
      <c r="E19" s="3043"/>
      <c r="F19" s="3044" t="s">
        <v>3253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83" t="s">
        <v>3255</v>
      </c>
      <c r="B20" s="159" t="s">
        <v>1994</v>
      </c>
      <c r="C20" s="3031">
        <f>ROUND(IF(F21="与级别开发程度一致",0,(G21-E21)/C21),0)</f>
        <v>0</v>
      </c>
      <c r="D20" s="3046" t="s">
        <v>1998</v>
      </c>
      <c r="E20" s="3047"/>
      <c r="F20" s="3589" t="s">
        <v>1995</v>
      </c>
      <c r="G20" s="3590"/>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8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3668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1896" t="s">
        <v>2002</v>
      </c>
      <c r="E23" s="717">
        <v>44197</v>
      </c>
      <c r="F23" s="1896" t="s">
        <v>2003</v>
      </c>
      <c r="G23" s="718">
        <f>'数据-取费表'!B2</f>
        <v>45254</v>
      </c>
      <c r="H23" s="3048" t="s">
        <v>3257</v>
      </c>
      <c r="I23" s="3049" t="str">
        <f>IF(H23="季度增幅（自定义）",SUMIF(N25:N28,E2,O25:O28),"")</f>
        <v/>
      </c>
      <c r="J23" s="3141" t="s">
        <v>3256</v>
      </c>
      <c r="K23" s="1061"/>
      <c r="L23" s="1897" t="s">
        <v>2004</v>
      </c>
      <c r="M23" s="1241">
        <f>ROUND(SUMIF(地价!B2:G2,E2,地价!B16:G16),0)</f>
        <v>350</v>
      </c>
      <c r="N23" s="1898" t="s">
        <v>2005</v>
      </c>
      <c r="O23" s="719">
        <f>ROUNDDOWN(DATEDIF(E23,G23,"M")/3,0)</f>
        <v>11</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存贷款利率!E24/100</f>
        <v>4.3499999999999997E-2</v>
      </c>
      <c r="F24" s="1902" t="s">
        <v>1999</v>
      </c>
      <c r="G24" s="724">
        <f>SUMIF(M30:Q30,E2,M33:Q33)</f>
        <v>5.5E-2</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3336</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3258</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1.036</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f>'数据-汇总表'!F19</f>
        <v>146.99</v>
      </c>
      <c r="E33" s="727" t="e">
        <f>ROUND(C33*D33/10000,0)</f>
        <v>#DIV/0!</v>
      </c>
      <c r="F33" s="3050" t="s">
        <v>3261</v>
      </c>
      <c r="G33" s="1941"/>
      <c r="H33" s="1941"/>
      <c r="I33" s="1941"/>
      <c r="J33" s="1942"/>
      <c r="K33" s="1056"/>
      <c r="L33" s="3053" t="s">
        <v>3264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3266</v>
      </c>
      <c r="L36" s="3142">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87"/>
      <c r="B37" s="1955" t="s">
        <v>2036</v>
      </c>
      <c r="C37" s="167" t="e">
        <f>ROUND(D5*C22*C23*C24*C28*F37,0)</f>
        <v>#DIV/0!</v>
      </c>
      <c r="D37" s="1940"/>
      <c r="E37" s="163" t="e">
        <f>ROUND(C37*D37/10000,0)</f>
        <v>#DIV/0!</v>
      </c>
      <c r="F37" s="163">
        <f>SUMIF(修正!A57:A68,G2,修正!B57:B68)</f>
        <v>0.6</v>
      </c>
      <c r="G37" s="163" t="e">
        <f>ROUND(IF(E2="工业",C37*$M$42,C37*$M$41),0)</f>
        <v>#DIV/0!</v>
      </c>
      <c r="H37" s="163">
        <f>D37</f>
        <v>0</v>
      </c>
      <c r="I37" s="163" t="e">
        <f>ROUND(G37*H37/10000,0)</f>
        <v>#DIV/0!</v>
      </c>
      <c r="J37" s="2754"/>
      <c r="K37" s="3061" t="s">
        <v>3267</v>
      </c>
      <c r="L37" s="1964">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88"/>
      <c r="B38" s="1884" t="s">
        <v>2037</v>
      </c>
      <c r="C38" s="167" t="e">
        <f>ROUND(D5*C22*C23*C24*C28*F38,0)</f>
        <v>#DIV/0!</v>
      </c>
      <c r="D38" s="1940"/>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88"/>
      <c r="B39" s="1884" t="s">
        <v>3260</v>
      </c>
      <c r="C39" s="167" t="e">
        <f>ROUND(D5*C22*C23*C24*C28*F39,0)</f>
        <v>#DIV/0!</v>
      </c>
      <c r="D39" s="1940"/>
      <c r="E39" s="163" t="e">
        <f t="shared" si="4"/>
        <v>#DIV/0!</v>
      </c>
      <c r="F39" s="163">
        <f>SUMIF(修正!A57:A68,G2,修正!D57:D68)</f>
        <v>0.25</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0.25</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5493</v>
      </c>
      <c r="D41" s="1940">
        <f>'数据-汇总表'!G20</f>
        <v>131.88</v>
      </c>
      <c r="E41" s="163">
        <f t="shared" si="4"/>
        <v>72</v>
      </c>
      <c r="F41" s="167">
        <f>SUMIF(修正!A57:A68,G2,修正!F57:F68)</f>
        <v>0.25</v>
      </c>
      <c r="G41" s="163">
        <f>ROUND(IF(E2="工业",C41*$M$42,C41*$M$41),0)</f>
        <v>1373</v>
      </c>
      <c r="H41" s="163">
        <f t="shared" si="5"/>
        <v>131.88</v>
      </c>
      <c r="I41" s="163">
        <f t="shared" si="6"/>
        <v>18</v>
      </c>
      <c r="J41" s="939"/>
      <c r="L41" s="3062" t="s">
        <v>3268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3296</v>
      </c>
      <c r="D42" s="1945"/>
      <c r="E42" s="179">
        <f t="shared" si="4"/>
        <v>0</v>
      </c>
      <c r="F42" s="723">
        <f>SUMIF(修正!A57:A68,G2,修正!G57:G68)</f>
        <v>0.15</v>
      </c>
      <c r="G42" s="179">
        <f>ROUND(IF(E2="工业",C42*$M$42,C42*$M$41),0)</f>
        <v>824</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0.89139999999999997</v>
      </c>
      <c r="D44" s="163" t="s">
        <v>1999</v>
      </c>
      <c r="E44" s="1991">
        <f>G24</f>
        <v>5.5E-2</v>
      </c>
      <c r="F44" s="163" t="s">
        <v>2008</v>
      </c>
      <c r="G44" s="175">
        <f>项目基本情况!G15</f>
        <v>33.11</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估价对象周边多为住宅、办公配套商业，人流量较大，商业繁华度较好。</v>
      </c>
      <c r="C50" s="1887" t="s">
        <v>3673</v>
      </c>
      <c r="D50" s="1002">
        <f t="shared" ref="D50:D58" si="7">SUMIF($J$49:$N$49,C50,J50:N50)</f>
        <v>1.4999999999999999E-2</v>
      </c>
      <c r="E50" s="702">
        <f>ROUND(SUM(D50:D58),4)</f>
        <v>0.05</v>
      </c>
      <c r="F50" s="1675" t="str">
        <f>IF(E2="商业",SUMIF(L1:L12,G2,N1:N12),"——")</f>
        <v>——</v>
      </c>
      <c r="G50" s="1000">
        <v>1.4999999999999999E-2</v>
      </c>
      <c r="H50" s="1003" t="str">
        <f t="shared" ref="H50:H58" si="8">IFERROR(ROUNDDOWN($F$50*I50/2,4),"——")</f>
        <v>——</v>
      </c>
      <c r="I50" s="3068">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76.5" hidden="1">
      <c r="A51" s="1970" t="s">
        <v>2053</v>
      </c>
      <c r="B51" s="1262" t="str">
        <f>估价对象房地状况!C18</f>
        <v>估价对象周边有专10路、23路、54路、91路、312路等多条公交线路，距离地铁7、10号线双井站约600米，周边道路网线较密集，通达度较好。综合评价交通便捷度较好。</v>
      </c>
      <c r="C51" s="1887" t="s">
        <v>3673</v>
      </c>
      <c r="D51" s="1002">
        <f t="shared" si="7"/>
        <v>1.0999999999999999E-2</v>
      </c>
      <c r="E51" s="703"/>
      <c r="F51" s="1675"/>
      <c r="G51" s="1000">
        <v>1.0999999999999999E-2</v>
      </c>
      <c r="H51" s="1003" t="str">
        <f t="shared" si="8"/>
        <v>——</v>
      </c>
      <c r="I51" s="3068">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hidden="1">
      <c r="A52" s="3070" t="s">
        <v>3270</v>
      </c>
      <c r="B52" s="1262">
        <f>估价对象房地状况!C19</f>
        <v>0</v>
      </c>
      <c r="C52" s="1887" t="s">
        <v>3673</v>
      </c>
      <c r="D52" s="1002">
        <f t="shared" si="7"/>
        <v>6.0000000000000001E-3</v>
      </c>
      <c r="E52" s="703"/>
      <c r="F52" s="1675"/>
      <c r="G52" s="1000">
        <v>6.0000000000000001E-3</v>
      </c>
      <c r="H52" s="1003" t="str">
        <f t="shared" si="8"/>
        <v>——</v>
      </c>
      <c r="I52" s="3068">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3673</v>
      </c>
      <c r="D53" s="1002">
        <f t="shared" si="7"/>
        <v>2.5000000000000001E-3</v>
      </c>
      <c r="E53" s="703"/>
      <c r="F53" s="1675"/>
      <c r="G53" s="1000">
        <v>2.5000000000000001E-3</v>
      </c>
      <c r="H53" s="1003" t="str">
        <f t="shared" si="8"/>
        <v>——</v>
      </c>
      <c r="I53" s="3068">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3674</v>
      </c>
      <c r="D54" s="1002">
        <f t="shared" si="7"/>
        <v>0</v>
      </c>
      <c r="E54" s="703"/>
      <c r="F54" s="1675"/>
      <c r="G54" s="1000">
        <v>4.0000000000000001E-3</v>
      </c>
      <c r="H54" s="1003" t="str">
        <f t="shared" si="8"/>
        <v>——</v>
      </c>
      <c r="I54" s="3068">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3673</v>
      </c>
      <c r="D55" s="1002">
        <f t="shared" si="7"/>
        <v>2.5000000000000001E-3</v>
      </c>
      <c r="E55" s="703"/>
      <c r="F55" s="1675"/>
      <c r="G55" s="1000">
        <v>2.5000000000000001E-3</v>
      </c>
      <c r="H55" s="1003" t="str">
        <f t="shared" si="8"/>
        <v>——</v>
      </c>
      <c r="I55" s="3068">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140.25" hidden="1">
      <c r="A56" s="1976" t="s">
        <v>2059</v>
      </c>
      <c r="B5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56" s="1887" t="s">
        <v>3673</v>
      </c>
      <c r="D56" s="1002">
        <f t="shared" si="7"/>
        <v>2.5000000000000001E-3</v>
      </c>
      <c r="E56" s="703"/>
      <c r="F56" s="1675"/>
      <c r="G56" s="1000">
        <v>2.5000000000000001E-3</v>
      </c>
      <c r="H56" s="1003" t="str">
        <f t="shared" si="8"/>
        <v>——</v>
      </c>
      <c r="I56" s="3068">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估价对象所在区域基础设施水平-七通</v>
      </c>
      <c r="C57" s="1887" t="s">
        <v>3675</v>
      </c>
      <c r="D57" s="1002">
        <f t="shared" si="7"/>
        <v>8.0000000000000002E-3</v>
      </c>
      <c r="E57" s="703"/>
      <c r="F57" s="1675"/>
      <c r="G57" s="1000">
        <v>4.0000000000000001E-3</v>
      </c>
      <c r="H57" s="1003" t="str">
        <f t="shared" si="8"/>
        <v>——</v>
      </c>
      <c r="I57" s="3068">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39" hidden="1" thickBot="1">
      <c r="A58" s="1977" t="s">
        <v>2061</v>
      </c>
      <c r="B58" s="1978" t="str">
        <f>估价对象房地状况!C20</f>
        <v>估价对象周边有九龙花园篮球场等自然人文场所，综合评价环境状况一般</v>
      </c>
      <c r="C58" s="1887" t="s">
        <v>3673</v>
      </c>
      <c r="D58" s="1002">
        <f t="shared" si="7"/>
        <v>2.5000000000000001E-3</v>
      </c>
      <c r="E58" s="704"/>
      <c r="F58" s="1675"/>
      <c r="G58" s="1000">
        <v>2.5000000000000001E-3</v>
      </c>
      <c r="H58" s="1003" t="str">
        <f t="shared" si="8"/>
        <v>——</v>
      </c>
      <c r="I58" s="3069">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1.036</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估价对象位于双井商圈，周边办公楼项目较少，办公集聚程度一般</v>
      </c>
      <c r="C61" s="1887" t="s">
        <v>3674</v>
      </c>
      <c r="D61" s="1002">
        <f t="shared" ref="D61:D69" si="12">SUMIF($J$60:$N$60,C61,J61:N61)</f>
        <v>0</v>
      </c>
      <c r="E61" s="702">
        <f>ROUND(SUM(D61:D69),4)</f>
        <v>3.5999999999999997E-2</v>
      </c>
      <c r="F61" s="1675">
        <f>IF(E2="办公",SUMIF(L1:L12,G2,N1:N12),"——")</f>
        <v>0.1</v>
      </c>
      <c r="G61" s="1000">
        <v>1.2500000000000001E-2</v>
      </c>
      <c r="H61" s="1003">
        <f t="shared" ref="H61:H69" si="13">IFERROR(ROUNDDOWN($F$61*I61/2,4),"——")</f>
        <v>1.2500000000000001E-2</v>
      </c>
      <c r="I61" s="3068">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76.5">
      <c r="A62" s="1970" t="s">
        <v>2053</v>
      </c>
      <c r="B62" s="1262" t="str">
        <f>估价对象房地状况!C18</f>
        <v>估价对象周边有专10路、23路、54路、91路、312路等多条公交线路，距离地铁7、10号线双井站约600米，周边道路网线较密集，通达度较好。综合评价交通便捷度较好。</v>
      </c>
      <c r="C62" s="1887" t="s">
        <v>3673</v>
      </c>
      <c r="D62" s="1002">
        <f t="shared" si="12"/>
        <v>1.2999999999999999E-2</v>
      </c>
      <c r="E62" s="703"/>
      <c r="F62" s="1675"/>
      <c r="G62" s="1000">
        <v>1.2999999999999999E-2</v>
      </c>
      <c r="H62" s="1003">
        <f t="shared" si="13"/>
        <v>1.2999999999999999E-2</v>
      </c>
      <c r="I62" s="3068">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70" t="s">
        <v>3270</v>
      </c>
      <c r="B63" s="1262">
        <f>估价对象房地状况!C19</f>
        <v>0</v>
      </c>
      <c r="C63" s="1887" t="s">
        <v>3673</v>
      </c>
      <c r="D63" s="1002">
        <f t="shared" si="12"/>
        <v>5.4999999999999997E-3</v>
      </c>
      <c r="E63" s="703"/>
      <c r="F63" s="1675"/>
      <c r="G63" s="1000">
        <v>5.4999999999999997E-3</v>
      </c>
      <c r="H63" s="1003">
        <f t="shared" si="13"/>
        <v>5.4999999999999997E-3</v>
      </c>
      <c r="I63" s="3068">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3673</v>
      </c>
      <c r="D64" s="1002">
        <f t="shared" si="12"/>
        <v>2.5000000000000001E-3</v>
      </c>
      <c r="E64" s="703"/>
      <c r="F64" s="1675"/>
      <c r="G64" s="1000">
        <v>2.5000000000000001E-3</v>
      </c>
      <c r="H64" s="1003">
        <f t="shared" si="13"/>
        <v>2.5000000000000001E-3</v>
      </c>
      <c r="I64" s="3068">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3674</v>
      </c>
      <c r="D65" s="1002">
        <f t="shared" si="12"/>
        <v>0</v>
      </c>
      <c r="E65" s="703"/>
      <c r="F65" s="1675"/>
      <c r="G65" s="1000">
        <v>2.5000000000000001E-3</v>
      </c>
      <c r="H65" s="1003">
        <f t="shared" si="13"/>
        <v>2.5000000000000001E-3</v>
      </c>
      <c r="I65" s="3068">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3673</v>
      </c>
      <c r="D66" s="1002">
        <f t="shared" si="12"/>
        <v>3.0000000000000001E-3</v>
      </c>
      <c r="E66" s="703"/>
      <c r="F66" s="1675"/>
      <c r="G66" s="1000">
        <v>3.0000000000000001E-3</v>
      </c>
      <c r="H66" s="1003">
        <f t="shared" si="13"/>
        <v>3.0000000000000001E-3</v>
      </c>
      <c r="I66" s="3068">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101.25" customHeight="1">
      <c r="A67" s="1970" t="s">
        <v>2059</v>
      </c>
      <c r="B67"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67" s="1887" t="s">
        <v>3673</v>
      </c>
      <c r="D67" s="1002">
        <f t="shared" si="12"/>
        <v>3.0000000000000001E-3</v>
      </c>
      <c r="E67" s="703"/>
      <c r="F67" s="1675"/>
      <c r="G67" s="1000">
        <v>3.0000000000000001E-3</v>
      </c>
      <c r="H67" s="1003">
        <f t="shared" si="13"/>
        <v>3.0000000000000001E-3</v>
      </c>
      <c r="I67" s="3068">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估价对象所在区域基础设施水平-七通</v>
      </c>
      <c r="C68" s="1887" t="s">
        <v>3675</v>
      </c>
      <c r="D68" s="1002">
        <f t="shared" si="12"/>
        <v>8.9999999999999993E-3</v>
      </c>
      <c r="E68" s="703"/>
      <c r="F68" s="1675"/>
      <c r="G68" s="1000">
        <v>4.4999999999999997E-3</v>
      </c>
      <c r="H68" s="1003">
        <f t="shared" si="13"/>
        <v>4.4999999999999997E-3</v>
      </c>
      <c r="I68" s="3068">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估价对象周边有九龙花园篮球场等自然人文场所，综合评价环境状况一般</v>
      </c>
      <c r="C69" s="1887" t="s">
        <v>3674</v>
      </c>
      <c r="D69" s="1002">
        <f t="shared" si="12"/>
        <v>0</v>
      </c>
      <c r="E69" s="704"/>
      <c r="F69" s="1675"/>
      <c r="G69" s="1000">
        <v>3.5000000000000001E-3</v>
      </c>
      <c r="H69" s="1003">
        <f t="shared" si="13"/>
        <v>3.5000000000000001E-3</v>
      </c>
      <c r="I69" s="3069">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6.5">
      <c r="A73" s="1970" t="s">
        <v>2053</v>
      </c>
      <c r="B73" s="1262" t="str">
        <f>估价对象房地状况!C18</f>
        <v>估价对象周边有专10路、23路、54路、91路、312路等多条公交线路，距离地铁7、10号线双井站约600米，周边道路网线较密集，通达度较好。综合评价交通便捷度较好。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3270</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40.25">
      <c r="A76" s="1970" t="s">
        <v>2059</v>
      </c>
      <c r="B7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估价对象所在区域基础设施水平-七通</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估价对象周边有九龙花园篮球场等自然人文场所，综合评价环境状况一般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2613</v>
      </c>
      <c r="B91" s="3079">
        <f>1+E93</f>
        <v>1</v>
      </c>
      <c r="C91" s="3072"/>
      <c r="D91" s="3073"/>
      <c r="E91" s="1675"/>
      <c r="F91" s="1675"/>
      <c r="G91" s="3074"/>
      <c r="H91" s="3075"/>
      <c r="I91" s="3076"/>
      <c r="J91" s="3077"/>
      <c r="K91" s="3077"/>
      <c r="L91" s="3077"/>
      <c r="M91" s="3077"/>
      <c r="N91" s="3077"/>
    </row>
    <row r="92" spans="1:37" ht="24.75">
      <c r="A92" s="3080" t="s">
        <v>2044</v>
      </c>
      <c r="B92" s="2309"/>
      <c r="C92" s="2309" t="s">
        <v>2046</v>
      </c>
      <c r="D92" s="2309" t="s">
        <v>2047</v>
      </c>
      <c r="E92" s="3052" t="s">
        <v>2048</v>
      </c>
      <c r="F92" s="3082" t="s">
        <v>3284</v>
      </c>
      <c r="G92" s="2309" t="s">
        <v>1989</v>
      </c>
      <c r="H92" s="3089" t="s">
        <v>3288</v>
      </c>
      <c r="I92" s="2309" t="s">
        <v>2051</v>
      </c>
      <c r="J92" s="2150" t="s">
        <v>1721</v>
      </c>
      <c r="K92" s="2150" t="s">
        <v>1722</v>
      </c>
      <c r="L92" s="2150" t="s">
        <v>1723</v>
      </c>
      <c r="M92" s="2150" t="s">
        <v>1724</v>
      </c>
      <c r="N92" s="2150" t="s">
        <v>1725</v>
      </c>
    </row>
    <row r="93" spans="1:37" ht="24">
      <c r="A93" s="3070" t="s">
        <v>3273</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76.5">
      <c r="A94" s="3080" t="s">
        <v>2053</v>
      </c>
      <c r="B94" s="3071" t="str">
        <f>估价对象房地状况!C18</f>
        <v>估价对象周边有专10路、23路、54路、91路、312路等多条公交线路，距离地铁7、10号线双井站约600米，周边道路网线较密集，通达度较好。综合评价交通便捷度较好。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3270</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2054</v>
      </c>
      <c r="B96" s="3086" t="s">
        <v>3286</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2056</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2057</v>
      </c>
      <c r="B98" s="3087" t="s">
        <v>3287</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140.25">
      <c r="A99" s="3080" t="s">
        <v>2059</v>
      </c>
      <c r="B99" s="3071"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2060</v>
      </c>
      <c r="B100" s="3071" t="str">
        <f>估价对象房地状况!C22</f>
        <v>估价对象所在区域基础设施水平-七通</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39" thickBot="1">
      <c r="A101" s="3081" t="s">
        <v>2061</v>
      </c>
      <c r="B101" s="3088" t="str">
        <f>估价对象房地状况!C20</f>
        <v>估价对象周边有九龙花园篮球场等自然人文场所，综合评价环境状况一般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585" t="s">
        <v>3295</v>
      </c>
      <c r="B103" s="3585"/>
      <c r="C103" s="3585"/>
      <c r="D103" s="3585"/>
      <c r="E103" s="3585"/>
      <c r="F103" s="3585"/>
      <c r="G103" s="3585"/>
      <c r="H103" s="3585"/>
      <c r="I103" s="3585"/>
      <c r="J103" s="3585"/>
      <c r="K103" s="1667"/>
      <c r="L103" s="1667"/>
      <c r="M103" s="1667"/>
      <c r="N103" s="1667"/>
    </row>
    <row r="104" spans="1:14">
      <c r="A104" s="3586" t="s">
        <v>3296</v>
      </c>
      <c r="B104" s="3586" t="s">
        <v>3297</v>
      </c>
      <c r="C104" s="3090" t="s">
        <v>3298</v>
      </c>
      <c r="D104" s="3091"/>
      <c r="E104" s="3091"/>
      <c r="F104" s="3091"/>
      <c r="G104" s="3091"/>
      <c r="H104" s="3091"/>
      <c r="I104" s="3091"/>
      <c r="J104" s="3092"/>
      <c r="K104" s="3093"/>
      <c r="L104" s="3093"/>
      <c r="M104" s="3093"/>
      <c r="N104" s="3093"/>
    </row>
    <row r="105" spans="1:14">
      <c r="A105" s="3586"/>
      <c r="B105" s="3586"/>
      <c r="C105" s="3094" t="s">
        <v>1961</v>
      </c>
      <c r="D105" s="3094" t="s">
        <v>1962</v>
      </c>
      <c r="E105" s="3094" t="s">
        <v>1963</v>
      </c>
      <c r="F105" s="3094" t="s">
        <v>1964</v>
      </c>
      <c r="G105" s="3094" t="s">
        <v>1965</v>
      </c>
      <c r="H105" s="3094" t="s">
        <v>1966</v>
      </c>
      <c r="I105" s="3094" t="s">
        <v>1967</v>
      </c>
      <c r="J105" s="3094" t="s">
        <v>1968</v>
      </c>
      <c r="K105" s="3094" t="s">
        <v>1969</v>
      </c>
      <c r="L105" s="3094" t="s">
        <v>1970</v>
      </c>
      <c r="M105" s="3094" t="s">
        <v>1971</v>
      </c>
      <c r="N105" s="3094" t="s">
        <v>1972</v>
      </c>
    </row>
    <row r="106" spans="1:14">
      <c r="A106" s="3572" t="s">
        <v>3311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7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7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7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7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73"/>
      <c r="B111" s="3094" t="s">
        <v>3269</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7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75" t="s">
        <v>3312</v>
      </c>
      <c r="B113" s="3575"/>
      <c r="C113" s="3575"/>
      <c r="D113" s="3575"/>
      <c r="E113" s="3575"/>
      <c r="F113" s="3575"/>
      <c r="G113" s="3575"/>
      <c r="H113" s="3575"/>
      <c r="I113" s="3575"/>
      <c r="J113" s="3575"/>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3313</v>
      </c>
      <c r="B116" s="3114">
        <f>G3</f>
        <v>2.5</v>
      </c>
      <c r="C116" s="3099" t="s">
        <v>3314</v>
      </c>
      <c r="D116" s="3100">
        <f>SUMPRODUCT((A118:A122=F116)*(B117:M117=H116)*B118:M122)</f>
        <v>0.90600000000000003</v>
      </c>
      <c r="E116" s="162" t="s">
        <v>1936</v>
      </c>
      <c r="F116" s="3101" t="str">
        <f>E2</f>
        <v>办公</v>
      </c>
      <c r="G116" s="162" t="s">
        <v>1937</v>
      </c>
      <c r="H116" s="3101" t="str">
        <f>G2</f>
        <v>三级</v>
      </c>
      <c r="I116" s="162"/>
      <c r="J116" s="3102"/>
      <c r="K116" s="3102"/>
      <c r="L116" s="3102"/>
      <c r="M116" s="3102"/>
      <c r="N116" s="3097"/>
    </row>
    <row r="117" spans="1:14">
      <c r="A117" s="3103"/>
      <c r="B117" s="3104" t="s">
        <v>3317</v>
      </c>
      <c r="C117" s="3104" t="s">
        <v>3318</v>
      </c>
      <c r="D117" s="3104" t="s">
        <v>3319</v>
      </c>
      <c r="E117" s="3105" t="s">
        <v>3320</v>
      </c>
      <c r="F117" s="3105" t="s">
        <v>3321</v>
      </c>
      <c r="G117" s="3105" t="s">
        <v>3322</v>
      </c>
      <c r="H117" s="3106" t="s">
        <v>3323</v>
      </c>
      <c r="I117" s="3106" t="s">
        <v>3324</v>
      </c>
      <c r="J117" s="3107" t="s">
        <v>3325</v>
      </c>
      <c r="K117" s="3107" t="s">
        <v>3326</v>
      </c>
      <c r="L117" s="3107" t="s">
        <v>3327</v>
      </c>
      <c r="M117" s="3108" t="s">
        <v>3328</v>
      </c>
      <c r="N117" s="3097"/>
    </row>
    <row r="118" spans="1:14">
      <c r="A118" s="3057" t="s">
        <v>1990</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1991</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1992</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1993</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2613</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48" priority="6" stopIfTrue="1" operator="notEqual">
      <formula>"——"</formula>
    </cfRule>
  </conditionalFormatting>
  <conditionalFormatting sqref="F61">
    <cfRule type="cellIs" dxfId="47" priority="5" stopIfTrue="1" operator="notEqual">
      <formula>"——"</formula>
    </cfRule>
  </conditionalFormatting>
  <conditionalFormatting sqref="F72">
    <cfRule type="cellIs" dxfId="46" priority="4" stopIfTrue="1" operator="notEqual">
      <formula>"——"</formula>
    </cfRule>
  </conditionalFormatting>
  <conditionalFormatting sqref="F83">
    <cfRule type="cellIs" dxfId="45" priority="3" stopIfTrue="1" operator="notEqual">
      <formula>"——"</formula>
    </cfRule>
  </conditionalFormatting>
  <conditionalFormatting sqref="H50:H58 H61:H69 H72:H80 H83:H91">
    <cfRule type="cellIs" dxfId="44" priority="2" operator="notEqual">
      <formula>"——"</formula>
    </cfRule>
  </conditionalFormatting>
  <conditionalFormatting sqref="H93:H101">
    <cfRule type="cellIs" dxfId="43" priority="1" operator="notEqual">
      <formula>"——"</formula>
    </cfRule>
  </conditionalFormatting>
  <dataValidations count="12">
    <dataValidation type="list" allowBlank="1" showInputMessage="1" showErrorMessage="1" sqref="J23" xr:uid="{0D30B6C1-BF78-4585-B60C-C362DDD4B123}">
      <formula1>"不用分区数据,中心城区,中心城区以外"</formula1>
    </dataValidation>
    <dataValidation type="list" allowBlank="1" showInputMessage="1" showErrorMessage="1" sqref="H20:O20" xr:uid="{BED92433-3D26-4914-BEA1-7839DC9F042E}">
      <formula1>七通一平</formula1>
    </dataValidation>
    <dataValidation type="list" allowBlank="1" showInputMessage="1" showErrorMessage="1" sqref="H23" xr:uid="{6EDFBE57-D685-42BB-A50E-B1A90F19D9AD}">
      <formula1>"地价指数,季度增幅（自定义）,按公示增长率计算"</formula1>
    </dataValidation>
    <dataValidation type="list" allowBlank="1" showInputMessage="1" showErrorMessage="1" sqref="C61:C69 C72:C80 C50:C58 C83:C91 C93:C101" xr:uid="{625B60C3-0A07-4DB3-89BA-E00C8FB61655}">
      <formula1>五等判定</formula1>
    </dataValidation>
    <dataValidation type="list" allowBlank="1" showInputMessage="1" showErrorMessage="1" sqref="E3" xr:uid="{FAC6C534-B3A5-43DE-AD42-D1ACE8025CAA}">
      <formula1>二级分类</formula1>
    </dataValidation>
    <dataValidation type="list" allowBlank="1" showInputMessage="1" showErrorMessage="1" sqref="C8" xr:uid="{288C928F-4BA6-4387-AE2A-9C513A0651F7}">
      <formula1>商业街名称</formula1>
    </dataValidation>
    <dataValidation type="list" allowBlank="1" showInputMessage="1" showErrorMessage="1" sqref="F3" xr:uid="{A0AA94E2-42C6-45B3-A4B9-7BD010717B5A}">
      <formula1>"宗地容积率,估价对象容积率,自定义容积率"</formula1>
    </dataValidation>
    <dataValidation type="list" allowBlank="1" showInputMessage="1" showErrorMessage="1" sqref="E2" xr:uid="{5AF82E7F-2A54-4CFE-BC3D-55F9570C777E}">
      <formula1>"商业,办公,住宅,工业,公共服务"</formula1>
    </dataValidation>
    <dataValidation type="list" allowBlank="1" showInputMessage="1" showErrorMessage="1" sqref="F21" xr:uid="{D3731A89-DB0F-4F87-81F3-92B2FFDC509A}">
      <formula1>"与级别开发程度一致,与级别开发程度不一致"</formula1>
    </dataValidation>
    <dataValidation type="list" allowBlank="1" showInputMessage="1" showErrorMessage="1" sqref="B25" xr:uid="{EE9AC55E-2000-44AF-84FA-C3B7A1689D8A}">
      <formula1>"容积率修正,楼层修正"</formula1>
    </dataValidation>
    <dataValidation type="list" allowBlank="1" showInputMessage="1" showErrorMessage="1" sqref="C15:D15" xr:uid="{2D91EC31-6B21-4CD3-A71C-E8C57A607321}">
      <formula1>"有,无"</formula1>
    </dataValidation>
    <dataValidation type="list" allowBlank="1" showInputMessage="1" showErrorMessage="1" sqref="E15" xr:uid="{FEA36954-9914-4FCA-9C76-A9F5B561260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B1" zoomScale="80" zoomScaleNormal="70" zoomScaleSheetLayoutView="80" workbookViewId="0">
      <selection activeCell="R37" sqref="R37:W37"/>
    </sheetView>
  </sheetViews>
  <sheetFormatPr defaultColWidth="9" defaultRowHeight="14.25"/>
  <cols>
    <col min="1" max="1" width="10.5" style="347" customWidth="1"/>
    <col min="2" max="2" width="15.75" style="347" customWidth="1"/>
    <col min="3" max="3" width="16.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t="s">
        <v>3665</v>
      </c>
      <c r="E1" s="3131" t="s">
        <v>3679</v>
      </c>
      <c r="F1" s="1735" t="s">
        <v>3678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IF(E1="项目模式",IF(C2="——",ROUND(C37*D3/10000,0),ROUND(C37*D3/10000,0)-D2),IF(E1="单套模式",IF(C2="——",ROUND(C37*D3/10000,4),ROUND(C37*D3/10000,4)-D2)))</f>
        <v>1.7100000000000001E-2</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IF(C2="——",C37,ROUND(B2*10000/D3,0))</f>
        <v>1.3</v>
      </c>
      <c r="C3" s="344" t="s">
        <v>1768</v>
      </c>
      <c r="D3" s="343">
        <f>SUMIF('数据-汇总表'!$C19:$C33,D1,'数据-汇总表'!$E19:$E33)</f>
        <v>131.88</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02" t="s">
        <v>1770</v>
      </c>
      <c r="D4" s="3503"/>
      <c r="E4" s="3504" t="s">
        <v>1771</v>
      </c>
      <c r="F4" s="3505"/>
      <c r="G4" s="3502" t="s">
        <v>1772</v>
      </c>
      <c r="H4" s="3503"/>
      <c r="I4" s="3502" t="s">
        <v>1773</v>
      </c>
      <c r="J4" s="3503"/>
      <c r="K4" s="537" t="s">
        <v>1774</v>
      </c>
      <c r="L4" s="2486"/>
      <c r="M4" s="2487"/>
      <c r="N4" s="2487"/>
      <c r="O4" s="2487"/>
      <c r="P4" s="3506" t="s">
        <v>1775</v>
      </c>
      <c r="Q4" s="3507"/>
      <c r="R4" s="3488" t="s">
        <v>1771</v>
      </c>
      <c r="S4" s="3489"/>
      <c r="T4" s="3488" t="s">
        <v>1772</v>
      </c>
      <c r="U4" s="3489"/>
      <c r="V4" s="3485" t="s">
        <v>1773</v>
      </c>
      <c r="W4" s="3485"/>
      <c r="X4" s="1265"/>
      <c r="Y4" s="3488" t="s">
        <v>1775</v>
      </c>
      <c r="Z4" s="3489"/>
      <c r="AA4" s="3482" t="s">
        <v>1771</v>
      </c>
      <c r="AB4" s="3483" t="s">
        <v>1772</v>
      </c>
      <c r="AC4" s="3482" t="s">
        <v>1773</v>
      </c>
    </row>
    <row r="5" spans="1:29" ht="15">
      <c r="A5" s="348"/>
      <c r="B5" s="349"/>
      <c r="C5" s="3498" t="s">
        <v>1673</v>
      </c>
      <c r="D5" s="3495"/>
      <c r="E5" s="3554" t="str">
        <f>库房案例!K2</f>
        <v>九龙花园</v>
      </c>
      <c r="F5" s="3493"/>
      <c r="G5" s="3498" t="str">
        <f>库房案例!K4</f>
        <v>双龙南里</v>
      </c>
      <c r="H5" s="3495"/>
      <c r="I5" s="3498" t="str">
        <f>库房案例!K9</f>
        <v>南新园</v>
      </c>
      <c r="J5" s="3495"/>
      <c r="K5" s="537"/>
      <c r="L5" s="2486"/>
      <c r="M5" s="2487"/>
      <c r="N5" s="2487"/>
      <c r="O5" s="2487"/>
      <c r="P5" s="3508"/>
      <c r="Q5" s="3509"/>
      <c r="R5" s="3490"/>
      <c r="S5" s="3491"/>
      <c r="T5" s="3490"/>
      <c r="U5" s="3491"/>
      <c r="V5" s="3485"/>
      <c r="W5" s="3485"/>
      <c r="X5" s="1265"/>
      <c r="Y5" s="3490"/>
      <c r="Z5" s="3491"/>
      <c r="AA5" s="3483"/>
      <c r="AB5" s="3483"/>
      <c r="AC5" s="3483"/>
    </row>
    <row r="6" spans="1:29" ht="15.75" thickBot="1">
      <c r="A6" s="350"/>
      <c r="B6" s="351"/>
      <c r="C6" s="3496" t="s">
        <v>1677</v>
      </c>
      <c r="D6" s="3497"/>
      <c r="E6" s="3499" t="s">
        <v>1677</v>
      </c>
      <c r="F6" s="3500"/>
      <c r="G6" s="3496" t="s">
        <v>1677</v>
      </c>
      <c r="H6" s="3497"/>
      <c r="I6" s="3496" t="s">
        <v>1677</v>
      </c>
      <c r="J6" s="3497"/>
      <c r="K6" s="537" t="s">
        <v>1678</v>
      </c>
      <c r="L6" s="2486"/>
      <c r="M6" s="2487"/>
      <c r="N6" s="2487"/>
      <c r="O6" s="2487"/>
      <c r="P6" s="3510"/>
      <c r="Q6" s="3511"/>
      <c r="R6" s="3490"/>
      <c r="S6" s="3491"/>
      <c r="T6" s="3512"/>
      <c r="U6" s="3513"/>
      <c r="V6" s="3485"/>
      <c r="W6" s="3485"/>
      <c r="X6" s="1265"/>
      <c r="Y6" s="3512"/>
      <c r="Z6" s="3513"/>
      <c r="AA6" s="3484"/>
      <c r="AB6" s="3484"/>
      <c r="AC6" s="3484"/>
    </row>
    <row r="7" spans="1:29" s="102" customFormat="1" ht="15.75" thickBot="1">
      <c r="A7" s="352" t="s">
        <v>1679</v>
      </c>
      <c r="B7" s="353"/>
      <c r="C7" s="354">
        <f>'数据-取费表'!B2</f>
        <v>45254</v>
      </c>
      <c r="D7" s="355">
        <v>100</v>
      </c>
      <c r="E7" s="356">
        <v>45200</v>
      </c>
      <c r="F7" s="357">
        <f>SUMIF(46:46,YEAR(E7)&amp;"-"&amp;MONTH(E7),47:47)</f>
        <v>100</v>
      </c>
      <c r="G7" s="1822">
        <v>45231</v>
      </c>
      <c r="H7" s="355">
        <f>SUMIF(46:46,YEAR(G7)&amp;"-"&amp;MONTH(G7),47:47)</f>
        <v>100</v>
      </c>
      <c r="I7" s="356">
        <v>45170</v>
      </c>
      <c r="J7" s="355">
        <f>SUMIF(46:46,YEAR(I7)&amp;"-"&amp;MONTH(I7),47:47)</f>
        <v>100</v>
      </c>
      <c r="K7" s="38"/>
      <c r="L7" s="2488"/>
      <c r="M7" s="2439"/>
      <c r="N7" s="2439"/>
      <c r="O7" s="2439"/>
      <c r="P7" s="3486" t="s">
        <v>1680</v>
      </c>
      <c r="Q7" s="3514"/>
      <c r="R7" s="664" t="s">
        <v>14</v>
      </c>
      <c r="S7" s="665">
        <f t="shared" ref="S7:S14" si="0">F7</f>
        <v>100</v>
      </c>
      <c r="T7" s="664" t="s">
        <v>14</v>
      </c>
      <c r="U7" s="665">
        <f t="shared" ref="U7:U14" si="1">H7</f>
        <v>100</v>
      </c>
      <c r="V7" s="664" t="s">
        <v>14</v>
      </c>
      <c r="W7" s="665">
        <f t="shared" ref="W7:W14" si="2">J7</f>
        <v>100</v>
      </c>
      <c r="X7" s="666"/>
      <c r="Y7" s="3486" t="s">
        <v>1680</v>
      </c>
      <c r="Z7" s="3487"/>
      <c r="AA7" s="50">
        <f>D7/F7</f>
        <v>1</v>
      </c>
      <c r="AB7" s="50">
        <f>D7/H7</f>
        <v>1</v>
      </c>
      <c r="AC7" s="50">
        <f>D7/J7</f>
        <v>1</v>
      </c>
    </row>
    <row r="8" spans="1:29" s="102" customFormat="1" ht="15.75" thickBot="1">
      <c r="A8" s="352" t="s">
        <v>1681</v>
      </c>
      <c r="B8" s="353"/>
      <c r="C8" s="358" t="s">
        <v>3712</v>
      </c>
      <c r="D8" s="355">
        <v>100</v>
      </c>
      <c r="E8" s="358" t="s">
        <v>3713</v>
      </c>
      <c r="F8" s="357">
        <f>SUMIF(49:49,E8,50:50)-SUMIF(49:49,C8,50:50)+100</f>
        <v>102</v>
      </c>
      <c r="G8" s="358" t="s">
        <v>3713</v>
      </c>
      <c r="H8" s="355">
        <f>SUMIF(49:49,G8,50:50)-SUMIF(49:49,C8,50:50)+100</f>
        <v>102</v>
      </c>
      <c r="I8" s="358" t="s">
        <v>3713</v>
      </c>
      <c r="J8" s="355">
        <f>SUMIF(49:49,I8,50:50)-SUMIF(49:49,C8,50:50)+100</f>
        <v>102</v>
      </c>
      <c r="K8" s="38"/>
      <c r="L8" s="2488"/>
      <c r="M8" s="2439"/>
      <c r="N8" s="2439"/>
      <c r="O8" s="2439"/>
      <c r="P8" s="3486" t="s">
        <v>1683</v>
      </c>
      <c r="Q8" s="3487"/>
      <c r="R8" s="664" t="s">
        <v>14</v>
      </c>
      <c r="S8" s="665">
        <f t="shared" si="0"/>
        <v>102</v>
      </c>
      <c r="T8" s="664" t="s">
        <v>14</v>
      </c>
      <c r="U8" s="665">
        <f t="shared" si="1"/>
        <v>102</v>
      </c>
      <c r="V8" s="664" t="s">
        <v>14</v>
      </c>
      <c r="W8" s="665">
        <f t="shared" si="2"/>
        <v>102</v>
      </c>
      <c r="X8" s="666"/>
      <c r="Y8" s="3486" t="s">
        <v>1683</v>
      </c>
      <c r="Z8" s="3487"/>
      <c r="AA8" s="50">
        <f t="shared" ref="AA8:AA34" si="3">D8/F8</f>
        <v>0.98039215686274506</v>
      </c>
      <c r="AB8" s="50">
        <f t="shared" ref="AB8:AB34" si="4">D8/H8</f>
        <v>0.98039215686274506</v>
      </c>
      <c r="AC8" s="50">
        <f t="shared" ref="AC8:AC34" si="5">D8/J8</f>
        <v>0.98039215686274506</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524" t="s">
        <v>1686</v>
      </c>
      <c r="Q9" s="530" t="str">
        <f t="shared" ref="Q9:Q14" si="6">B9</f>
        <v>用途</v>
      </c>
      <c r="R9" s="664" t="s">
        <v>14</v>
      </c>
      <c r="S9" s="665">
        <f t="shared" si="0"/>
        <v>100</v>
      </c>
      <c r="T9" s="664" t="s">
        <v>14</v>
      </c>
      <c r="U9" s="665">
        <f t="shared" si="1"/>
        <v>100</v>
      </c>
      <c r="V9" s="664" t="s">
        <v>14</v>
      </c>
      <c r="W9" s="665">
        <f t="shared" si="2"/>
        <v>100</v>
      </c>
      <c r="X9" s="666"/>
      <c r="Y9" s="341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524"/>
      <c r="Q10" s="530" t="str">
        <f t="shared" si="6"/>
        <v>土地使用年限（年）</v>
      </c>
      <c r="R10" s="664" t="s">
        <v>14</v>
      </c>
      <c r="S10" s="665">
        <f t="shared" si="0"/>
        <v>100</v>
      </c>
      <c r="T10" s="664" t="s">
        <v>14</v>
      </c>
      <c r="U10" s="665">
        <f t="shared" si="1"/>
        <v>100</v>
      </c>
      <c r="V10" s="664" t="s">
        <v>14</v>
      </c>
      <c r="W10" s="665">
        <f t="shared" si="2"/>
        <v>100</v>
      </c>
      <c r="X10" s="666"/>
      <c r="Y10" s="341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524"/>
      <c r="Q11" s="530">
        <f t="shared" si="6"/>
        <v>111</v>
      </c>
      <c r="R11" s="664" t="s">
        <v>14</v>
      </c>
      <c r="S11" s="665">
        <f t="shared" si="0"/>
        <v>100</v>
      </c>
      <c r="T11" s="664" t="s">
        <v>14</v>
      </c>
      <c r="U11" s="665">
        <f t="shared" si="1"/>
        <v>100</v>
      </c>
      <c r="V11" s="664" t="s">
        <v>14</v>
      </c>
      <c r="W11" s="665">
        <f t="shared" si="2"/>
        <v>100</v>
      </c>
      <c r="X11" s="666"/>
      <c r="Y11" s="341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524"/>
      <c r="Q12" s="530">
        <f t="shared" si="6"/>
        <v>111</v>
      </c>
      <c r="R12" s="664" t="s">
        <v>14</v>
      </c>
      <c r="S12" s="665">
        <f t="shared" si="0"/>
        <v>100</v>
      </c>
      <c r="T12" s="664" t="s">
        <v>14</v>
      </c>
      <c r="U12" s="665">
        <f t="shared" si="1"/>
        <v>100</v>
      </c>
      <c r="V12" s="664" t="s">
        <v>14</v>
      </c>
      <c r="W12" s="665">
        <f t="shared" si="2"/>
        <v>100</v>
      </c>
      <c r="X12" s="666"/>
      <c r="Y12" s="341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524"/>
      <c r="Q13" s="530">
        <f t="shared" si="6"/>
        <v>111</v>
      </c>
      <c r="R13" s="664" t="s">
        <v>14</v>
      </c>
      <c r="S13" s="665">
        <f t="shared" si="0"/>
        <v>100</v>
      </c>
      <c r="T13" s="664" t="s">
        <v>14</v>
      </c>
      <c r="U13" s="665">
        <f t="shared" si="1"/>
        <v>100</v>
      </c>
      <c r="V13" s="664" t="s">
        <v>14</v>
      </c>
      <c r="W13" s="665">
        <f t="shared" si="2"/>
        <v>100</v>
      </c>
      <c r="X13" s="666"/>
      <c r="Y13" s="3414"/>
      <c r="Z13" s="50">
        <f t="shared" si="7"/>
        <v>111</v>
      </c>
      <c r="AA13" s="50">
        <f t="shared" si="3"/>
        <v>1</v>
      </c>
      <c r="AB13" s="50">
        <f t="shared" si="4"/>
        <v>1</v>
      </c>
      <c r="AC13" s="50">
        <f t="shared" si="5"/>
        <v>1</v>
      </c>
    </row>
    <row r="14" spans="1:29" ht="142.5">
      <c r="A14" s="379" t="s">
        <v>1690</v>
      </c>
      <c r="B14" s="58" t="s">
        <v>1833</v>
      </c>
      <c r="C14" s="1819" t="str">
        <f>IF(B1="工业",估价对象房地状况!G4,估价对象房地状况!C6)</f>
        <v>估价对象周边有专10路、23路、54路、91路、312路等多条公交线路，距离地铁7、10号线双井站约600米，周边道路网线较密集，通达度较好。综合评价交通便捷度较好。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v>1</v>
      </c>
      <c r="L14" s="2492"/>
      <c r="M14" s="2487"/>
      <c r="N14" s="2487"/>
      <c r="O14" s="2542"/>
      <c r="P14" s="3517" t="s">
        <v>1691</v>
      </c>
      <c r="Q14" s="1263" t="str">
        <f t="shared" si="6"/>
        <v>交通便捷度</v>
      </c>
      <c r="R14" s="667" t="s">
        <v>14</v>
      </c>
      <c r="S14" s="668">
        <f t="shared" si="0"/>
        <v>100</v>
      </c>
      <c r="T14" s="667" t="s">
        <v>14</v>
      </c>
      <c r="U14" s="668">
        <f t="shared" si="1"/>
        <v>100</v>
      </c>
      <c r="V14" s="667" t="s">
        <v>14</v>
      </c>
      <c r="W14" s="668">
        <f t="shared" si="2"/>
        <v>100</v>
      </c>
      <c r="X14" s="1265"/>
      <c r="Y14" s="3517" t="s">
        <v>1691</v>
      </c>
      <c r="Z14" s="1264" t="str">
        <f t="shared" si="7"/>
        <v>交通便捷度</v>
      </c>
      <c r="AA14" s="1264">
        <f t="shared" si="3"/>
        <v>1</v>
      </c>
      <c r="AB14" s="1264">
        <f t="shared" si="4"/>
        <v>1</v>
      </c>
      <c r="AC14" s="1264">
        <f t="shared" si="5"/>
        <v>1</v>
      </c>
    </row>
    <row r="15" spans="1:29" ht="15">
      <c r="A15" s="367"/>
      <c r="B15" s="385"/>
      <c r="C15" s="386" t="s">
        <v>3673</v>
      </c>
      <c r="D15" s="387"/>
      <c r="E15" s="386" t="s">
        <v>3673</v>
      </c>
      <c r="F15" s="388"/>
      <c r="G15" s="386" t="s">
        <v>3673</v>
      </c>
      <c r="H15" s="389"/>
      <c r="I15" s="386" t="s">
        <v>3673</v>
      </c>
      <c r="J15" s="387"/>
      <c r="K15" s="541"/>
      <c r="L15" s="2492"/>
      <c r="M15" s="2487"/>
      <c r="N15" s="2487"/>
      <c r="O15" s="2542"/>
      <c r="P15" s="3518"/>
      <c r="Q15" s="1263"/>
      <c r="R15" s="667"/>
      <c r="S15" s="668"/>
      <c r="T15" s="667"/>
      <c r="U15" s="668"/>
      <c r="V15" s="667"/>
      <c r="W15" s="668"/>
      <c r="X15" s="1265"/>
      <c r="Y15" s="3518"/>
      <c r="Z15" s="1264"/>
      <c r="AA15" s="1264">
        <v>1</v>
      </c>
      <c r="AB15" s="1264">
        <v>1</v>
      </c>
      <c r="AC15" s="1264">
        <v>1</v>
      </c>
    </row>
    <row r="16" spans="1:29" ht="63" customHeight="1">
      <c r="A16" s="367"/>
      <c r="B16" s="390" t="s">
        <v>1812</v>
      </c>
      <c r="C16" s="1754" t="str">
        <f>IF(B1="工业",估价对象房地状况!G5,估价对象房地状况!C7)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518"/>
      <c r="Q16" s="1263" t="str">
        <f>B16</f>
        <v>公共配套设施</v>
      </c>
      <c r="R16" s="667" t="s">
        <v>14</v>
      </c>
      <c r="S16" s="668">
        <f>F16</f>
        <v>100</v>
      </c>
      <c r="T16" s="667" t="s">
        <v>14</v>
      </c>
      <c r="U16" s="668">
        <f>H16</f>
        <v>100</v>
      </c>
      <c r="V16" s="667" t="s">
        <v>14</v>
      </c>
      <c r="W16" s="668">
        <f>J16</f>
        <v>100</v>
      </c>
      <c r="X16" s="1265"/>
      <c r="Y16" s="3518"/>
      <c r="Z16" s="1264" t="str">
        <f>Q16</f>
        <v>公共配套设施</v>
      </c>
      <c r="AA16" s="1264">
        <f t="shared" si="3"/>
        <v>1</v>
      </c>
      <c r="AB16" s="1264">
        <f t="shared" si="4"/>
        <v>1</v>
      </c>
      <c r="AC16" s="1264">
        <f t="shared" si="5"/>
        <v>1</v>
      </c>
    </row>
    <row r="17" spans="1:29" ht="15">
      <c r="A17" s="367"/>
      <c r="B17" s="395"/>
      <c r="C17" s="1755" t="s">
        <v>3673</v>
      </c>
      <c r="D17" s="387"/>
      <c r="E17" s="1755" t="s">
        <v>3673</v>
      </c>
      <c r="F17" s="388"/>
      <c r="G17" s="1755" t="s">
        <v>3673</v>
      </c>
      <c r="H17" s="387"/>
      <c r="I17" s="1755" t="s">
        <v>3673</v>
      </c>
      <c r="J17" s="387"/>
      <c r="K17" s="541"/>
      <c r="L17" s="2492"/>
      <c r="M17" s="2487"/>
      <c r="N17" s="2487"/>
      <c r="O17" s="2542"/>
      <c r="P17" s="3518"/>
      <c r="Q17" s="1263"/>
      <c r="R17" s="667"/>
      <c r="S17" s="668"/>
      <c r="T17" s="667"/>
      <c r="U17" s="668"/>
      <c r="V17" s="667"/>
      <c r="W17" s="668"/>
      <c r="X17" s="1265"/>
      <c r="Y17" s="3518"/>
      <c r="Z17" s="1264"/>
      <c r="AA17" s="1264">
        <v>1</v>
      </c>
      <c r="AB17" s="1264">
        <v>1</v>
      </c>
      <c r="AC17" s="1264">
        <v>1</v>
      </c>
    </row>
    <row r="18" spans="1:29" ht="28.5">
      <c r="A18" s="367"/>
      <c r="B18" s="586" t="s">
        <v>1813</v>
      </c>
      <c r="C18" s="1754"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18"/>
      <c r="Q18" s="1263" t="str">
        <f>B18</f>
        <v>基础设施水平</v>
      </c>
      <c r="R18" s="667" t="s">
        <v>14</v>
      </c>
      <c r="S18" s="668">
        <f>F18</f>
        <v>100</v>
      </c>
      <c r="T18" s="667" t="s">
        <v>14</v>
      </c>
      <c r="U18" s="668">
        <f>H18</f>
        <v>100</v>
      </c>
      <c r="V18" s="667" t="s">
        <v>14</v>
      </c>
      <c r="W18" s="668">
        <f>J18</f>
        <v>100</v>
      </c>
      <c r="X18" s="1265"/>
      <c r="Y18" s="3518"/>
      <c r="Z18" s="1264" t="str">
        <f>Q18</f>
        <v>基础设施水平</v>
      </c>
      <c r="AA18" s="1264">
        <f t="shared" ref="AA18" si="8">D18/F18</f>
        <v>1</v>
      </c>
      <c r="AB18" s="1264">
        <f t="shared" ref="AB18" si="9">D18/H18</f>
        <v>1</v>
      </c>
      <c r="AC18" s="1264">
        <f t="shared" ref="AC18" si="10">D18/J18</f>
        <v>1</v>
      </c>
    </row>
    <row r="19" spans="1:29" ht="15">
      <c r="A19" s="367"/>
      <c r="B19" s="586"/>
      <c r="C19" s="1755" t="s">
        <v>3689</v>
      </c>
      <c r="D19" s="389"/>
      <c r="E19" s="1755" t="s">
        <v>3689</v>
      </c>
      <c r="F19" s="392"/>
      <c r="G19" s="1755" t="s">
        <v>3689</v>
      </c>
      <c r="H19" s="387"/>
      <c r="I19" s="1755" t="s">
        <v>3689</v>
      </c>
      <c r="J19" s="387"/>
      <c r="K19" s="1064"/>
      <c r="L19" s="2492"/>
      <c r="M19" s="2487"/>
      <c r="N19" s="2487"/>
      <c r="O19" s="2542"/>
      <c r="P19" s="3518"/>
      <c r="Q19" s="1263"/>
      <c r="R19" s="667"/>
      <c r="S19" s="668"/>
      <c r="T19" s="667"/>
      <c r="U19" s="668"/>
      <c r="V19" s="667"/>
      <c r="W19" s="668"/>
      <c r="X19" s="1265"/>
      <c r="Y19" s="3518"/>
      <c r="Z19" s="1264"/>
      <c r="AA19" s="1264">
        <v>1</v>
      </c>
      <c r="AB19" s="1264">
        <v>1</v>
      </c>
      <c r="AC19" s="1264">
        <v>1</v>
      </c>
    </row>
    <row r="20" spans="1:29" ht="57">
      <c r="A20" s="367"/>
      <c r="B20" s="390" t="s">
        <v>1834</v>
      </c>
      <c r="C20" s="1754" t="str">
        <f>IF(B1="工业",估价对象房地状况!G7,估价对象房地状况!C9)</f>
        <v>估价对象周边有九龙花园篮球场等自然人文场所，综合评价环境状况一般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518"/>
      <c r="Q20" s="1263" t="str">
        <f>B20</f>
        <v>自然及人文环境</v>
      </c>
      <c r="R20" s="667" t="s">
        <v>14</v>
      </c>
      <c r="S20" s="668">
        <f>F20</f>
        <v>100</v>
      </c>
      <c r="T20" s="667" t="s">
        <v>14</v>
      </c>
      <c r="U20" s="668">
        <f>H20</f>
        <v>100</v>
      </c>
      <c r="V20" s="667" t="s">
        <v>14</v>
      </c>
      <c r="W20" s="668">
        <f>J20</f>
        <v>100</v>
      </c>
      <c r="X20" s="1265"/>
      <c r="Y20" s="3518"/>
      <c r="Z20" s="1264" t="str">
        <f>Q20</f>
        <v>自然及人文环境</v>
      </c>
      <c r="AA20" s="1264">
        <f t="shared" si="3"/>
        <v>1</v>
      </c>
      <c r="AB20" s="1264">
        <f t="shared" si="4"/>
        <v>1</v>
      </c>
      <c r="AC20" s="1264">
        <f t="shared" si="5"/>
        <v>1</v>
      </c>
    </row>
    <row r="21" spans="1:29" ht="15">
      <c r="A21" s="367"/>
      <c r="B21" s="395"/>
      <c r="C21" s="386" t="s">
        <v>3673</v>
      </c>
      <c r="D21" s="387"/>
      <c r="E21" s="1755" t="s">
        <v>3673</v>
      </c>
      <c r="F21" s="388"/>
      <c r="G21" s="1755" t="s">
        <v>3673</v>
      </c>
      <c r="H21" s="387"/>
      <c r="I21" s="1755" t="s">
        <v>3673</v>
      </c>
      <c r="J21" s="387"/>
      <c r="K21" s="541"/>
      <c r="L21" s="2492"/>
      <c r="M21" s="2487"/>
      <c r="N21" s="2487"/>
      <c r="O21" s="2542"/>
      <c r="P21" s="3518"/>
      <c r="Q21" s="1263"/>
      <c r="R21" s="667"/>
      <c r="S21" s="668"/>
      <c r="T21" s="667"/>
      <c r="U21" s="668"/>
      <c r="V21" s="667"/>
      <c r="W21" s="668"/>
      <c r="X21" s="1265"/>
      <c r="Y21" s="351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18"/>
      <c r="Q22" s="1263" t="str">
        <f>B22</f>
        <v>楼层</v>
      </c>
      <c r="R22" s="667" t="s">
        <v>14</v>
      </c>
      <c r="S22" s="668">
        <f>F22</f>
        <v>100</v>
      </c>
      <c r="T22" s="667" t="s">
        <v>14</v>
      </c>
      <c r="U22" s="668">
        <f>H22</f>
        <v>100</v>
      </c>
      <c r="V22" s="667" t="s">
        <v>14</v>
      </c>
      <c r="W22" s="668">
        <f>J22</f>
        <v>100</v>
      </c>
      <c r="X22" s="1265"/>
      <c r="Y22" s="3518"/>
      <c r="Z22" s="1264" t="str">
        <f>Q22</f>
        <v>楼层</v>
      </c>
      <c r="AA22" s="1264">
        <f t="shared" si="3"/>
        <v>1</v>
      </c>
      <c r="AB22" s="1264">
        <f t="shared" si="4"/>
        <v>1</v>
      </c>
      <c r="AC22" s="1264">
        <f t="shared" si="5"/>
        <v>1</v>
      </c>
    </row>
    <row r="23" spans="1:29" ht="15" hidden="1">
      <c r="A23" s="348"/>
      <c r="B23" s="3246" t="s">
        <v>3704</v>
      </c>
      <c r="C23" s="3248" t="s">
        <v>3705</v>
      </c>
      <c r="D23" s="374">
        <v>100</v>
      </c>
      <c r="E23" s="3247" t="s">
        <v>3705</v>
      </c>
      <c r="F23" s="400">
        <f>SUMIF(71:71,E23,72:72)-SUMIF(71:71,C23,72:72)+100</f>
        <v>100</v>
      </c>
      <c r="G23" s="3247" t="s">
        <v>3705</v>
      </c>
      <c r="H23" s="374">
        <f>SUMIF(71:71,G23,72:72)-SUMIF(71:71,C23,72:72)+100</f>
        <v>100</v>
      </c>
      <c r="I23" s="3247" t="s">
        <v>3705</v>
      </c>
      <c r="J23" s="374">
        <f>SUMIF(71:71,I23,72:72)-SUMIF(71:71,C23,72:72)+100</f>
        <v>100</v>
      </c>
      <c r="K23" s="539"/>
      <c r="L23" s="2492"/>
      <c r="M23" s="2487"/>
      <c r="N23" s="2487"/>
      <c r="O23" s="2542"/>
      <c r="P23" s="3518"/>
      <c r="Q23" s="1263" t="str">
        <f>B23</f>
        <v>临路情况</v>
      </c>
      <c r="R23" s="667" t="s">
        <v>14</v>
      </c>
      <c r="S23" s="668">
        <f>F23</f>
        <v>100</v>
      </c>
      <c r="T23" s="667" t="s">
        <v>14</v>
      </c>
      <c r="U23" s="668">
        <f>H23</f>
        <v>100</v>
      </c>
      <c r="V23" s="667" t="s">
        <v>14</v>
      </c>
      <c r="W23" s="668">
        <f>J23</f>
        <v>100</v>
      </c>
      <c r="X23" s="1265"/>
      <c r="Y23" s="3518"/>
      <c r="Z23" s="1264" t="str">
        <f>Q23</f>
        <v>临路情况</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18"/>
      <c r="Q24" s="1263">
        <f t="shared" ref="Q24:Q34" si="11">B24</f>
        <v>111</v>
      </c>
      <c r="R24" s="667" t="s">
        <v>14</v>
      </c>
      <c r="S24" s="668">
        <f>F24</f>
        <v>100</v>
      </c>
      <c r="T24" s="667" t="s">
        <v>14</v>
      </c>
      <c r="U24" s="668">
        <f>H24</f>
        <v>100</v>
      </c>
      <c r="V24" s="667" t="s">
        <v>14</v>
      </c>
      <c r="W24" s="668">
        <f>J24</f>
        <v>100</v>
      </c>
      <c r="X24" s="1265"/>
      <c r="Y24" s="351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518"/>
      <c r="Q25" s="530">
        <f t="shared" si="11"/>
        <v>111</v>
      </c>
      <c r="R25" s="664" t="s">
        <v>14</v>
      </c>
      <c r="S25" s="665">
        <f>F25</f>
        <v>100</v>
      </c>
      <c r="T25" s="664" t="s">
        <v>14</v>
      </c>
      <c r="U25" s="665">
        <f>H25</f>
        <v>100</v>
      </c>
      <c r="V25" s="664" t="s">
        <v>14</v>
      </c>
      <c r="W25" s="665">
        <f>J25</f>
        <v>100</v>
      </c>
      <c r="X25" s="666"/>
      <c r="Y25" s="3518"/>
      <c r="Z25" s="50">
        <f>Q25</f>
        <v>111</v>
      </c>
      <c r="AA25" s="1264">
        <f>D25/F25</f>
        <v>1</v>
      </c>
      <c r="AB25" s="1264">
        <f>D25/H25</f>
        <v>1</v>
      </c>
      <c r="AC25" s="1264">
        <f>D25/J25</f>
        <v>1</v>
      </c>
    </row>
    <row r="26" spans="1:29" ht="28.5">
      <c r="A26" s="404" t="s">
        <v>1694</v>
      </c>
      <c r="B26" s="60" t="s">
        <v>1838</v>
      </c>
      <c r="C26" s="1764" t="s">
        <v>3674</v>
      </c>
      <c r="D26" s="405">
        <v>100</v>
      </c>
      <c r="E26" s="1764" t="s">
        <v>3674</v>
      </c>
      <c r="F26" s="587">
        <f>SUMIF(77:77,E26,78:78)-SUMIF(77:77,C26,78:78)+100</f>
        <v>100</v>
      </c>
      <c r="G26" s="1764" t="s">
        <v>3673</v>
      </c>
      <c r="H26" s="405">
        <f>SUMIF(77:77,G26,78:78)-SUMIF(77:77,C26,78:78)+100</f>
        <v>102</v>
      </c>
      <c r="I26" s="1764" t="s">
        <v>3674</v>
      </c>
      <c r="J26" s="405">
        <f>SUMIF(77:77,I26,78:78)-SUMIF(77:77,C26,78:78)+100</f>
        <v>100</v>
      </c>
      <c r="K26" s="538">
        <v>2</v>
      </c>
      <c r="L26" s="2492"/>
      <c r="M26" s="2487"/>
      <c r="N26" s="2487"/>
      <c r="O26" s="2542"/>
      <c r="P26" s="3570" t="s">
        <v>1696</v>
      </c>
      <c r="Q26" s="1263" t="str">
        <f t="shared" si="11"/>
        <v>公共部分装修</v>
      </c>
      <c r="R26" s="667" t="s">
        <v>14</v>
      </c>
      <c r="S26" s="668">
        <f t="shared" ref="S26:S34" si="12">F26</f>
        <v>100</v>
      </c>
      <c r="T26" s="667" t="s">
        <v>14</v>
      </c>
      <c r="U26" s="668">
        <f t="shared" ref="U26:U34" si="13">H26</f>
        <v>102</v>
      </c>
      <c r="V26" s="667" t="s">
        <v>14</v>
      </c>
      <c r="W26" s="668">
        <f t="shared" ref="W26:W34" si="14">J26</f>
        <v>100</v>
      </c>
      <c r="X26" s="1265"/>
      <c r="Y26" s="3522" t="s">
        <v>1696</v>
      </c>
      <c r="Z26" s="1264" t="str">
        <f t="shared" ref="Z26:Z34" si="15">Q26</f>
        <v>公共部分装修</v>
      </c>
      <c r="AA26" s="1264">
        <f t="shared" si="3"/>
        <v>1</v>
      </c>
      <c r="AB26" s="1264">
        <f t="shared" si="4"/>
        <v>0.98039215686274506</v>
      </c>
      <c r="AC26" s="1264">
        <f t="shared" si="5"/>
        <v>1</v>
      </c>
    </row>
    <row r="27" spans="1:29" s="408" customFormat="1" ht="15">
      <c r="A27" s="406"/>
      <c r="B27" s="364" t="s">
        <v>1839</v>
      </c>
      <c r="C27" s="411">
        <v>0.8</v>
      </c>
      <c r="D27" s="119">
        <v>100</v>
      </c>
      <c r="E27" s="412">
        <v>0.75</v>
      </c>
      <c r="F27" s="400">
        <f>LOOKUP(E27,80:80,81:81)-LOOKUP(C27,80:80,81:81)+100</f>
        <v>98</v>
      </c>
      <c r="G27" s="413">
        <v>0.8</v>
      </c>
      <c r="H27" s="374">
        <f>LOOKUP(G27,80:80,81:81)-LOOKUP(C27,80:80,81:81)+100</f>
        <v>100</v>
      </c>
      <c r="I27" s="413">
        <v>0.8</v>
      </c>
      <c r="J27" s="374">
        <f>LOOKUP(I27,80:80,81:81)-LOOKUP(C27,80:80,81:81)+100</f>
        <v>100</v>
      </c>
      <c r="K27" s="538">
        <v>2</v>
      </c>
      <c r="L27" s="2491"/>
      <c r="M27" s="2493"/>
      <c r="N27" s="2493"/>
      <c r="O27" s="2543"/>
      <c r="P27" s="3522"/>
      <c r="Q27" s="531" t="str">
        <f t="shared" si="11"/>
        <v>成新率</v>
      </c>
      <c r="R27" s="669" t="s">
        <v>14</v>
      </c>
      <c r="S27" s="670">
        <f t="shared" si="12"/>
        <v>98</v>
      </c>
      <c r="T27" s="669" t="s">
        <v>14</v>
      </c>
      <c r="U27" s="670">
        <f t="shared" si="13"/>
        <v>100</v>
      </c>
      <c r="V27" s="669" t="s">
        <v>14</v>
      </c>
      <c r="W27" s="670">
        <f t="shared" si="14"/>
        <v>100</v>
      </c>
      <c r="X27" s="671"/>
      <c r="Y27" s="3522"/>
      <c r="Z27" s="672" t="str">
        <f t="shared" si="15"/>
        <v>成新率</v>
      </c>
      <c r="AA27" s="1264">
        <f t="shared" si="3"/>
        <v>1.0204081632653061</v>
      </c>
      <c r="AB27" s="1264">
        <f t="shared" si="4"/>
        <v>1</v>
      </c>
      <c r="AC27" s="1264">
        <f t="shared" si="5"/>
        <v>1</v>
      </c>
    </row>
    <row r="28" spans="1:29" ht="15">
      <c r="A28" s="409"/>
      <c r="B28" s="364" t="s">
        <v>1840</v>
      </c>
      <c r="C28" s="399" t="s">
        <v>3692</v>
      </c>
      <c r="D28" s="374">
        <v>100</v>
      </c>
      <c r="E28" s="399" t="s">
        <v>3692</v>
      </c>
      <c r="F28" s="400">
        <f>SUMIF(82:82,E28,83:83)-SUMIF(82:82,C28,83:83)+100</f>
        <v>100</v>
      </c>
      <c r="G28" s="399" t="s">
        <v>3692</v>
      </c>
      <c r="H28" s="374">
        <f>SUMIF(82:82,G28,83:83)-SUMIF(82:82,C28,83:83)+100</f>
        <v>100</v>
      </c>
      <c r="I28" s="399" t="s">
        <v>3692</v>
      </c>
      <c r="J28" s="374">
        <f>SUMIF(82:82,I28,83:83)-SUMIF(82:82,C28,83:83)+100</f>
        <v>100</v>
      </c>
      <c r="K28" s="538"/>
      <c r="L28" s="2492"/>
      <c r="M28" s="2487"/>
      <c r="N28" s="2487"/>
      <c r="O28" s="2542"/>
      <c r="P28" s="3522"/>
      <c r="Q28" s="1263" t="str">
        <f t="shared" si="11"/>
        <v>物业等级</v>
      </c>
      <c r="R28" s="667" t="s">
        <v>14</v>
      </c>
      <c r="S28" s="668">
        <f t="shared" si="12"/>
        <v>100</v>
      </c>
      <c r="T28" s="667" t="s">
        <v>14</v>
      </c>
      <c r="U28" s="668">
        <f t="shared" si="13"/>
        <v>100</v>
      </c>
      <c r="V28" s="667" t="s">
        <v>14</v>
      </c>
      <c r="W28" s="668">
        <f t="shared" si="14"/>
        <v>100</v>
      </c>
      <c r="X28" s="1265"/>
      <c r="Y28" s="3522"/>
      <c r="Z28" s="1264" t="str">
        <f t="shared" si="15"/>
        <v>物业等级</v>
      </c>
      <c r="AA28" s="1264">
        <f t="shared" si="3"/>
        <v>1</v>
      </c>
      <c r="AB28" s="1264">
        <f t="shared" si="4"/>
        <v>1</v>
      </c>
      <c r="AC28" s="1264">
        <f t="shared" si="5"/>
        <v>1</v>
      </c>
    </row>
    <row r="29" spans="1:29" ht="15">
      <c r="A29" s="409"/>
      <c r="B29" s="364" t="s">
        <v>1860</v>
      </c>
      <c r="C29" s="578" t="s">
        <v>3694</v>
      </c>
      <c r="D29" s="374">
        <v>100</v>
      </c>
      <c r="E29" s="578" t="s">
        <v>3694</v>
      </c>
      <c r="F29" s="400">
        <f>SUMIF(84:84,E29,85:85)-SUMIF(84:84,C29,85:85)+100</f>
        <v>100</v>
      </c>
      <c r="G29" s="578" t="s">
        <v>3694</v>
      </c>
      <c r="H29" s="374">
        <f>SUMIF(84:84,G29,85:85)-SUMIF(84:84,C29,85:85)+100</f>
        <v>100</v>
      </c>
      <c r="I29" s="578" t="s">
        <v>3694</v>
      </c>
      <c r="J29" s="374">
        <f>SUMIF(84:84,I29,85:85)-SUMIF(84:84,C29,85:85)+100</f>
        <v>100</v>
      </c>
      <c r="K29" s="538"/>
      <c r="L29" s="2492"/>
      <c r="M29" s="2487"/>
      <c r="N29" s="2487"/>
      <c r="O29" s="2542"/>
      <c r="P29" s="3522"/>
      <c r="Q29" s="1263" t="str">
        <f t="shared" si="11"/>
        <v>有无电梯</v>
      </c>
      <c r="R29" s="667" t="s">
        <v>14</v>
      </c>
      <c r="S29" s="668">
        <f t="shared" si="12"/>
        <v>100</v>
      </c>
      <c r="T29" s="667" t="s">
        <v>14</v>
      </c>
      <c r="U29" s="668">
        <f t="shared" si="13"/>
        <v>100</v>
      </c>
      <c r="V29" s="667" t="s">
        <v>14</v>
      </c>
      <c r="W29" s="668">
        <f t="shared" si="14"/>
        <v>100</v>
      </c>
      <c r="X29" s="1265"/>
      <c r="Y29" s="3522"/>
      <c r="Z29" s="1264" t="str">
        <f t="shared" si="15"/>
        <v>有无电梯</v>
      </c>
      <c r="AA29" s="1264">
        <f t="shared" si="3"/>
        <v>1</v>
      </c>
      <c r="AB29" s="1264">
        <f t="shared" si="4"/>
        <v>1</v>
      </c>
      <c r="AC29" s="1264">
        <f t="shared" si="5"/>
        <v>1</v>
      </c>
    </row>
    <row r="30" spans="1:29" ht="15">
      <c r="A30" s="409"/>
      <c r="B30" s="364" t="s">
        <v>1861</v>
      </c>
      <c r="C30" s="407">
        <f>'数据-汇总表'!G20</f>
        <v>131.88</v>
      </c>
      <c r="D30" s="374">
        <v>100</v>
      </c>
      <c r="E30" s="407">
        <f>库房案例!L2</f>
        <v>380</v>
      </c>
      <c r="F30" s="400">
        <f>LOOKUP(E30,87:87,88:88)-LOOKUP(C30,87:87,88:88)+100</f>
        <v>102</v>
      </c>
      <c r="G30" s="407">
        <f>库房案例!L4</f>
        <v>300</v>
      </c>
      <c r="H30" s="374">
        <f>LOOKUP(G30,87:87,88:88)-LOOKUP(C30,87:87,88:88)+100</f>
        <v>102</v>
      </c>
      <c r="I30" s="407">
        <f>库房案例!L9</f>
        <v>75</v>
      </c>
      <c r="J30" s="374">
        <f>LOOKUP(I30,87:87,88:88)-LOOKUP(C30,87:87,88:88)+100</f>
        <v>98</v>
      </c>
      <c r="K30" s="539"/>
      <c r="L30" s="2492"/>
      <c r="M30" s="2487"/>
      <c r="N30" s="2487"/>
      <c r="O30" s="2542"/>
      <c r="P30" s="3522"/>
      <c r="Q30" s="1263" t="str">
        <f t="shared" si="11"/>
        <v>建筑面积</v>
      </c>
      <c r="R30" s="667" t="s">
        <v>14</v>
      </c>
      <c r="S30" s="668">
        <f t="shared" si="12"/>
        <v>102</v>
      </c>
      <c r="T30" s="667" t="s">
        <v>14</v>
      </c>
      <c r="U30" s="668">
        <f t="shared" si="13"/>
        <v>102</v>
      </c>
      <c r="V30" s="667" t="s">
        <v>14</v>
      </c>
      <c r="W30" s="668">
        <f t="shared" si="14"/>
        <v>98</v>
      </c>
      <c r="X30" s="1265"/>
      <c r="Y30" s="3522"/>
      <c r="Z30" s="1264" t="str">
        <f t="shared" si="15"/>
        <v>建筑面积</v>
      </c>
      <c r="AA30" s="1264">
        <f t="shared" si="3"/>
        <v>0.98039215686274506</v>
      </c>
      <c r="AB30" s="1264">
        <f t="shared" si="4"/>
        <v>0.98039215686274506</v>
      </c>
      <c r="AC30" s="1264">
        <f t="shared" si="5"/>
        <v>1.0204081632653061</v>
      </c>
    </row>
    <row r="31" spans="1:29" s="102" customFormat="1" ht="15">
      <c r="A31" s="410"/>
      <c r="B31" s="364" t="s">
        <v>1862</v>
      </c>
      <c r="C31" s="578" t="s">
        <v>3661</v>
      </c>
      <c r="D31" s="119">
        <v>100</v>
      </c>
      <c r="E31" s="578" t="s">
        <v>3661</v>
      </c>
      <c r="F31" s="400">
        <f>SUMIF(89:89,E31,90:90)-SUMIF(89:89,C31,90:90)+100</f>
        <v>100</v>
      </c>
      <c r="G31" s="578" t="s">
        <v>3661</v>
      </c>
      <c r="H31" s="374">
        <f>SUMIF(89:89,G31,90:90)-SUMIF(89:89,C31,90:90)+100</f>
        <v>100</v>
      </c>
      <c r="I31" s="578" t="s">
        <v>3661</v>
      </c>
      <c r="J31" s="374">
        <f>SUMIF(89:89,I31,90:90)-SUMIF(89:89,C31,90:90)+100</f>
        <v>100</v>
      </c>
      <c r="K31" s="538"/>
      <c r="L31" s="2488"/>
      <c r="M31" s="2439"/>
      <c r="N31" s="2439"/>
      <c r="O31" s="2540"/>
      <c r="P31" s="3522"/>
      <c r="Q31" s="530" t="str">
        <f t="shared" si="11"/>
        <v>是否封闭</v>
      </c>
      <c r="R31" s="664" t="s">
        <v>14</v>
      </c>
      <c r="S31" s="665">
        <f t="shared" si="12"/>
        <v>100</v>
      </c>
      <c r="T31" s="664" t="s">
        <v>14</v>
      </c>
      <c r="U31" s="665">
        <f t="shared" si="13"/>
        <v>100</v>
      </c>
      <c r="V31" s="664" t="s">
        <v>14</v>
      </c>
      <c r="W31" s="665">
        <f t="shared" si="14"/>
        <v>100</v>
      </c>
      <c r="X31" s="666"/>
      <c r="Y31" s="352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22" t="s">
        <v>1696</v>
      </c>
      <c r="Q32" s="1263">
        <f t="shared" si="11"/>
        <v>111</v>
      </c>
      <c r="R32" s="667" t="s">
        <v>14</v>
      </c>
      <c r="S32" s="668">
        <f t="shared" si="12"/>
        <v>100</v>
      </c>
      <c r="T32" s="667" t="s">
        <v>14</v>
      </c>
      <c r="U32" s="668">
        <f t="shared" si="13"/>
        <v>100</v>
      </c>
      <c r="V32" s="667" t="s">
        <v>14</v>
      </c>
      <c r="W32" s="668">
        <f t="shared" si="14"/>
        <v>100</v>
      </c>
      <c r="X32" s="1265"/>
      <c r="Y32" s="352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22"/>
      <c r="Q33" s="1263">
        <f t="shared" si="11"/>
        <v>111</v>
      </c>
      <c r="R33" s="667" t="s">
        <v>14</v>
      </c>
      <c r="S33" s="668">
        <f t="shared" si="12"/>
        <v>100</v>
      </c>
      <c r="T33" s="667" t="s">
        <v>14</v>
      </c>
      <c r="U33" s="668">
        <f t="shared" si="13"/>
        <v>100</v>
      </c>
      <c r="V33" s="667" t="s">
        <v>14</v>
      </c>
      <c r="W33" s="668">
        <f t="shared" si="14"/>
        <v>100</v>
      </c>
      <c r="X33" s="1265"/>
      <c r="Y33" s="352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522"/>
      <c r="Q34" s="1263">
        <f t="shared" si="11"/>
        <v>111</v>
      </c>
      <c r="R34" s="667" t="s">
        <v>14</v>
      </c>
      <c r="S34" s="668">
        <f t="shared" si="12"/>
        <v>100</v>
      </c>
      <c r="T34" s="667" t="s">
        <v>14</v>
      </c>
      <c r="U34" s="668">
        <f t="shared" si="13"/>
        <v>100</v>
      </c>
      <c r="V34" s="667" t="s">
        <v>14</v>
      </c>
      <c r="W34" s="668">
        <f t="shared" si="14"/>
        <v>100</v>
      </c>
      <c r="X34" s="1265"/>
      <c r="Y34" s="3522"/>
      <c r="Z34" s="1264">
        <f t="shared" si="15"/>
        <v>111</v>
      </c>
      <c r="AA34" s="1264">
        <f t="shared" si="3"/>
        <v>1</v>
      </c>
      <c r="AB34" s="1264">
        <f t="shared" si="4"/>
        <v>1</v>
      </c>
      <c r="AC34" s="1264">
        <f t="shared" si="5"/>
        <v>1</v>
      </c>
    </row>
    <row r="35" spans="1:30" ht="15">
      <c r="A35" s="416" t="s">
        <v>1708</v>
      </c>
      <c r="B35" s="417"/>
      <c r="C35" s="1081" t="s">
        <v>0</v>
      </c>
      <c r="D35" s="418"/>
      <c r="E35" s="419">
        <f>库房案例!M2</f>
        <v>1.2</v>
      </c>
      <c r="F35" s="420"/>
      <c r="G35" s="421">
        <f>库房案例!M4</f>
        <v>1.5</v>
      </c>
      <c r="H35" s="422"/>
      <c r="I35" s="419">
        <f>库房案例!M9</f>
        <v>1.3</v>
      </c>
      <c r="J35" s="422"/>
      <c r="K35" s="674"/>
      <c r="L35" s="2494"/>
      <c r="M35" s="2487"/>
      <c r="N35" s="2487"/>
      <c r="O35" s="2487"/>
      <c r="P35" s="3524" t="str">
        <f>A35</f>
        <v>成交单价（元/平方米）</v>
      </c>
      <c r="Q35" s="3524"/>
      <c r="R35" s="3485">
        <f>E35</f>
        <v>1.2</v>
      </c>
      <c r="S35" s="3485"/>
      <c r="T35" s="3485">
        <f>G35</f>
        <v>1.5</v>
      </c>
      <c r="U35" s="3485"/>
      <c r="V35" s="3485">
        <f>I35</f>
        <v>1.3</v>
      </c>
      <c r="W35" s="3485"/>
      <c r="X35" s="385"/>
      <c r="Y35" s="673"/>
      <c r="Z35" s="385"/>
      <c r="AA35" s="385"/>
      <c r="AB35" s="385"/>
      <c r="AC35" s="385"/>
    </row>
    <row r="36" spans="1:30" ht="15.75" thickBot="1">
      <c r="A36" s="423" t="s">
        <v>1793</v>
      </c>
      <c r="B36" s="424"/>
      <c r="C36" s="1082">
        <f>R37</f>
        <v>1.3</v>
      </c>
      <c r="D36" s="2141" t="s">
        <v>2138</v>
      </c>
      <c r="E36" s="1083">
        <f>R36</f>
        <v>1.18</v>
      </c>
      <c r="F36" s="2142"/>
      <c r="G36" s="1082">
        <f>T36</f>
        <v>1.41</v>
      </c>
      <c r="H36" s="2142"/>
      <c r="I36" s="1083">
        <f>V36</f>
        <v>1.3</v>
      </c>
      <c r="J36" s="2142"/>
      <c r="K36" s="2144">
        <f>F36+H36+J36</f>
        <v>0</v>
      </c>
      <c r="L36" s="2494"/>
      <c r="M36" s="2487"/>
      <c r="N36" s="2487"/>
      <c r="O36" s="2487"/>
      <c r="P36" s="3524" t="str">
        <f>A36</f>
        <v>比较价值（元/平方米）</v>
      </c>
      <c r="Q36" s="3524"/>
      <c r="R36" s="3485">
        <f>IF(F1="售价",ROUND(PRODUCT(R35,AA7:AA34),0),ROUND(PRODUCT(R35,AA7:AA34),2))</f>
        <v>1.18</v>
      </c>
      <c r="S36" s="3485"/>
      <c r="T36" s="3485">
        <f>IF(F1="售价",ROUND(PRODUCT(T35,AB7:AB34),0),ROUND(PRODUCT(T35,AB7:AB34),2))</f>
        <v>1.41</v>
      </c>
      <c r="U36" s="3485"/>
      <c r="V36" s="3485">
        <f>IF(F1="售价",ROUND(PRODUCT(V35,AC7:AC34),0),ROUND(PRODUCT(V35,AC7:AC34),2))</f>
        <v>1.3</v>
      </c>
      <c r="W36" s="3485"/>
      <c r="X36" s="385"/>
      <c r="Y36" s="385"/>
      <c r="Z36" s="385"/>
      <c r="AA36" s="385"/>
      <c r="AB36" s="385"/>
      <c r="AC36" s="385"/>
    </row>
    <row r="37" spans="1:30" ht="15.75" thickBot="1">
      <c r="A37" s="427" t="s">
        <v>1794</v>
      </c>
      <c r="B37" s="428"/>
      <c r="C37" s="351">
        <f>R37</f>
        <v>1.3</v>
      </c>
      <c r="D37" s="351"/>
      <c r="E37" s="351"/>
      <c r="F37" s="351"/>
      <c r="G37" s="351"/>
      <c r="H37" s="351"/>
      <c r="I37" s="351"/>
      <c r="J37" s="351"/>
      <c r="K37" s="675"/>
      <c r="L37" s="2494"/>
      <c r="M37" s="2487"/>
      <c r="N37" s="2487"/>
      <c r="O37" s="2487"/>
      <c r="P37" s="3525" t="str">
        <f>A37</f>
        <v>估价对象XX用房的比较价值（楼面单价，元/平方米）</v>
      </c>
      <c r="Q37" s="3526"/>
      <c r="R37" s="3571">
        <f>IF(F1="售价",ROUND(IF(D36="简单平均",AVERAGE(R36:W36),R36*F36+T36*H36+V36*J36),0),ROUND(IF(D36="简单平均",AVERAGE(R36:V36),R36*F36+T36*H36+V36*J36),1))</f>
        <v>1.3</v>
      </c>
      <c r="S37" s="3571"/>
      <c r="T37" s="3571"/>
      <c r="U37" s="3571"/>
      <c r="V37" s="3571"/>
      <c r="W37" s="357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f>IF(E35&lt;E36,E36/E35-1,E35/E36-1)</f>
        <v>1.6949152542372836E-2</v>
      </c>
      <c r="F40" s="435" t="str">
        <f>IF(OR(E40&gt;=0.3,E40&lt;=-0.3),"超过30%","")</f>
        <v/>
      </c>
      <c r="G40" s="434">
        <f>IF(G35&lt;G36,G36/G35-1,G35/G36-1)</f>
        <v>6.3829787234042534E-2</v>
      </c>
      <c r="H40" s="435" t="str">
        <f>IF(OR(G40&gt;=0.3,G40&lt;=-0.3),"超过30%","")</f>
        <v/>
      </c>
      <c r="I40" s="434">
        <f>IF(I35&lt;I36,I36/I35-1,I35/I36-1)</f>
        <v>0</v>
      </c>
      <c r="J40" s="435" t="str">
        <f>IF(OR(I40&gt;=0.3,I40&lt;=-0.3),"超过30%","")</f>
        <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f>IF(E36&lt;G36,G36/E36-1,E36/G36-1)</f>
        <v>0.19491525423728806</v>
      </c>
      <c r="F41" s="435" t="str">
        <f>IF(OR(E41&gt;=0.2,E41&lt;=-0.2),"超过20%","")</f>
        <v/>
      </c>
      <c r="G41" s="434">
        <f>IF(G36&lt;I36,I36/G36-1,G36/I36-1)</f>
        <v>8.4615384615384537E-2</v>
      </c>
      <c r="H41" s="435" t="str">
        <f>IF(OR(G41&gt;=0.2,G41&lt;=-0.2),"超过20%","")</f>
        <v/>
      </c>
      <c r="I41" s="434">
        <f>IF(I36&lt;E36,E36/I36-1,I36/E36-1)</f>
        <v>0.10169491525423746</v>
      </c>
      <c r="J41" s="435" t="str">
        <f>IF(OR(I41&gt;=0.2,I41&lt;=-0.2),"超过20%","")</f>
        <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f>IF(E35&lt;G35,G35/E35-1,E35/G35-1)</f>
        <v>0.25</v>
      </c>
      <c r="F42" s="435" t="str">
        <f>IF(OR(E42&gt;=0.3,E42&lt;=-0.3),"超过30%","")</f>
        <v/>
      </c>
      <c r="G42" s="434">
        <f>IF(G35&lt;I35,I35/G35-1,G35/I35-1)</f>
        <v>0.15384615384615374</v>
      </c>
      <c r="H42" s="435" t="str">
        <f>IF(OR(G42&gt;=0.3,G42&lt;=-0.3),"超过30%","")</f>
        <v/>
      </c>
      <c r="I42" s="434">
        <f>IF(I35&lt;E35,E35/I35-1,I35/E35-1)</f>
        <v>8.3333333333333481E-2</v>
      </c>
      <c r="J42" s="435" t="str">
        <f>IF(OR(I42&gt;=0.3,I42&lt;=-0.3),"超过30%","")</f>
        <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2023-11</v>
      </c>
      <c r="D46" s="1104">
        <f>EDATE(C46,-1)</f>
        <v>45200</v>
      </c>
      <c r="E46" s="1104">
        <f t="shared" ref="E46:O46" si="16">EDATE(D46,-1)</f>
        <v>45170</v>
      </c>
      <c r="F46" s="1104">
        <f t="shared" si="16"/>
        <v>45139</v>
      </c>
      <c r="G46" s="1104">
        <f t="shared" si="16"/>
        <v>45108</v>
      </c>
      <c r="H46" s="1104">
        <f t="shared" si="16"/>
        <v>45078</v>
      </c>
      <c r="I46" s="1104">
        <f t="shared" si="16"/>
        <v>45047</v>
      </c>
      <c r="J46" s="1104">
        <f t="shared" si="16"/>
        <v>45017</v>
      </c>
      <c r="K46" s="1104">
        <f t="shared" si="16"/>
        <v>44986</v>
      </c>
      <c r="L46" s="1104">
        <f t="shared" si="16"/>
        <v>44958</v>
      </c>
      <c r="M46" s="1104">
        <f t="shared" si="16"/>
        <v>44927</v>
      </c>
      <c r="N46" s="1104">
        <f t="shared" si="16"/>
        <v>44896</v>
      </c>
      <c r="O46" s="1104">
        <f t="shared" si="16"/>
        <v>44866</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v>100</v>
      </c>
      <c r="E47" s="446">
        <v>100</v>
      </c>
      <c r="F47" s="446">
        <v>100</v>
      </c>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252" t="s">
        <v>3721</v>
      </c>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v>102</v>
      </c>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99</v>
      </c>
      <c r="E62" s="475">
        <f>D62-$K14</f>
        <v>98</v>
      </c>
      <c r="F62" s="475">
        <f>E62-$K14</f>
        <v>97</v>
      </c>
      <c r="G62" s="475">
        <f>F62-$K14</f>
        <v>96</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t="str">
        <f>B23</f>
        <v>临路情况</v>
      </c>
      <c r="C71" s="3249" t="s">
        <v>3706</v>
      </c>
      <c r="D71" s="3249" t="s">
        <v>3705</v>
      </c>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v>100</v>
      </c>
      <c r="D72" s="467">
        <v>95</v>
      </c>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3245" t="s">
        <v>3690</v>
      </c>
      <c r="D77" s="3245" t="s">
        <v>3691</v>
      </c>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98</v>
      </c>
      <c r="E78" s="475">
        <f t="shared" si="17"/>
        <v>96</v>
      </c>
      <c r="F78" s="475">
        <f t="shared" si="17"/>
        <v>94</v>
      </c>
      <c r="G78" s="475">
        <f t="shared" si="17"/>
        <v>92</v>
      </c>
      <c r="H78" s="475">
        <f t="shared" si="17"/>
        <v>90</v>
      </c>
      <c r="I78" s="475">
        <f t="shared" si="17"/>
        <v>88</v>
      </c>
      <c r="J78" s="475">
        <f t="shared" si="17"/>
        <v>86</v>
      </c>
      <c r="K78" s="475">
        <f t="shared" si="17"/>
        <v>84</v>
      </c>
      <c r="L78" s="475">
        <f t="shared" si="17"/>
        <v>82</v>
      </c>
      <c r="M78" s="476">
        <f t="shared" si="17"/>
        <v>80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102</v>
      </c>
      <c r="E81" s="475">
        <f t="shared" si="18"/>
        <v>104</v>
      </c>
      <c r="F81" s="475">
        <f t="shared" si="18"/>
        <v>106</v>
      </c>
      <c r="G81" s="475">
        <f t="shared" si="18"/>
        <v>108</v>
      </c>
      <c r="H81" s="475">
        <f t="shared" si="18"/>
        <v>110</v>
      </c>
      <c r="I81" s="475">
        <f t="shared" si="18"/>
        <v>112</v>
      </c>
      <c r="J81" s="475">
        <f t="shared" si="18"/>
        <v>114</v>
      </c>
      <c r="K81" s="475">
        <f t="shared" si="18"/>
        <v>116</v>
      </c>
      <c r="L81" s="475">
        <f t="shared" si="18"/>
        <v>118</v>
      </c>
      <c r="M81" s="475">
        <f t="shared" si="18"/>
        <v>120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3245" t="s">
        <v>3693</v>
      </c>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3245" t="s">
        <v>3695</v>
      </c>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0(含)-100</v>
      </c>
      <c r="D86" s="509" t="str">
        <f t="shared" si="21"/>
        <v>100(含)-300</v>
      </c>
      <c r="E86" s="509" t="str">
        <f t="shared" si="21"/>
        <v>300(含)-800</v>
      </c>
      <c r="F86" s="509" t="str">
        <f t="shared" si="21"/>
        <v>800(含)-1000</v>
      </c>
      <c r="G86" s="509" t="str">
        <f t="shared" si="21"/>
        <v>1000(含)-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v>0</v>
      </c>
      <c r="D87" s="6">
        <v>100</v>
      </c>
      <c r="E87" s="6">
        <v>300</v>
      </c>
      <c r="F87" s="6">
        <v>800</v>
      </c>
      <c r="G87" s="6">
        <v>1000</v>
      </c>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v>100</v>
      </c>
      <c r="D88" s="467">
        <v>102</v>
      </c>
      <c r="E88" s="467">
        <v>104</v>
      </c>
      <c r="F88" s="467">
        <v>106</v>
      </c>
      <c r="G88" s="467">
        <v>108</v>
      </c>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3245" t="s">
        <v>3696</v>
      </c>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v>100</v>
      </c>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F731C-C1A5-40AB-8F80-2FBD2178DD3A}">
  <sheetPr>
    <tabColor theme="9" tint="-0.249977111117893"/>
  </sheetPr>
  <dimension ref="K2:M15"/>
  <sheetViews>
    <sheetView topLeftCell="D1" workbookViewId="0">
      <selection activeCell="K14" sqref="K14"/>
    </sheetView>
  </sheetViews>
  <sheetFormatPr defaultRowHeight="13.5"/>
  <sheetData>
    <row r="2" spans="11:13">
      <c r="K2" s="3239" t="s">
        <v>3722</v>
      </c>
      <c r="L2" s="3239">
        <v>380</v>
      </c>
      <c r="M2" s="3239">
        <v>1.2</v>
      </c>
    </row>
    <row r="3" spans="11:13">
      <c r="K3" s="3240" t="s">
        <v>3697</v>
      </c>
      <c r="L3" s="3240">
        <v>200</v>
      </c>
      <c r="M3" s="3240">
        <v>0.8</v>
      </c>
    </row>
    <row r="4" spans="11:13">
      <c r="K4" s="3239" t="s">
        <v>3703</v>
      </c>
      <c r="L4" s="3239">
        <v>300</v>
      </c>
      <c r="M4" s="3239">
        <v>1.5</v>
      </c>
    </row>
    <row r="5" spans="11:13">
      <c r="K5" s="3240" t="s">
        <v>3699</v>
      </c>
      <c r="L5" s="3240">
        <v>80</v>
      </c>
      <c r="M5" s="3240">
        <v>1</v>
      </c>
    </row>
    <row r="6" spans="11:13">
      <c r="K6" s="3240" t="s">
        <v>3659</v>
      </c>
      <c r="L6" s="3240">
        <v>100</v>
      </c>
      <c r="M6" s="3240">
        <v>1</v>
      </c>
    </row>
    <row r="7" spans="11:13">
      <c r="K7" s="3240" t="s">
        <v>3700</v>
      </c>
      <c r="L7" s="3240">
        <v>206</v>
      </c>
      <c r="M7" s="3240">
        <v>0.8</v>
      </c>
    </row>
    <row r="8" spans="11:13">
      <c r="K8" s="3240" t="s">
        <v>3701</v>
      </c>
      <c r="L8" s="3240">
        <v>260</v>
      </c>
      <c r="M8" s="3240">
        <v>1</v>
      </c>
    </row>
    <row r="9" spans="11:13">
      <c r="K9" s="3239" t="s">
        <v>3702</v>
      </c>
      <c r="L9" s="3239">
        <v>75</v>
      </c>
      <c r="M9" s="3239">
        <v>1.3</v>
      </c>
    </row>
    <row r="12" spans="11:13">
      <c r="K12" s="1405"/>
    </row>
    <row r="13" spans="11:13">
      <c r="K13" s="1405"/>
    </row>
    <row r="14" spans="11:13">
      <c r="K14" s="1405"/>
    </row>
    <row r="15" spans="11:13">
      <c r="K15" s="1405"/>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1"/>
      <c r="C2" s="3261"/>
      <c r="D2" s="3261"/>
      <c r="E2" s="3261"/>
    </row>
    <row r="3" spans="1:5" ht="18">
      <c r="A3" s="3262" t="str">
        <f>IF(项目基本情况!B9="房地产市场价值","估价结果一览表（市场价值不需“结果表-1”）","估价结果一览表")</f>
        <v>估价结果一览表（市场价值不需“结果表-1”）</v>
      </c>
      <c r="B3" s="3262"/>
      <c r="C3" s="3262"/>
      <c r="D3" s="3262"/>
      <c r="E3" s="3262"/>
    </row>
    <row r="4" spans="1:5" ht="19.5" thickBot="1">
      <c r="A4" s="1391"/>
      <c r="B4" s="3260" t="s">
        <v>917</v>
      </c>
      <c r="C4" s="3260"/>
      <c r="D4" s="3260"/>
      <c r="E4" s="1391"/>
    </row>
    <row r="5" spans="1:5" ht="16.5" thickTop="1">
      <c r="B5" s="3258" t="s">
        <v>909</v>
      </c>
      <c r="C5" s="1392" t="s">
        <v>910</v>
      </c>
      <c r="D5" s="797" t="e">
        <f ca="1">结果表!H101</f>
        <v>#REF!</v>
      </c>
    </row>
    <row r="6" spans="1:5" ht="15.75">
      <c r="B6" s="3258"/>
      <c r="C6" s="1392" t="s">
        <v>911</v>
      </c>
      <c r="D6" s="797" t="e">
        <f ca="1">NUMBERSTRING(INT(D5*10000),2)&amp;"元整"</f>
        <v>#REF!</v>
      </c>
    </row>
    <row r="7" spans="1:5" ht="15.75">
      <c r="B7" s="3263"/>
      <c r="C7" s="1393" t="s">
        <v>912</v>
      </c>
      <c r="D7" s="798" t="e">
        <f ca="1">结果表!H102</f>
        <v>#REF!</v>
      </c>
    </row>
    <row r="8" spans="1:5" ht="15.75">
      <c r="B8" s="3264" t="str">
        <f>结果表!E103</f>
        <v>2.估价师知悉的法定优先受偿款</v>
      </c>
      <c r="C8" s="1394" t="s">
        <v>913</v>
      </c>
      <c r="D8" s="798">
        <f>结果表!H103</f>
        <v>0</v>
      </c>
    </row>
    <row r="9" spans="1:5" ht="15.75">
      <c r="B9" s="326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57" t="str">
        <f>结果表!E107</f>
        <v>3.房地产抵押价值</v>
      </c>
      <c r="C13" s="1397" t="s">
        <v>910</v>
      </c>
      <c r="D13" s="800" t="e">
        <f ca="1">结果表!H107</f>
        <v>#REF!</v>
      </c>
    </row>
    <row r="14" spans="1:5" ht="15.75">
      <c r="B14" s="3258"/>
      <c r="C14" s="1392" t="s">
        <v>911</v>
      </c>
      <c r="D14" s="797" t="e">
        <f ca="1">NUMBERSTRING(INT(D13*10000),2)&amp;"元整"</f>
        <v>#REF!</v>
      </c>
    </row>
    <row r="15" spans="1:5" ht="15">
      <c r="B15" s="3263"/>
      <c r="C15" s="1393" t="s">
        <v>921</v>
      </c>
      <c r="D15" s="806" t="e">
        <f ca="1">结果表!H108</f>
        <v>#REF!</v>
      </c>
    </row>
    <row r="16" spans="1:5" ht="15">
      <c r="B16" s="3264" t="str">
        <f>结果表!E109</f>
        <v>——</v>
      </c>
      <c r="C16" s="1397" t="s">
        <v>922</v>
      </c>
      <c r="D16" s="1398" t="str">
        <f>结果表!H109</f>
        <v>——</v>
      </c>
    </row>
    <row r="17" spans="1:5" ht="15.75">
      <c r="B17" s="3265"/>
      <c r="C17" s="1392" t="s">
        <v>923</v>
      </c>
      <c r="D17" s="797" t="e">
        <f>NUMBERSTRING(INT(D16*10000),2)&amp;"元整"</f>
        <v>#VALUE!</v>
      </c>
    </row>
    <row r="18" spans="1:5" ht="15">
      <c r="B18" s="3266"/>
      <c r="C18" s="1393" t="s">
        <v>912</v>
      </c>
      <c r="D18" s="806" t="str">
        <f>结果表!H110</f>
        <v>——</v>
      </c>
    </row>
    <row r="19" spans="1:5" ht="15.75">
      <c r="B19" s="3257" t="str">
        <f>结果表!E111</f>
        <v>——</v>
      </c>
      <c r="C19" s="1397" t="s">
        <v>910</v>
      </c>
      <c r="D19" s="798" t="str">
        <f>结果表!H111</f>
        <v>——</v>
      </c>
    </row>
    <row r="20" spans="1:5" ht="15.75">
      <c r="B20" s="3258"/>
      <c r="C20" s="1392" t="s">
        <v>923</v>
      </c>
      <c r="D20" s="797" t="e">
        <f>NUMBERSTRING(INT(D19*10000),2)&amp;"元整"</f>
        <v>#VALUE!</v>
      </c>
    </row>
    <row r="21" spans="1:5" ht="15.75" thickBot="1">
      <c r="B21" s="325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02" t="s">
        <v>1770</v>
      </c>
      <c r="D4" s="3503"/>
      <c r="E4" s="3504" t="s">
        <v>1771</v>
      </c>
      <c r="F4" s="3505"/>
      <c r="G4" s="3502" t="s">
        <v>1772</v>
      </c>
      <c r="H4" s="3503"/>
      <c r="I4" s="3502" t="s">
        <v>1773</v>
      </c>
      <c r="J4" s="3503"/>
      <c r="K4" s="537" t="s">
        <v>1774</v>
      </c>
      <c r="L4" s="2486"/>
      <c r="M4" s="2487"/>
      <c r="N4" s="2487"/>
      <c r="O4" s="2487"/>
      <c r="P4" s="3506" t="s">
        <v>1775</v>
      </c>
      <c r="Q4" s="3507"/>
      <c r="R4" s="3488" t="s">
        <v>1771</v>
      </c>
      <c r="S4" s="3489"/>
      <c r="T4" s="3488" t="s">
        <v>1772</v>
      </c>
      <c r="U4" s="3489"/>
      <c r="V4" s="3485" t="s">
        <v>1773</v>
      </c>
      <c r="W4" s="3485"/>
      <c r="X4" s="1265"/>
      <c r="Y4" s="3488" t="s">
        <v>1775</v>
      </c>
      <c r="Z4" s="3489"/>
      <c r="AA4" s="3482" t="s">
        <v>1771</v>
      </c>
      <c r="AB4" s="3483" t="s">
        <v>1772</v>
      </c>
      <c r="AC4" s="3482" t="s">
        <v>1773</v>
      </c>
    </row>
    <row r="5" spans="1:29" ht="15">
      <c r="A5" s="348"/>
      <c r="B5" s="349"/>
      <c r="C5" s="3498" t="s">
        <v>1673</v>
      </c>
      <c r="D5" s="3495"/>
      <c r="E5" s="3554" t="s">
        <v>1674</v>
      </c>
      <c r="F5" s="3493"/>
      <c r="G5" s="3498" t="s">
        <v>1675</v>
      </c>
      <c r="H5" s="3495"/>
      <c r="I5" s="3498" t="s">
        <v>1676</v>
      </c>
      <c r="J5" s="3495"/>
      <c r="K5" s="537"/>
      <c r="L5" s="2486"/>
      <c r="M5" s="2487"/>
      <c r="N5" s="2487"/>
      <c r="O5" s="2487"/>
      <c r="P5" s="3508"/>
      <c r="Q5" s="3509"/>
      <c r="R5" s="3490"/>
      <c r="S5" s="3491"/>
      <c r="T5" s="3490"/>
      <c r="U5" s="3491"/>
      <c r="V5" s="3485"/>
      <c r="W5" s="3485"/>
      <c r="X5" s="1265"/>
      <c r="Y5" s="3490"/>
      <c r="Z5" s="3491"/>
      <c r="AA5" s="3483"/>
      <c r="AB5" s="3483"/>
      <c r="AC5" s="3483"/>
    </row>
    <row r="6" spans="1:29" ht="15.75" thickBot="1">
      <c r="A6" s="350"/>
      <c r="B6" s="351"/>
      <c r="C6" s="3496" t="s">
        <v>1677</v>
      </c>
      <c r="D6" s="3497"/>
      <c r="E6" s="3499" t="s">
        <v>1677</v>
      </c>
      <c r="F6" s="3500"/>
      <c r="G6" s="3496" t="s">
        <v>1677</v>
      </c>
      <c r="H6" s="3497"/>
      <c r="I6" s="3496" t="s">
        <v>1677</v>
      </c>
      <c r="J6" s="3497"/>
      <c r="K6" s="537" t="s">
        <v>1678</v>
      </c>
      <c r="L6" s="2486"/>
      <c r="M6" s="2487"/>
      <c r="N6" s="2487"/>
      <c r="O6" s="2487"/>
      <c r="P6" s="3510"/>
      <c r="Q6" s="3511"/>
      <c r="R6" s="3490"/>
      <c r="S6" s="3491"/>
      <c r="T6" s="3512"/>
      <c r="U6" s="3513"/>
      <c r="V6" s="3485"/>
      <c r="W6" s="3485"/>
      <c r="X6" s="1265"/>
      <c r="Y6" s="3512"/>
      <c r="Z6" s="3513"/>
      <c r="AA6" s="3484"/>
      <c r="AB6" s="3484"/>
      <c r="AC6" s="3484"/>
    </row>
    <row r="7" spans="1:29" s="102" customFormat="1" ht="15.75" thickBot="1">
      <c r="A7" s="352" t="s">
        <v>1679</v>
      </c>
      <c r="B7" s="353"/>
      <c r="C7" s="354">
        <f>'数据-取费表'!B2</f>
        <v>45254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86" t="s">
        <v>1680</v>
      </c>
      <c r="Q7" s="3514"/>
      <c r="R7" s="664" t="s">
        <v>14</v>
      </c>
      <c r="S7" s="665">
        <f t="shared" ref="S7:S15" si="0">F7</f>
        <v>0</v>
      </c>
      <c r="T7" s="664" t="s">
        <v>14</v>
      </c>
      <c r="U7" s="665">
        <f t="shared" ref="U7:U15" si="1">H7</f>
        <v>0</v>
      </c>
      <c r="V7" s="664" t="s">
        <v>14</v>
      </c>
      <c r="W7" s="665">
        <f t="shared" ref="W7:W15" si="2">J7</f>
        <v>0</v>
      </c>
      <c r="X7" s="666"/>
      <c r="Y7" s="3486" t="s">
        <v>1680</v>
      </c>
      <c r="Z7" s="348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86" t="s">
        <v>1683</v>
      </c>
      <c r="Q8" s="3487"/>
      <c r="R8" s="664" t="s">
        <v>14</v>
      </c>
      <c r="S8" s="665">
        <f t="shared" si="0"/>
        <v>0</v>
      </c>
      <c r="T8" s="664" t="s">
        <v>14</v>
      </c>
      <c r="U8" s="665">
        <f t="shared" si="1"/>
        <v>0</v>
      </c>
      <c r="V8" s="664" t="s">
        <v>14</v>
      </c>
      <c r="W8" s="665">
        <f t="shared" si="2"/>
        <v>0</v>
      </c>
      <c r="X8" s="666"/>
      <c r="Y8" s="3486" t="s">
        <v>1683</v>
      </c>
      <c r="Z8" s="348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524" t="s">
        <v>1686</v>
      </c>
      <c r="Q9" s="530" t="str">
        <f t="shared" ref="Q9:Q15" si="6">B9</f>
        <v>用途</v>
      </c>
      <c r="R9" s="664" t="s">
        <v>14</v>
      </c>
      <c r="S9" s="665">
        <f t="shared" si="0"/>
        <v>100</v>
      </c>
      <c r="T9" s="664" t="s">
        <v>14</v>
      </c>
      <c r="U9" s="665">
        <f t="shared" si="1"/>
        <v>100</v>
      </c>
      <c r="V9" s="664" t="s">
        <v>14</v>
      </c>
      <c r="W9" s="665">
        <f t="shared" si="2"/>
        <v>100</v>
      </c>
      <c r="X9" s="666"/>
      <c r="Y9" s="341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89"/>
      <c r="M10" s="2490"/>
      <c r="N10" s="2490"/>
      <c r="O10" s="2541"/>
      <c r="P10" s="3524"/>
      <c r="Q10" s="530" t="str">
        <f t="shared" si="6"/>
        <v>土地使用年限（年）</v>
      </c>
      <c r="R10" s="664" t="s">
        <v>14</v>
      </c>
      <c r="S10" s="665">
        <f t="shared" si="0"/>
        <v>120</v>
      </c>
      <c r="T10" s="664" t="s">
        <v>14</v>
      </c>
      <c r="U10" s="665">
        <f t="shared" si="1"/>
        <v>120</v>
      </c>
      <c r="V10" s="664" t="s">
        <v>14</v>
      </c>
      <c r="W10" s="665">
        <f t="shared" si="2"/>
        <v>120</v>
      </c>
      <c r="X10" s="666"/>
      <c r="Y10" s="3414"/>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524"/>
      <c r="Q11" s="530" t="str">
        <f t="shared" si="6"/>
        <v>容积率</v>
      </c>
      <c r="R11" s="664" t="s">
        <v>14</v>
      </c>
      <c r="S11" s="665" t="e">
        <f t="shared" si="0"/>
        <v>#N/A</v>
      </c>
      <c r="T11" s="664" t="s">
        <v>14</v>
      </c>
      <c r="U11" s="665" t="e">
        <f t="shared" si="1"/>
        <v>#N/A</v>
      </c>
      <c r="V11" s="664" t="s">
        <v>14</v>
      </c>
      <c r="W11" s="665" t="e">
        <f t="shared" si="2"/>
        <v>#N/A</v>
      </c>
      <c r="X11" s="666"/>
      <c r="Y11" s="341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524"/>
      <c r="Q12" s="530" t="str">
        <f t="shared" si="6"/>
        <v>配建</v>
      </c>
      <c r="R12" s="664" t="s">
        <v>14</v>
      </c>
      <c r="S12" s="665">
        <f t="shared" si="0"/>
        <v>100</v>
      </c>
      <c r="T12" s="664" t="s">
        <v>14</v>
      </c>
      <c r="U12" s="665">
        <f t="shared" si="1"/>
        <v>100</v>
      </c>
      <c r="V12" s="664" t="s">
        <v>14</v>
      </c>
      <c r="W12" s="665">
        <f t="shared" si="2"/>
        <v>100</v>
      </c>
      <c r="X12" s="666"/>
      <c r="Y12" s="341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524"/>
      <c r="Q13" s="530">
        <f t="shared" si="6"/>
        <v>111</v>
      </c>
      <c r="R13" s="664" t="s">
        <v>14</v>
      </c>
      <c r="S13" s="665">
        <f t="shared" si="0"/>
        <v>100</v>
      </c>
      <c r="T13" s="664" t="s">
        <v>14</v>
      </c>
      <c r="U13" s="665">
        <f t="shared" si="1"/>
        <v>100</v>
      </c>
      <c r="V13" s="664" t="s">
        <v>14</v>
      </c>
      <c r="W13" s="665">
        <f t="shared" si="2"/>
        <v>100</v>
      </c>
      <c r="X13" s="666"/>
      <c r="Y13" s="341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524"/>
      <c r="Q14" s="530">
        <f t="shared" si="6"/>
        <v>111</v>
      </c>
      <c r="R14" s="664" t="s">
        <v>14</v>
      </c>
      <c r="S14" s="665">
        <f t="shared" si="0"/>
        <v>100</v>
      </c>
      <c r="T14" s="664" t="s">
        <v>14</v>
      </c>
      <c r="U14" s="665">
        <f t="shared" si="1"/>
        <v>100</v>
      </c>
      <c r="V14" s="664" t="s">
        <v>14</v>
      </c>
      <c r="W14" s="665">
        <f t="shared" si="2"/>
        <v>100</v>
      </c>
      <c r="X14" s="666"/>
      <c r="Y14" s="341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517" t="s">
        <v>1691</v>
      </c>
      <c r="Q15" s="1263" t="str">
        <f t="shared" si="6"/>
        <v>居住社区成熟度</v>
      </c>
      <c r="R15" s="667" t="s">
        <v>14</v>
      </c>
      <c r="S15" s="668">
        <f t="shared" si="0"/>
        <v>100</v>
      </c>
      <c r="T15" s="667" t="s">
        <v>14</v>
      </c>
      <c r="U15" s="668">
        <f t="shared" si="1"/>
        <v>100</v>
      </c>
      <c r="V15" s="667" t="s">
        <v>14</v>
      </c>
      <c r="W15" s="668">
        <f t="shared" si="2"/>
        <v>100</v>
      </c>
      <c r="X15" s="1265"/>
      <c r="Y15" s="351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518"/>
      <c r="Q16" s="1263"/>
      <c r="R16" s="667"/>
      <c r="S16" s="668"/>
      <c r="T16" s="667"/>
      <c r="U16" s="668"/>
      <c r="V16" s="667"/>
      <c r="W16" s="668"/>
      <c r="X16" s="1265"/>
      <c r="Y16" s="3518"/>
      <c r="Z16" s="1264"/>
      <c r="AA16" s="1264">
        <v>1</v>
      </c>
      <c r="AB16" s="1264">
        <v>1</v>
      </c>
      <c r="AC16" s="1264">
        <v>1</v>
      </c>
    </row>
    <row r="17" spans="1:29" ht="71.25">
      <c r="A17" s="367"/>
      <c r="B17" s="390" t="s">
        <v>1777</v>
      </c>
      <c r="C17" s="1806" t="str">
        <f>估价对象房地状况!C16</f>
        <v>估价对象周边多为住宅、办公配套商业，人流量较大，商业繁华度较好。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518"/>
      <c r="Q17" s="1263" t="str">
        <f>B17</f>
        <v>商业繁华度</v>
      </c>
      <c r="R17" s="667" t="s">
        <v>14</v>
      </c>
      <c r="S17" s="668">
        <f>F17</f>
        <v>100</v>
      </c>
      <c r="T17" s="667" t="s">
        <v>14</v>
      </c>
      <c r="U17" s="668">
        <f>H17</f>
        <v>100</v>
      </c>
      <c r="V17" s="667" t="s">
        <v>14</v>
      </c>
      <c r="W17" s="668">
        <f>J17</f>
        <v>100</v>
      </c>
      <c r="X17" s="1265"/>
      <c r="Y17" s="351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518"/>
      <c r="Q18" s="1263"/>
      <c r="R18" s="667"/>
      <c r="S18" s="668"/>
      <c r="T18" s="667"/>
      <c r="U18" s="668"/>
      <c r="V18" s="667"/>
      <c r="W18" s="668"/>
      <c r="X18" s="1265"/>
      <c r="Y18" s="3518"/>
      <c r="Z18" s="1264"/>
      <c r="AA18" s="1264">
        <v>1</v>
      </c>
      <c r="AB18" s="1264">
        <v>1</v>
      </c>
      <c r="AC18" s="1264">
        <v>1</v>
      </c>
    </row>
    <row r="19" spans="1:29" ht="71.25">
      <c r="A19" s="367"/>
      <c r="B19" s="390" t="s">
        <v>1811</v>
      </c>
      <c r="C19" s="1806" t="str">
        <f>估价对象房地状况!C17</f>
        <v>估价对象位于双井商圈，周边办公楼项目较少，办公集聚程度一般</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518"/>
      <c r="Q19" s="1263" t="str">
        <f>B19</f>
        <v>办公集聚程度</v>
      </c>
      <c r="R19" s="667" t="s">
        <v>14</v>
      </c>
      <c r="S19" s="668">
        <f>F19</f>
        <v>100</v>
      </c>
      <c r="T19" s="667" t="s">
        <v>14</v>
      </c>
      <c r="U19" s="668">
        <f>H19</f>
        <v>100</v>
      </c>
      <c r="V19" s="667" t="s">
        <v>14</v>
      </c>
      <c r="W19" s="668">
        <f>J19</f>
        <v>100</v>
      </c>
      <c r="X19" s="1265"/>
      <c r="Y19" s="351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518"/>
      <c r="Q20" s="1263"/>
      <c r="R20" s="667"/>
      <c r="S20" s="668"/>
      <c r="T20" s="667"/>
      <c r="U20" s="668"/>
      <c r="V20" s="667"/>
      <c r="W20" s="668"/>
      <c r="X20" s="1265"/>
      <c r="Y20" s="3518"/>
      <c r="Z20" s="1264"/>
      <c r="AA20" s="1264">
        <v>1</v>
      </c>
      <c r="AB20" s="1264">
        <v>1</v>
      </c>
      <c r="AC20" s="1264">
        <v>1</v>
      </c>
    </row>
    <row r="21" spans="1:29" ht="156.75">
      <c r="A21" s="367"/>
      <c r="B21" s="390" t="s">
        <v>1833</v>
      </c>
      <c r="C21" s="1754" t="str">
        <f>估价对象房地状况!C18</f>
        <v>估价对象周边有专10路、23路、54路、91路、312路等多条公交线路，距离地铁7、10号线双井站约600米，周边道路网线较密集，通达度较好。综合评价交通便捷度较好。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518"/>
      <c r="Q21" s="1263" t="str">
        <f>B21</f>
        <v>交通便捷度</v>
      </c>
      <c r="R21" s="667" t="s">
        <v>14</v>
      </c>
      <c r="S21" s="668">
        <f>F21</f>
        <v>100</v>
      </c>
      <c r="T21" s="667" t="s">
        <v>14</v>
      </c>
      <c r="U21" s="668">
        <f>H21</f>
        <v>100</v>
      </c>
      <c r="V21" s="667" t="s">
        <v>14</v>
      </c>
      <c r="W21" s="668">
        <f>J21</f>
        <v>100</v>
      </c>
      <c r="X21" s="1265"/>
      <c r="Y21" s="351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518"/>
      <c r="Q22" s="1263"/>
      <c r="R22" s="667"/>
      <c r="S22" s="668"/>
      <c r="T22" s="667"/>
      <c r="U22" s="668"/>
      <c r="V22" s="667"/>
      <c r="W22" s="668"/>
      <c r="X22" s="1265"/>
      <c r="Y22" s="351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518"/>
      <c r="Q23" s="1263" t="str">
        <f t="shared" ref="Q23:Q37" si="8">B23</f>
        <v>区域土地利用方向</v>
      </c>
      <c r="R23" s="667" t="s">
        <v>14</v>
      </c>
      <c r="S23" s="668">
        <f>F23</f>
        <v>100</v>
      </c>
      <c r="T23" s="667" t="s">
        <v>14</v>
      </c>
      <c r="U23" s="668">
        <f>H23</f>
        <v>100</v>
      </c>
      <c r="V23" s="667" t="s">
        <v>14</v>
      </c>
      <c r="W23" s="668">
        <f>J23</f>
        <v>100</v>
      </c>
      <c r="X23" s="1265"/>
      <c r="Y23" s="351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518"/>
      <c r="Q24" s="1263"/>
      <c r="R24" s="667"/>
      <c r="S24" s="668"/>
      <c r="T24" s="667"/>
      <c r="U24" s="668"/>
      <c r="V24" s="667"/>
      <c r="W24" s="668"/>
      <c r="X24" s="1265"/>
      <c r="Y24" s="3518"/>
      <c r="Z24" s="1264"/>
      <c r="AA24" s="1264"/>
      <c r="AB24" s="1264"/>
      <c r="AC24" s="1264"/>
    </row>
    <row r="25" spans="1:29" ht="71.25">
      <c r="A25" s="348"/>
      <c r="B25" s="586" t="s">
        <v>1872</v>
      </c>
      <c r="C25" s="1806" t="str">
        <f>估价对象房地状况!C20</f>
        <v>估价对象周边有九龙花园篮球场等自然人文场所，综合评价环境状况一般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518"/>
      <c r="Q25" s="1263" t="str">
        <f t="shared" si="8"/>
        <v>自然及人文环境状况</v>
      </c>
      <c r="R25" s="667" t="s">
        <v>14</v>
      </c>
      <c r="S25" s="668">
        <f>F25</f>
        <v>100</v>
      </c>
      <c r="T25" s="667" t="s">
        <v>14</v>
      </c>
      <c r="U25" s="668">
        <f>H25</f>
        <v>100</v>
      </c>
      <c r="V25" s="667" t="s">
        <v>14</v>
      </c>
      <c r="W25" s="668">
        <f>J25</f>
        <v>100</v>
      </c>
      <c r="X25" s="1265"/>
      <c r="Y25" s="351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518"/>
      <c r="Q26" s="1263"/>
      <c r="R26" s="667"/>
      <c r="S26" s="668"/>
      <c r="T26" s="667"/>
      <c r="U26" s="668"/>
      <c r="V26" s="667"/>
      <c r="W26" s="668"/>
      <c r="X26" s="1265"/>
      <c r="Y26" s="3518"/>
      <c r="Z26" s="1264"/>
      <c r="AA26" s="1264">
        <v>1</v>
      </c>
      <c r="AB26" s="1264">
        <v>1</v>
      </c>
      <c r="AC26" s="1264">
        <v>1</v>
      </c>
    </row>
    <row r="27" spans="1:29" s="102" customFormat="1" ht="285">
      <c r="A27" s="443"/>
      <c r="B27" s="586" t="s">
        <v>1778</v>
      </c>
      <c r="C27" s="1754"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518"/>
      <c r="Q27" s="530" t="str">
        <f t="shared" si="8"/>
        <v>公共配套设施</v>
      </c>
      <c r="R27" s="664" t="s">
        <v>14</v>
      </c>
      <c r="S27" s="665">
        <f>F27</f>
        <v>100</v>
      </c>
      <c r="T27" s="664" t="s">
        <v>14</v>
      </c>
      <c r="U27" s="665">
        <f>H27</f>
        <v>100</v>
      </c>
      <c r="V27" s="664" t="s">
        <v>14</v>
      </c>
      <c r="W27" s="665">
        <f>J27</f>
        <v>100</v>
      </c>
      <c r="X27" s="666"/>
      <c r="Y27" s="351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518"/>
      <c r="Q28" s="530"/>
      <c r="R28" s="664"/>
      <c r="S28" s="665"/>
      <c r="T28" s="664"/>
      <c r="U28" s="665"/>
      <c r="V28" s="664"/>
      <c r="W28" s="665"/>
      <c r="X28" s="666"/>
      <c r="Y28" s="3518"/>
      <c r="Z28" s="50"/>
      <c r="AA28" s="1264">
        <v>1</v>
      </c>
      <c r="AB28" s="1264">
        <v>1</v>
      </c>
      <c r="AC28" s="1264">
        <v>1</v>
      </c>
    </row>
    <row r="29" spans="1:29" s="102" customFormat="1" ht="42.75">
      <c r="A29" s="443"/>
      <c r="B29" s="586" t="s">
        <v>1779</v>
      </c>
      <c r="C29" s="1754"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518"/>
      <c r="Q29" s="530" t="str">
        <f t="shared" ref="Q29" si="9">B29</f>
        <v>基础设施水平</v>
      </c>
      <c r="R29" s="664" t="s">
        <v>14</v>
      </c>
      <c r="S29" s="665">
        <f>F29</f>
        <v>100</v>
      </c>
      <c r="T29" s="664" t="s">
        <v>14</v>
      </c>
      <c r="U29" s="665">
        <f>H29</f>
        <v>100</v>
      </c>
      <c r="V29" s="664" t="s">
        <v>14</v>
      </c>
      <c r="W29" s="665">
        <f>J29</f>
        <v>100</v>
      </c>
      <c r="X29" s="666"/>
      <c r="Y29" s="351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518"/>
      <c r="Q30" s="530"/>
      <c r="R30" s="664"/>
      <c r="S30" s="665"/>
      <c r="T30" s="664"/>
      <c r="U30" s="665"/>
      <c r="V30" s="664"/>
      <c r="W30" s="665"/>
      <c r="X30" s="666"/>
      <c r="Y30" s="351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51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1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518"/>
      <c r="Q32" s="1263" t="str">
        <f t="shared" si="8"/>
        <v>毗邻道路的类型与等级</v>
      </c>
      <c r="R32" s="667" t="s">
        <v>14</v>
      </c>
      <c r="S32" s="668">
        <f t="shared" si="10"/>
        <v>100</v>
      </c>
      <c r="T32" s="667" t="s">
        <v>14</v>
      </c>
      <c r="U32" s="668">
        <f t="shared" si="11"/>
        <v>100</v>
      </c>
      <c r="V32" s="667" t="s">
        <v>14</v>
      </c>
      <c r="W32" s="668">
        <f t="shared" si="12"/>
        <v>100</v>
      </c>
      <c r="X32" s="1265"/>
      <c r="Y32" s="351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518"/>
      <c r="Q33" s="1263"/>
      <c r="R33" s="667"/>
      <c r="S33" s="668"/>
      <c r="T33" s="667"/>
      <c r="U33" s="668"/>
      <c r="V33" s="667"/>
      <c r="W33" s="668"/>
      <c r="X33" s="1265"/>
      <c r="Y33" s="351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518"/>
      <c r="Q34" s="1263" t="str">
        <f t="shared" si="8"/>
        <v>土地级别</v>
      </c>
      <c r="R34" s="667" t="s">
        <v>14</v>
      </c>
      <c r="S34" s="668">
        <f t="shared" si="10"/>
        <v>100</v>
      </c>
      <c r="T34" s="667" t="s">
        <v>14</v>
      </c>
      <c r="U34" s="668">
        <f t="shared" si="11"/>
        <v>100</v>
      </c>
      <c r="V34" s="667" t="s">
        <v>14</v>
      </c>
      <c r="W34" s="668">
        <f t="shared" si="12"/>
        <v>100</v>
      </c>
      <c r="X34" s="1265"/>
      <c r="Y34" s="351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518"/>
      <c r="Q35" s="1263">
        <f t="shared" si="8"/>
        <v>111</v>
      </c>
      <c r="R35" s="667" t="s">
        <v>14</v>
      </c>
      <c r="S35" s="668">
        <f t="shared" si="10"/>
        <v>100</v>
      </c>
      <c r="T35" s="667" t="s">
        <v>14</v>
      </c>
      <c r="U35" s="668">
        <f t="shared" si="11"/>
        <v>100</v>
      </c>
      <c r="V35" s="667" t="s">
        <v>14</v>
      </c>
      <c r="W35" s="668">
        <f t="shared" si="12"/>
        <v>100</v>
      </c>
      <c r="X35" s="1265"/>
      <c r="Y35" s="351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70" t="s">
        <v>1696</v>
      </c>
      <c r="Q36" s="1263">
        <f t="shared" si="8"/>
        <v>111</v>
      </c>
      <c r="R36" s="667" t="s">
        <v>14</v>
      </c>
      <c r="S36" s="668">
        <f t="shared" si="10"/>
        <v>100</v>
      </c>
      <c r="T36" s="667" t="s">
        <v>14</v>
      </c>
      <c r="U36" s="668">
        <f t="shared" si="11"/>
        <v>100</v>
      </c>
      <c r="V36" s="667" t="s">
        <v>14</v>
      </c>
      <c r="W36" s="668">
        <f t="shared" si="12"/>
        <v>100</v>
      </c>
      <c r="X36" s="1265"/>
      <c r="Y36" s="352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22"/>
      <c r="Q37" s="1263">
        <f t="shared" si="8"/>
        <v>111</v>
      </c>
      <c r="R37" s="669" t="s">
        <v>14</v>
      </c>
      <c r="S37" s="670">
        <f t="shared" si="10"/>
        <v>100</v>
      </c>
      <c r="T37" s="669" t="s">
        <v>14</v>
      </c>
      <c r="U37" s="670">
        <f t="shared" si="11"/>
        <v>100</v>
      </c>
      <c r="V37" s="669" t="s">
        <v>14</v>
      </c>
      <c r="W37" s="670">
        <f t="shared" si="12"/>
        <v>100</v>
      </c>
      <c r="X37" s="671"/>
      <c r="Y37" s="352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22"/>
      <c r="Q38" s="1263" t="str">
        <f>B38</f>
        <v>宗地面积</v>
      </c>
      <c r="R38" s="667" t="s">
        <v>14</v>
      </c>
      <c r="S38" s="668" t="e">
        <f t="shared" si="10"/>
        <v>#N/A</v>
      </c>
      <c r="T38" s="667" t="s">
        <v>14</v>
      </c>
      <c r="U38" s="668" t="e">
        <f t="shared" si="11"/>
        <v>#N/A</v>
      </c>
      <c r="V38" s="667" t="s">
        <v>14</v>
      </c>
      <c r="W38" s="668" t="e">
        <f t="shared" si="12"/>
        <v>#N/A</v>
      </c>
      <c r="X38" s="1265"/>
      <c r="Y38" s="352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22"/>
      <c r="Q39" s="1263" t="str">
        <f t="shared" ref="Q39:Q45" si="14">B39</f>
        <v>宗地形状</v>
      </c>
      <c r="R39" s="667" t="s">
        <v>14</v>
      </c>
      <c r="S39" s="668">
        <f t="shared" si="10"/>
        <v>100</v>
      </c>
      <c r="T39" s="667" t="s">
        <v>14</v>
      </c>
      <c r="U39" s="668">
        <f t="shared" si="11"/>
        <v>100</v>
      </c>
      <c r="V39" s="667" t="s">
        <v>14</v>
      </c>
      <c r="W39" s="668">
        <f t="shared" si="12"/>
        <v>100</v>
      </c>
      <c r="X39" s="1265"/>
      <c r="Y39" s="352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22"/>
      <c r="Q40" s="1263" t="str">
        <f t="shared" si="14"/>
        <v>临街宽度及深度</v>
      </c>
      <c r="R40" s="667" t="s">
        <v>14</v>
      </c>
      <c r="S40" s="668">
        <f t="shared" si="10"/>
        <v>100</v>
      </c>
      <c r="T40" s="667" t="s">
        <v>14</v>
      </c>
      <c r="U40" s="668">
        <f t="shared" si="11"/>
        <v>100</v>
      </c>
      <c r="V40" s="667" t="s">
        <v>14</v>
      </c>
      <c r="W40" s="668">
        <f t="shared" si="12"/>
        <v>100</v>
      </c>
      <c r="X40" s="1265"/>
      <c r="Y40" s="352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22"/>
      <c r="Q41" s="1263" t="str">
        <f t="shared" si="14"/>
        <v>宗地开发程度</v>
      </c>
      <c r="R41" s="664" t="s">
        <v>14</v>
      </c>
      <c r="S41" s="665">
        <f t="shared" si="10"/>
        <v>100</v>
      </c>
      <c r="T41" s="664" t="s">
        <v>14</v>
      </c>
      <c r="U41" s="665">
        <f t="shared" si="11"/>
        <v>100</v>
      </c>
      <c r="V41" s="664" t="s">
        <v>14</v>
      </c>
      <c r="W41" s="665">
        <f t="shared" si="12"/>
        <v>100</v>
      </c>
      <c r="X41" s="666"/>
      <c r="Y41" s="352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22" t="s">
        <v>1696</v>
      </c>
      <c r="Q42" s="1263" t="str">
        <f t="shared" si="14"/>
        <v>工程地质条件</v>
      </c>
      <c r="R42" s="667" t="s">
        <v>14</v>
      </c>
      <c r="S42" s="668">
        <f t="shared" si="10"/>
        <v>100</v>
      </c>
      <c r="T42" s="667" t="s">
        <v>14</v>
      </c>
      <c r="U42" s="668">
        <f t="shared" si="11"/>
        <v>100</v>
      </c>
      <c r="V42" s="667" t="s">
        <v>14</v>
      </c>
      <c r="W42" s="668">
        <f t="shared" si="12"/>
        <v>100</v>
      </c>
      <c r="X42" s="1265"/>
      <c r="Y42" s="352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22"/>
      <c r="Q43" s="1263">
        <f t="shared" si="14"/>
        <v>111</v>
      </c>
      <c r="R43" s="667" t="s">
        <v>14</v>
      </c>
      <c r="S43" s="668">
        <f t="shared" si="10"/>
        <v>100</v>
      </c>
      <c r="T43" s="667" t="s">
        <v>14</v>
      </c>
      <c r="U43" s="668">
        <f t="shared" si="11"/>
        <v>100</v>
      </c>
      <c r="V43" s="667" t="s">
        <v>14</v>
      </c>
      <c r="W43" s="668">
        <f t="shared" si="12"/>
        <v>100</v>
      </c>
      <c r="X43" s="1265"/>
      <c r="Y43" s="352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22"/>
      <c r="Q44" s="1263">
        <f t="shared" si="14"/>
        <v>111</v>
      </c>
      <c r="R44" s="667" t="s">
        <v>14</v>
      </c>
      <c r="S44" s="668">
        <f t="shared" si="10"/>
        <v>100</v>
      </c>
      <c r="T44" s="667" t="s">
        <v>14</v>
      </c>
      <c r="U44" s="668">
        <f t="shared" si="11"/>
        <v>100</v>
      </c>
      <c r="V44" s="667" t="s">
        <v>14</v>
      </c>
      <c r="W44" s="668">
        <f t="shared" si="12"/>
        <v>100</v>
      </c>
      <c r="X44" s="1265"/>
      <c r="Y44" s="352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22"/>
      <c r="Q45" s="1263">
        <f t="shared" si="14"/>
        <v>111</v>
      </c>
      <c r="R45" s="669" t="s">
        <v>14</v>
      </c>
      <c r="S45" s="670">
        <f t="shared" si="10"/>
        <v>100</v>
      </c>
      <c r="T45" s="669" t="s">
        <v>14</v>
      </c>
      <c r="U45" s="670">
        <f t="shared" si="11"/>
        <v>100</v>
      </c>
      <c r="V45" s="669" t="s">
        <v>14</v>
      </c>
      <c r="W45" s="670">
        <f t="shared" si="12"/>
        <v>100</v>
      </c>
      <c r="X45" s="671"/>
      <c r="Y45" s="352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524" t="str">
        <f>A46</f>
        <v>成交单价</v>
      </c>
      <c r="Q46" s="3524"/>
      <c r="R46" s="3485">
        <f>E46</f>
        <v>0</v>
      </c>
      <c r="S46" s="3485"/>
      <c r="T46" s="3485">
        <f>G46</f>
        <v>0</v>
      </c>
      <c r="U46" s="3485"/>
      <c r="V46" s="3485">
        <f>I46</f>
        <v>0</v>
      </c>
      <c r="W46" s="348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524" t="str">
        <f>A47</f>
        <v>比较价值（元/平方米）</v>
      </c>
      <c r="Q47" s="3524"/>
      <c r="R47" s="3593" t="e">
        <f>ROUND(PRODUCT(R46,AA7:AA45),0)</f>
        <v>#DIV/0!</v>
      </c>
      <c r="S47" s="3593"/>
      <c r="T47" s="3593" t="e">
        <f>ROUND(PRODUCT(T46,AB7:AB45),0)</f>
        <v>#DIV/0!</v>
      </c>
      <c r="U47" s="3593"/>
      <c r="V47" s="3593" t="e">
        <f>ROUND(PRODUCT(V46,AC7:AC45),0)</f>
        <v>#DIV/0!</v>
      </c>
      <c r="W47" s="359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525" t="str">
        <f>A48</f>
        <v>估价对象XX用房的比较价值（楼面单价，元/平方米）</v>
      </c>
      <c r="Q48" s="3526"/>
      <c r="R48" s="3594" t="e">
        <f>ROUND(IF(D47="简单平均",AVERAGE(R47:W47),R47*F47+T47*H47+V47*J47),0)</f>
        <v>#DIV/0!</v>
      </c>
      <c r="S48" s="3594"/>
      <c r="T48" s="3594"/>
      <c r="U48" s="3594"/>
      <c r="V48" s="3594"/>
      <c r="W48" s="359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02" t="s">
        <v>1887</v>
      </c>
      <c r="H55" s="3595"/>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146.99</v>
      </c>
      <c r="F56" s="833" t="e">
        <f t="shared" ref="F56:F64" si="15">ROUND(B56*E56/10000,0)</f>
        <v>#DIV/0!</v>
      </c>
      <c r="G56" s="3501"/>
      <c r="H56" s="3524"/>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0.6</v>
      </c>
      <c r="D57" s="891">
        <v>0.25</v>
      </c>
      <c r="E57" s="614"/>
      <c r="F57" s="833" t="e">
        <f t="shared" si="15"/>
        <v>#DIV/0!</v>
      </c>
      <c r="G57" s="2750" t="s">
        <v>1892</v>
      </c>
      <c r="H57" s="834" t="str">
        <f>项目基本情况!B37</f>
        <v>三级</v>
      </c>
      <c r="I57" s="838">
        <f>SUMIF(修正!A57:A68,H57,修正!B57:B68)</f>
        <v>0.6</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0.3</v>
      </c>
      <c r="D58" s="891">
        <v>0.25</v>
      </c>
      <c r="E58" s="614"/>
      <c r="F58" s="833" t="e">
        <f t="shared" si="15"/>
        <v>#DIV/0!</v>
      </c>
      <c r="G58" s="2751"/>
      <c r="H58" s="834" t="str">
        <f>项目基本情况!B37</f>
        <v>三级</v>
      </c>
      <c r="I58" s="838">
        <f>SUMIF(修正!A57:A68,H58,修正!C57:C68)</f>
        <v>0.3</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0.25</v>
      </c>
      <c r="D59" s="891">
        <v>0.25</v>
      </c>
      <c r="E59" s="614"/>
      <c r="F59" s="833" t="e">
        <f t="shared" si="15"/>
        <v>#DIV/0!</v>
      </c>
      <c r="G59" s="2751"/>
      <c r="H59" s="834" t="str">
        <f>项目基本情况!B37</f>
        <v>三级</v>
      </c>
      <c r="I59" s="838">
        <f>SUMIF(修正!A57:A68,H59,修正!D57:D68)</f>
        <v>0.25</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SUMIF(修正!A57:A68,H60,修正!E57:E68)</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131.88</v>
      </c>
      <c r="F61" s="833" t="e">
        <f t="shared" si="15"/>
        <v>#DIV/0!</v>
      </c>
      <c r="G61" s="839" t="s">
        <v>1898</v>
      </c>
      <c r="H61" s="834" t="str">
        <f>IF(G61="商业",项目基本情况!B37,IF(G61="办公",项目基本情况!C37,IF(G61="住宅",项目基本情况!D37,项目基本情况!E37)))</f>
        <v>三级</v>
      </c>
      <c r="I61" s="838">
        <f>SUMIF(修正!A57:A68,H61,修正!F57:F68)</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三级</v>
      </c>
      <c r="I63" s="838">
        <f>SUMIF(修正!A57:A68,H63,修正!G57:G68)</f>
        <v>0.15</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SUMIF(修正!A57:A68,H64,修正!G57:G68)</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278.87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2023-11-1</v>
      </c>
      <c r="D67" s="656">
        <f>EDATE(C67,-3)</f>
        <v>45139</v>
      </c>
      <c r="E67" s="656">
        <f>EDATE(D67,-3)</f>
        <v>45047</v>
      </c>
      <c r="F67" s="656">
        <f t="shared" ref="F67:O67" si="18">EDATE(E67,-3)</f>
        <v>44958</v>
      </c>
      <c r="G67" s="656">
        <f t="shared" si="18"/>
        <v>44866</v>
      </c>
      <c r="H67" s="656">
        <f t="shared" si="18"/>
        <v>44774</v>
      </c>
      <c r="I67" s="656">
        <f t="shared" si="18"/>
        <v>44682</v>
      </c>
      <c r="J67" s="656">
        <f t="shared" si="18"/>
        <v>44593</v>
      </c>
      <c r="K67" s="656">
        <f t="shared" si="18"/>
        <v>44501</v>
      </c>
      <c r="L67" s="656">
        <f t="shared" si="18"/>
        <v>44409</v>
      </c>
      <c r="M67" s="656">
        <f t="shared" si="18"/>
        <v>44317</v>
      </c>
      <c r="N67" s="656">
        <f t="shared" si="18"/>
        <v>44228</v>
      </c>
      <c r="O67" s="656">
        <f t="shared" si="18"/>
        <v>44136</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2023-4</v>
      </c>
      <c r="D69" s="1101" t="str">
        <f>YEAR(D67)&amp;"-"&amp;ROUNDUP(MONTH(D67)/3,0)</f>
        <v>2023-3</v>
      </c>
      <c r="E69" s="1101" t="str">
        <f t="shared" ref="E69:O69" si="19">YEAR(E67)&amp;"-"&amp;ROUNDUP(MONTH(E67)/3,0)</f>
        <v>2023-2</v>
      </c>
      <c r="F69" s="1101" t="str">
        <f t="shared" si="19"/>
        <v>2023-1</v>
      </c>
      <c r="G69" s="1101" t="str">
        <f t="shared" si="19"/>
        <v>2022-4</v>
      </c>
      <c r="H69" s="1101" t="str">
        <f t="shared" si="19"/>
        <v>2022-3</v>
      </c>
      <c r="I69" s="1101" t="str">
        <f t="shared" si="19"/>
        <v>2022-2</v>
      </c>
      <c r="J69" s="1101" t="str">
        <f t="shared" si="19"/>
        <v>2022-1</v>
      </c>
      <c r="K69" s="1101" t="str">
        <f t="shared" si="19"/>
        <v>2021-4</v>
      </c>
      <c r="L69" s="1101" t="str">
        <f t="shared" si="19"/>
        <v>2021-3</v>
      </c>
      <c r="M69" s="1101" t="str">
        <f t="shared" si="19"/>
        <v>2021-2</v>
      </c>
      <c r="N69" s="1101" t="str">
        <f t="shared" si="19"/>
        <v>2021-1</v>
      </c>
      <c r="O69" s="1101" t="str">
        <f t="shared" si="19"/>
        <v>2020-4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02" t="s">
        <v>1770</v>
      </c>
      <c r="D4" s="3503"/>
      <c r="E4" s="3504" t="s">
        <v>1771</v>
      </c>
      <c r="F4" s="3505"/>
      <c r="G4" s="3502" t="s">
        <v>1772</v>
      </c>
      <c r="H4" s="3503"/>
      <c r="I4" s="3502" t="s">
        <v>1773</v>
      </c>
      <c r="J4" s="3503"/>
      <c r="K4" s="537" t="s">
        <v>1774</v>
      </c>
      <c r="L4" s="2486"/>
      <c r="M4" s="2487"/>
      <c r="N4" s="2487"/>
      <c r="O4" s="2487"/>
      <c r="P4" s="3506" t="s">
        <v>1775</v>
      </c>
      <c r="Q4" s="3507"/>
      <c r="R4" s="3488" t="s">
        <v>1771</v>
      </c>
      <c r="S4" s="3489"/>
      <c r="T4" s="3488" t="s">
        <v>1772</v>
      </c>
      <c r="U4" s="3489"/>
      <c r="V4" s="3485" t="s">
        <v>1773</v>
      </c>
      <c r="W4" s="3485"/>
      <c r="X4" s="1265"/>
      <c r="Y4" s="3488" t="s">
        <v>1775</v>
      </c>
      <c r="Z4" s="3489"/>
      <c r="AA4" s="3482" t="s">
        <v>1771</v>
      </c>
      <c r="AB4" s="3483" t="s">
        <v>1772</v>
      </c>
      <c r="AC4" s="3482" t="s">
        <v>1773</v>
      </c>
    </row>
    <row r="5" spans="1:29" ht="15">
      <c r="A5" s="348"/>
      <c r="B5" s="349"/>
      <c r="C5" s="3498" t="s">
        <v>1673</v>
      </c>
      <c r="D5" s="3495"/>
      <c r="E5" s="3554" t="s">
        <v>1674</v>
      </c>
      <c r="F5" s="3493"/>
      <c r="G5" s="3498" t="s">
        <v>1675</v>
      </c>
      <c r="H5" s="3495"/>
      <c r="I5" s="3498" t="s">
        <v>1676</v>
      </c>
      <c r="J5" s="3495"/>
      <c r="K5" s="537"/>
      <c r="L5" s="2486"/>
      <c r="M5" s="2487"/>
      <c r="N5" s="2487"/>
      <c r="O5" s="2487"/>
      <c r="P5" s="3508"/>
      <c r="Q5" s="3509"/>
      <c r="R5" s="3490"/>
      <c r="S5" s="3491"/>
      <c r="T5" s="3490"/>
      <c r="U5" s="3491"/>
      <c r="V5" s="3485"/>
      <c r="W5" s="3485"/>
      <c r="X5" s="1265"/>
      <c r="Y5" s="3490"/>
      <c r="Z5" s="3491"/>
      <c r="AA5" s="3483"/>
      <c r="AB5" s="3483"/>
      <c r="AC5" s="3483"/>
    </row>
    <row r="6" spans="1:29" ht="15.75" thickBot="1">
      <c r="A6" s="350"/>
      <c r="B6" s="351"/>
      <c r="C6" s="3596" t="s">
        <v>1919</v>
      </c>
      <c r="D6" s="3597"/>
      <c r="E6" s="3598" t="s">
        <v>1919</v>
      </c>
      <c r="F6" s="3599"/>
      <c r="G6" s="3596" t="s">
        <v>1919</v>
      </c>
      <c r="H6" s="3597"/>
      <c r="I6" s="3596" t="s">
        <v>1919</v>
      </c>
      <c r="J6" s="3597"/>
      <c r="K6" s="537" t="s">
        <v>1678</v>
      </c>
      <c r="L6" s="2486"/>
      <c r="M6" s="2487"/>
      <c r="N6" s="2487"/>
      <c r="O6" s="2487"/>
      <c r="P6" s="3510"/>
      <c r="Q6" s="3511"/>
      <c r="R6" s="3490"/>
      <c r="S6" s="3491"/>
      <c r="T6" s="3512"/>
      <c r="U6" s="3513"/>
      <c r="V6" s="3485"/>
      <c r="W6" s="3485"/>
      <c r="X6" s="1265"/>
      <c r="Y6" s="3512"/>
      <c r="Z6" s="3513"/>
      <c r="AA6" s="3484"/>
      <c r="AB6" s="3484"/>
      <c r="AC6" s="3484"/>
    </row>
    <row r="7" spans="1:29" s="102" customFormat="1" ht="15.75" thickBot="1">
      <c r="A7" s="352" t="s">
        <v>1679</v>
      </c>
      <c r="B7" s="353"/>
      <c r="C7" s="354">
        <f>'数据-取费表'!B2</f>
        <v>45254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86" t="s">
        <v>1680</v>
      </c>
      <c r="Q7" s="3514"/>
      <c r="R7" s="664" t="s">
        <v>14</v>
      </c>
      <c r="S7" s="665">
        <f t="shared" ref="S7:S15" si="0">F7</f>
        <v>0</v>
      </c>
      <c r="T7" s="664" t="s">
        <v>14</v>
      </c>
      <c r="U7" s="665">
        <f t="shared" ref="U7:U15" si="1">H7</f>
        <v>0</v>
      </c>
      <c r="V7" s="664" t="s">
        <v>14</v>
      </c>
      <c r="W7" s="665">
        <f t="shared" ref="W7:W15" si="2">J7</f>
        <v>0</v>
      </c>
      <c r="X7" s="666"/>
      <c r="Y7" s="3486" t="s">
        <v>1680</v>
      </c>
      <c r="Z7" s="348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86" t="s">
        <v>1683</v>
      </c>
      <c r="Q8" s="3487"/>
      <c r="R8" s="664" t="s">
        <v>14</v>
      </c>
      <c r="S8" s="665">
        <f t="shared" si="0"/>
        <v>0</v>
      </c>
      <c r="T8" s="664" t="s">
        <v>14</v>
      </c>
      <c r="U8" s="665">
        <f t="shared" si="1"/>
        <v>0</v>
      </c>
      <c r="V8" s="664" t="s">
        <v>14</v>
      </c>
      <c r="W8" s="665">
        <f t="shared" si="2"/>
        <v>0</v>
      </c>
      <c r="X8" s="666"/>
      <c r="Y8" s="3486" t="s">
        <v>1683</v>
      </c>
      <c r="Z8" s="348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524" t="s">
        <v>1686</v>
      </c>
      <c r="Q9" s="530" t="str">
        <f t="shared" ref="Q9:Q15" si="6">B9</f>
        <v>用途</v>
      </c>
      <c r="R9" s="664" t="s">
        <v>14</v>
      </c>
      <c r="S9" s="665">
        <f t="shared" si="0"/>
        <v>100</v>
      </c>
      <c r="T9" s="664" t="s">
        <v>14</v>
      </c>
      <c r="U9" s="665">
        <f t="shared" si="1"/>
        <v>100</v>
      </c>
      <c r="V9" s="664" t="s">
        <v>14</v>
      </c>
      <c r="W9" s="665">
        <f t="shared" si="2"/>
        <v>100</v>
      </c>
      <c r="X9" s="666"/>
      <c r="Y9" s="341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89"/>
      <c r="M10" s="2490"/>
      <c r="N10" s="2490"/>
      <c r="O10" s="2541"/>
      <c r="P10" s="3524"/>
      <c r="Q10" s="530" t="str">
        <f t="shared" si="6"/>
        <v>土地使用年限（年）</v>
      </c>
      <c r="R10" s="664" t="s">
        <v>14</v>
      </c>
      <c r="S10" s="665">
        <f t="shared" si="0"/>
        <v>120</v>
      </c>
      <c r="T10" s="664" t="s">
        <v>14</v>
      </c>
      <c r="U10" s="665">
        <f t="shared" si="1"/>
        <v>120</v>
      </c>
      <c r="V10" s="664" t="s">
        <v>14</v>
      </c>
      <c r="W10" s="665">
        <f t="shared" si="2"/>
        <v>120</v>
      </c>
      <c r="X10" s="666"/>
      <c r="Y10" s="3414"/>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524"/>
      <c r="Q11" s="530" t="str">
        <f t="shared" si="6"/>
        <v>容积率</v>
      </c>
      <c r="R11" s="664" t="s">
        <v>14</v>
      </c>
      <c r="S11" s="665" t="e">
        <f t="shared" si="0"/>
        <v>#N/A</v>
      </c>
      <c r="T11" s="664" t="s">
        <v>14</v>
      </c>
      <c r="U11" s="665" t="e">
        <f t="shared" si="1"/>
        <v>#N/A</v>
      </c>
      <c r="V11" s="664" t="s">
        <v>14</v>
      </c>
      <c r="W11" s="665" t="e">
        <f t="shared" si="2"/>
        <v>#N/A</v>
      </c>
      <c r="X11" s="666"/>
      <c r="Y11" s="341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524"/>
      <c r="Q12" s="530">
        <f t="shared" si="6"/>
        <v>111</v>
      </c>
      <c r="R12" s="664" t="s">
        <v>14</v>
      </c>
      <c r="S12" s="665">
        <f t="shared" si="0"/>
        <v>100</v>
      </c>
      <c r="T12" s="664" t="s">
        <v>14</v>
      </c>
      <c r="U12" s="665">
        <f t="shared" si="1"/>
        <v>100</v>
      </c>
      <c r="V12" s="664" t="s">
        <v>14</v>
      </c>
      <c r="W12" s="665">
        <f t="shared" si="2"/>
        <v>100</v>
      </c>
      <c r="X12" s="666"/>
      <c r="Y12" s="341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524"/>
      <c r="Q13" s="530">
        <f t="shared" si="6"/>
        <v>111</v>
      </c>
      <c r="R13" s="664" t="s">
        <v>14</v>
      </c>
      <c r="S13" s="665">
        <f t="shared" si="0"/>
        <v>100</v>
      </c>
      <c r="T13" s="664" t="s">
        <v>14</v>
      </c>
      <c r="U13" s="665">
        <f t="shared" si="1"/>
        <v>100</v>
      </c>
      <c r="V13" s="664" t="s">
        <v>14</v>
      </c>
      <c r="W13" s="665">
        <f t="shared" si="2"/>
        <v>100</v>
      </c>
      <c r="X13" s="666"/>
      <c r="Y13" s="341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524"/>
      <c r="Q14" s="530">
        <f t="shared" si="6"/>
        <v>111</v>
      </c>
      <c r="R14" s="664" t="s">
        <v>14</v>
      </c>
      <c r="S14" s="665">
        <f t="shared" si="0"/>
        <v>100</v>
      </c>
      <c r="T14" s="664" t="s">
        <v>14</v>
      </c>
      <c r="U14" s="665">
        <f t="shared" si="1"/>
        <v>100</v>
      </c>
      <c r="V14" s="664" t="s">
        <v>14</v>
      </c>
      <c r="W14" s="665">
        <f t="shared" si="2"/>
        <v>100</v>
      </c>
      <c r="X14" s="666"/>
      <c r="Y14" s="341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517" t="s">
        <v>1691</v>
      </c>
      <c r="Q15" s="1263" t="str">
        <f t="shared" si="6"/>
        <v>产业集聚程度</v>
      </c>
      <c r="R15" s="667" t="s">
        <v>14</v>
      </c>
      <c r="S15" s="668">
        <f t="shared" si="0"/>
        <v>100</v>
      </c>
      <c r="T15" s="667" t="s">
        <v>14</v>
      </c>
      <c r="U15" s="668">
        <f t="shared" si="1"/>
        <v>100</v>
      </c>
      <c r="V15" s="667" t="s">
        <v>14</v>
      </c>
      <c r="W15" s="668">
        <f t="shared" si="2"/>
        <v>100</v>
      </c>
      <c r="X15" s="1265"/>
      <c r="Y15" s="351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518"/>
      <c r="Q16" s="1263"/>
      <c r="R16" s="667"/>
      <c r="S16" s="668"/>
      <c r="T16" s="667"/>
      <c r="U16" s="668"/>
      <c r="V16" s="667"/>
      <c r="W16" s="668"/>
      <c r="X16" s="1265"/>
      <c r="Y16" s="351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518"/>
      <c r="Q17" s="1263" t="str">
        <f>B17</f>
        <v>交通便捷度</v>
      </c>
      <c r="R17" s="667" t="s">
        <v>14</v>
      </c>
      <c r="S17" s="668">
        <f>F17</f>
        <v>100</v>
      </c>
      <c r="T17" s="667" t="s">
        <v>14</v>
      </c>
      <c r="U17" s="668">
        <f>H17</f>
        <v>100</v>
      </c>
      <c r="V17" s="667" t="s">
        <v>14</v>
      </c>
      <c r="W17" s="668">
        <f>J17</f>
        <v>100</v>
      </c>
      <c r="X17" s="1265"/>
      <c r="Y17" s="351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518"/>
      <c r="Q18" s="1263"/>
      <c r="R18" s="667"/>
      <c r="S18" s="668"/>
      <c r="T18" s="667"/>
      <c r="U18" s="668"/>
      <c r="V18" s="667"/>
      <c r="W18" s="668"/>
      <c r="X18" s="1265"/>
      <c r="Y18" s="351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518"/>
      <c r="Q19" s="1263" t="str">
        <f t="shared" ref="Q19:Q33" si="8">B19</f>
        <v>区域土地利用方向</v>
      </c>
      <c r="R19" s="667" t="s">
        <v>14</v>
      </c>
      <c r="S19" s="668">
        <f>F19</f>
        <v>100</v>
      </c>
      <c r="T19" s="667" t="s">
        <v>14</v>
      </c>
      <c r="U19" s="668">
        <f>H19</f>
        <v>100</v>
      </c>
      <c r="V19" s="667" t="s">
        <v>14</v>
      </c>
      <c r="W19" s="668">
        <f>J19</f>
        <v>100</v>
      </c>
      <c r="X19" s="1265"/>
      <c r="Y19" s="351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518"/>
      <c r="Q20" s="1263"/>
      <c r="R20" s="667"/>
      <c r="S20" s="668"/>
      <c r="T20" s="667"/>
      <c r="U20" s="668"/>
      <c r="V20" s="667"/>
      <c r="W20" s="668"/>
      <c r="X20" s="1265"/>
      <c r="Y20" s="351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518"/>
      <c r="Q21" s="1263" t="str">
        <f t="shared" si="8"/>
        <v>环境状况</v>
      </c>
      <c r="R21" s="667" t="s">
        <v>14</v>
      </c>
      <c r="S21" s="668">
        <f>F21</f>
        <v>100</v>
      </c>
      <c r="T21" s="667" t="s">
        <v>14</v>
      </c>
      <c r="U21" s="668">
        <f>H21</f>
        <v>100</v>
      </c>
      <c r="V21" s="667" t="s">
        <v>14</v>
      </c>
      <c r="W21" s="668">
        <f>J21</f>
        <v>100</v>
      </c>
      <c r="X21" s="1265"/>
      <c r="Y21" s="351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518"/>
      <c r="Q22" s="1263"/>
      <c r="R22" s="667"/>
      <c r="S22" s="668"/>
      <c r="T22" s="667"/>
      <c r="U22" s="668"/>
      <c r="V22" s="667"/>
      <c r="W22" s="668"/>
      <c r="X22" s="1265"/>
      <c r="Y22" s="351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518"/>
      <c r="Q23" s="530" t="str">
        <f t="shared" si="8"/>
        <v>公共配套设施</v>
      </c>
      <c r="R23" s="664" t="s">
        <v>14</v>
      </c>
      <c r="S23" s="665">
        <f>F23</f>
        <v>100</v>
      </c>
      <c r="T23" s="664" t="s">
        <v>14</v>
      </c>
      <c r="U23" s="665">
        <f>H23</f>
        <v>100</v>
      </c>
      <c r="V23" s="664" t="s">
        <v>14</v>
      </c>
      <c r="W23" s="665">
        <f>J23</f>
        <v>100</v>
      </c>
      <c r="X23" s="666"/>
      <c r="Y23" s="351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518"/>
      <c r="Q24" s="530"/>
      <c r="R24" s="664"/>
      <c r="S24" s="665"/>
      <c r="T24" s="664"/>
      <c r="U24" s="665"/>
      <c r="V24" s="664"/>
      <c r="W24" s="665"/>
      <c r="X24" s="666"/>
      <c r="Y24" s="351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518"/>
      <c r="Q25" s="530" t="str">
        <f t="shared" ref="Q25" si="9">B25</f>
        <v>基础设施水平</v>
      </c>
      <c r="R25" s="664" t="s">
        <v>14</v>
      </c>
      <c r="S25" s="665">
        <f>F25</f>
        <v>100</v>
      </c>
      <c r="T25" s="664" t="s">
        <v>14</v>
      </c>
      <c r="U25" s="665">
        <f>H25</f>
        <v>100</v>
      </c>
      <c r="V25" s="664" t="s">
        <v>14</v>
      </c>
      <c r="W25" s="665">
        <f>J25</f>
        <v>100</v>
      </c>
      <c r="X25" s="666"/>
      <c r="Y25" s="351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518"/>
      <c r="Q26" s="530"/>
      <c r="R26" s="664"/>
      <c r="S26" s="665"/>
      <c r="T26" s="664"/>
      <c r="U26" s="665"/>
      <c r="V26" s="664"/>
      <c r="W26" s="665"/>
      <c r="X26" s="666"/>
      <c r="Y26" s="351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51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1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518"/>
      <c r="Q28" s="1263" t="str">
        <f t="shared" si="8"/>
        <v>毗邻道路的类型与等级</v>
      </c>
      <c r="R28" s="667" t="s">
        <v>14</v>
      </c>
      <c r="S28" s="668">
        <f t="shared" si="10"/>
        <v>100</v>
      </c>
      <c r="T28" s="667" t="s">
        <v>14</v>
      </c>
      <c r="U28" s="668">
        <f t="shared" si="11"/>
        <v>100</v>
      </c>
      <c r="V28" s="667" t="s">
        <v>14</v>
      </c>
      <c r="W28" s="668">
        <f t="shared" si="12"/>
        <v>100</v>
      </c>
      <c r="X28" s="1265"/>
      <c r="Y28" s="351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518"/>
      <c r="Q29" s="1263"/>
      <c r="R29" s="667"/>
      <c r="S29" s="668"/>
      <c r="T29" s="667"/>
      <c r="U29" s="668"/>
      <c r="V29" s="667"/>
      <c r="W29" s="668"/>
      <c r="X29" s="1265"/>
      <c r="Y29" s="351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518"/>
      <c r="Q30" s="1263" t="str">
        <f t="shared" si="8"/>
        <v>土地级别</v>
      </c>
      <c r="R30" s="667" t="s">
        <v>14</v>
      </c>
      <c r="S30" s="668">
        <f t="shared" si="10"/>
        <v>100</v>
      </c>
      <c r="T30" s="667" t="s">
        <v>14</v>
      </c>
      <c r="U30" s="668">
        <f t="shared" si="11"/>
        <v>100</v>
      </c>
      <c r="V30" s="667" t="s">
        <v>14</v>
      </c>
      <c r="W30" s="668">
        <f t="shared" si="12"/>
        <v>100</v>
      </c>
      <c r="X30" s="1265"/>
      <c r="Y30" s="351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18"/>
      <c r="Q31" s="1263">
        <f t="shared" si="8"/>
        <v>111</v>
      </c>
      <c r="R31" s="667" t="s">
        <v>14</v>
      </c>
      <c r="S31" s="668">
        <f t="shared" si="10"/>
        <v>100</v>
      </c>
      <c r="T31" s="667" t="s">
        <v>14</v>
      </c>
      <c r="U31" s="668">
        <f t="shared" si="11"/>
        <v>100</v>
      </c>
      <c r="V31" s="667" t="s">
        <v>14</v>
      </c>
      <c r="W31" s="668">
        <f t="shared" si="12"/>
        <v>100</v>
      </c>
      <c r="X31" s="1265"/>
      <c r="Y31" s="351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70" t="s">
        <v>1696</v>
      </c>
      <c r="Q32" s="1263">
        <f t="shared" si="8"/>
        <v>111</v>
      </c>
      <c r="R32" s="667" t="s">
        <v>14</v>
      </c>
      <c r="S32" s="668">
        <f t="shared" si="10"/>
        <v>100</v>
      </c>
      <c r="T32" s="667" t="s">
        <v>14</v>
      </c>
      <c r="U32" s="668">
        <f t="shared" si="11"/>
        <v>100</v>
      </c>
      <c r="V32" s="667" t="s">
        <v>14</v>
      </c>
      <c r="W32" s="668">
        <f t="shared" si="12"/>
        <v>100</v>
      </c>
      <c r="X32" s="1265"/>
      <c r="Y32" s="352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22"/>
      <c r="Q33" s="1263">
        <f t="shared" si="8"/>
        <v>111</v>
      </c>
      <c r="R33" s="669" t="s">
        <v>14</v>
      </c>
      <c r="S33" s="670">
        <f t="shared" si="10"/>
        <v>100</v>
      </c>
      <c r="T33" s="669" t="s">
        <v>14</v>
      </c>
      <c r="U33" s="670">
        <f t="shared" si="11"/>
        <v>100</v>
      </c>
      <c r="V33" s="669" t="s">
        <v>14</v>
      </c>
      <c r="W33" s="670">
        <f t="shared" si="12"/>
        <v>100</v>
      </c>
      <c r="X33" s="671"/>
      <c r="Y33" s="352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22"/>
      <c r="Q34" s="1263" t="str">
        <f>B34</f>
        <v>宗地面积</v>
      </c>
      <c r="R34" s="667" t="s">
        <v>14</v>
      </c>
      <c r="S34" s="668" t="e">
        <f t="shared" si="10"/>
        <v>#N/A</v>
      </c>
      <c r="T34" s="667" t="s">
        <v>14</v>
      </c>
      <c r="U34" s="668" t="e">
        <f t="shared" si="11"/>
        <v>#N/A</v>
      </c>
      <c r="V34" s="667" t="s">
        <v>14</v>
      </c>
      <c r="W34" s="668" t="e">
        <f t="shared" si="12"/>
        <v>#N/A</v>
      </c>
      <c r="X34" s="1265"/>
      <c r="Y34" s="352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22"/>
      <c r="Q35" s="1263" t="str">
        <f t="shared" ref="Q35:Q40" si="14">B35</f>
        <v>宗地形状</v>
      </c>
      <c r="R35" s="667" t="s">
        <v>14</v>
      </c>
      <c r="S35" s="668">
        <f t="shared" si="10"/>
        <v>100</v>
      </c>
      <c r="T35" s="667" t="s">
        <v>14</v>
      </c>
      <c r="U35" s="668">
        <f t="shared" si="11"/>
        <v>100</v>
      </c>
      <c r="V35" s="667" t="s">
        <v>14</v>
      </c>
      <c r="W35" s="668">
        <f t="shared" si="12"/>
        <v>100</v>
      </c>
      <c r="X35" s="1265"/>
      <c r="Y35" s="352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22"/>
      <c r="Q36" s="1263" t="str">
        <f t="shared" si="14"/>
        <v>宗地开发程度</v>
      </c>
      <c r="R36" s="664" t="s">
        <v>14</v>
      </c>
      <c r="S36" s="665">
        <f t="shared" si="10"/>
        <v>100</v>
      </c>
      <c r="T36" s="664" t="s">
        <v>14</v>
      </c>
      <c r="U36" s="665">
        <f t="shared" si="11"/>
        <v>100</v>
      </c>
      <c r="V36" s="664" t="s">
        <v>14</v>
      </c>
      <c r="W36" s="665">
        <f t="shared" si="12"/>
        <v>100</v>
      </c>
      <c r="X36" s="666"/>
      <c r="Y36" s="352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22" t="s">
        <v>1696</v>
      </c>
      <c r="Q37" s="1263" t="str">
        <f t="shared" si="14"/>
        <v>工程地质条件</v>
      </c>
      <c r="R37" s="667" t="s">
        <v>14</v>
      </c>
      <c r="S37" s="668">
        <f t="shared" si="10"/>
        <v>100</v>
      </c>
      <c r="T37" s="667" t="s">
        <v>14</v>
      </c>
      <c r="U37" s="668">
        <f t="shared" si="11"/>
        <v>100</v>
      </c>
      <c r="V37" s="667" t="s">
        <v>14</v>
      </c>
      <c r="W37" s="668">
        <f t="shared" si="12"/>
        <v>100</v>
      </c>
      <c r="X37" s="1265"/>
      <c r="Y37" s="352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22"/>
      <c r="Q38" s="1263">
        <f t="shared" si="14"/>
        <v>111</v>
      </c>
      <c r="R38" s="667" t="s">
        <v>14</v>
      </c>
      <c r="S38" s="668">
        <f t="shared" si="10"/>
        <v>100</v>
      </c>
      <c r="T38" s="667" t="s">
        <v>14</v>
      </c>
      <c r="U38" s="668">
        <f t="shared" si="11"/>
        <v>100</v>
      </c>
      <c r="V38" s="667" t="s">
        <v>14</v>
      </c>
      <c r="W38" s="668">
        <f t="shared" si="12"/>
        <v>100</v>
      </c>
      <c r="X38" s="1265"/>
      <c r="Y38" s="352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22"/>
      <c r="Q39" s="1263">
        <f t="shared" si="14"/>
        <v>111</v>
      </c>
      <c r="R39" s="667" t="s">
        <v>14</v>
      </c>
      <c r="S39" s="668">
        <f t="shared" si="10"/>
        <v>100</v>
      </c>
      <c r="T39" s="667" t="s">
        <v>14</v>
      </c>
      <c r="U39" s="668">
        <f t="shared" si="11"/>
        <v>100</v>
      </c>
      <c r="V39" s="667" t="s">
        <v>14</v>
      </c>
      <c r="W39" s="668">
        <f t="shared" si="12"/>
        <v>100</v>
      </c>
      <c r="X39" s="1265"/>
      <c r="Y39" s="352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22"/>
      <c r="Q40" s="1263">
        <f t="shared" si="14"/>
        <v>111</v>
      </c>
      <c r="R40" s="669" t="s">
        <v>14</v>
      </c>
      <c r="S40" s="670">
        <f t="shared" si="10"/>
        <v>100</v>
      </c>
      <c r="T40" s="669" t="s">
        <v>14</v>
      </c>
      <c r="U40" s="670">
        <f t="shared" si="11"/>
        <v>100</v>
      </c>
      <c r="V40" s="669" t="s">
        <v>14</v>
      </c>
      <c r="W40" s="670">
        <f t="shared" si="12"/>
        <v>100</v>
      </c>
      <c r="X40" s="671"/>
      <c r="Y40" s="352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524" t="str">
        <f>A41</f>
        <v>成交单价</v>
      </c>
      <c r="Q41" s="3524"/>
      <c r="R41" s="3485">
        <f>E41</f>
        <v>0</v>
      </c>
      <c r="S41" s="3485"/>
      <c r="T41" s="3485">
        <f>G41</f>
        <v>0</v>
      </c>
      <c r="U41" s="3485"/>
      <c r="V41" s="3485">
        <f>I41</f>
        <v>0</v>
      </c>
      <c r="W41" s="348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524" t="str">
        <f>A42</f>
        <v>比较价值（元/平方米）</v>
      </c>
      <c r="Q42" s="3524"/>
      <c r="R42" s="3593" t="e">
        <f>ROUND(PRODUCT(R41,AA7:AA40),0)</f>
        <v>#DIV/0!</v>
      </c>
      <c r="S42" s="3593"/>
      <c r="T42" s="3593" t="e">
        <f>ROUND(PRODUCT(T41,AB7:AB40),0)</f>
        <v>#DIV/0!</v>
      </c>
      <c r="U42" s="3593"/>
      <c r="V42" s="3593" t="e">
        <f>ROUND(PRODUCT(V41,AC7:AC40),0)</f>
        <v>#DIV/0!</v>
      </c>
      <c r="W42" s="359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525" t="str">
        <f>A43</f>
        <v>估价对象XX用房的比较价值（楼面单价，元/平方米）</v>
      </c>
      <c r="Q43" s="3526"/>
      <c r="R43" s="3594" t="e">
        <f>ROUND(IF(D42="简单平均",AVERAGE(R42:W42),R42*F42+T42*H42+V42*J42),0)</f>
        <v>#DIV/0!</v>
      </c>
      <c r="S43" s="3594"/>
      <c r="T43" s="3594"/>
      <c r="U43" s="3594"/>
      <c r="V43" s="3594"/>
      <c r="W43" s="359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02" t="s">
        <v>1887</v>
      </c>
      <c r="H50" s="3595"/>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146.99</v>
      </c>
      <c r="F51" s="611" t="e">
        <f t="shared" ref="F51:F60" si="15">ROUND(B51*E51/10000,0)</f>
        <v>#DIV/0!</v>
      </c>
      <c r="G51" s="3501"/>
      <c r="H51" s="3524"/>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0.6</v>
      </c>
      <c r="D52" s="891">
        <v>0.25</v>
      </c>
      <c r="E52" s="614"/>
      <c r="F52" s="611" t="e">
        <f t="shared" si="15"/>
        <v>#DIV/0!</v>
      </c>
      <c r="G52" s="2750" t="s">
        <v>1892</v>
      </c>
      <c r="H52" s="834" t="str">
        <f>项目基本情况!B37</f>
        <v>三级</v>
      </c>
      <c r="I52" s="727">
        <f>SUMIF(修正!A57:A68,H52,修正!B57:B68)</f>
        <v>0.6</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0.3</v>
      </c>
      <c r="D53" s="891">
        <v>0.25</v>
      </c>
      <c r="E53" s="614"/>
      <c r="F53" s="611" t="e">
        <f t="shared" si="15"/>
        <v>#DIV/0!</v>
      </c>
      <c r="G53" s="2751"/>
      <c r="H53" s="834" t="str">
        <f>项目基本情况!B37</f>
        <v>三级</v>
      </c>
      <c r="I53" s="727">
        <f>SUMIF(修正!A57:A68,H53,修正!C57:C68)</f>
        <v>0.3</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0.25</v>
      </c>
      <c r="D54" s="891">
        <v>0.25</v>
      </c>
      <c r="E54" s="614"/>
      <c r="F54" s="611" t="e">
        <f t="shared" si="15"/>
        <v>#DIV/0!</v>
      </c>
      <c r="G54" s="2751"/>
      <c r="H54" s="834" t="str">
        <f>项目基本情况!B37</f>
        <v>三级</v>
      </c>
      <c r="I54" s="727">
        <f>SUMIF(修正!A57:A68,H54,修正!D57:D68)</f>
        <v>0.25</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SUMIF(修正!A57:A68,H56,修正!E57:E68)</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131.88</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三级</v>
      </c>
      <c r="I59" s="727">
        <f>SUMIF(修正!A57:A68,H59,修正!G57:G68)</f>
        <v>0.15</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SUMIF(修正!A57:A68,H60,修正!G57:G68)</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2023-11-1</v>
      </c>
      <c r="D63" s="656">
        <f>EDATE(C63,-3)</f>
        <v>45139</v>
      </c>
      <c r="E63" s="656">
        <f>EDATE(D63,-3)</f>
        <v>45047</v>
      </c>
      <c r="F63" s="656">
        <f t="shared" ref="F63:O63" si="18">EDATE(E63,-3)</f>
        <v>44958</v>
      </c>
      <c r="G63" s="656">
        <f t="shared" si="18"/>
        <v>44866</v>
      </c>
      <c r="H63" s="656">
        <f t="shared" si="18"/>
        <v>44774</v>
      </c>
      <c r="I63" s="656">
        <f t="shared" si="18"/>
        <v>44682</v>
      </c>
      <c r="J63" s="656">
        <f t="shared" si="18"/>
        <v>44593</v>
      </c>
      <c r="K63" s="656">
        <f t="shared" si="18"/>
        <v>44501</v>
      </c>
      <c r="L63" s="656">
        <f t="shared" si="18"/>
        <v>44409</v>
      </c>
      <c r="M63" s="656">
        <f t="shared" si="18"/>
        <v>44317</v>
      </c>
      <c r="N63" s="656">
        <f t="shared" si="18"/>
        <v>44228</v>
      </c>
      <c r="O63" s="656">
        <f t="shared" si="18"/>
        <v>44136</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2023-4</v>
      </c>
      <c r="D65" s="1101" t="str">
        <f t="shared" ref="D65:O65" si="19">YEAR(D63)&amp;"-"&amp;ROUNDUP(MONTH(D63)/3,0)</f>
        <v>2023-3</v>
      </c>
      <c r="E65" s="1101" t="str">
        <f t="shared" si="19"/>
        <v>2023-2</v>
      </c>
      <c r="F65" s="1101" t="str">
        <f t="shared" si="19"/>
        <v>2023-1</v>
      </c>
      <c r="G65" s="1101" t="str">
        <f t="shared" si="19"/>
        <v>2022-4</v>
      </c>
      <c r="H65" s="1101" t="str">
        <f t="shared" si="19"/>
        <v>2022-3</v>
      </c>
      <c r="I65" s="1101" t="str">
        <f t="shared" si="19"/>
        <v>2022-2</v>
      </c>
      <c r="J65" s="1101" t="str">
        <f t="shared" si="19"/>
        <v>2022-1</v>
      </c>
      <c r="K65" s="1101" t="str">
        <f t="shared" si="19"/>
        <v>2021-4</v>
      </c>
      <c r="L65" s="1101" t="str">
        <f t="shared" si="19"/>
        <v>2021-3</v>
      </c>
      <c r="M65" s="1101" t="str">
        <f t="shared" si="19"/>
        <v>2021-2</v>
      </c>
      <c r="N65" s="1101" t="str">
        <f t="shared" si="19"/>
        <v>2021-1</v>
      </c>
      <c r="O65" s="1101" t="str">
        <f t="shared" si="19"/>
        <v>2020-4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"北京市平均增长率"&amp;TEXT('基准地价修正-商业'!P28,"0.00%")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03" t="s">
        <v>2084</v>
      </c>
      <c r="D1" s="3604"/>
      <c r="E1" s="3604"/>
      <c r="F1" s="3604"/>
      <c r="G1" s="3604"/>
      <c r="H1" s="3604"/>
      <c r="I1" s="3604"/>
      <c r="J1" s="3604"/>
      <c r="K1" s="3604"/>
      <c r="L1" s="3604"/>
      <c r="M1" s="3604"/>
      <c r="N1" s="3604"/>
      <c r="O1" s="3604"/>
      <c r="P1" s="3604"/>
      <c r="Q1" s="3604"/>
      <c r="R1" s="3604"/>
      <c r="S1" s="360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00" t="s">
        <v>27</v>
      </c>
      <c r="D22" s="3601"/>
      <c r="E22" s="3601"/>
      <c r="F22" s="3601"/>
      <c r="G22" s="3601"/>
      <c r="H22" s="3601"/>
      <c r="I22" s="3601"/>
      <c r="J22" s="3601"/>
      <c r="K22" s="3601"/>
      <c r="L22" s="3601"/>
      <c r="M22" s="3601"/>
      <c r="N22" s="3601"/>
      <c r="O22" s="3601"/>
      <c r="P22" s="3601"/>
      <c r="Q22" s="360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#REF!</v>
      </c>
      <c r="C6" s="1984" t="s">
        <v>2074</v>
      </c>
      <c r="D6" s="2544"/>
      <c r="E6" s="2397" t="e">
        <f ca="1">SUMIF(INDIRECT("'"&amp;A6&amp;"'"&amp;"!C:C"),"建筑面积",INDIRECT("'"&amp;A6&amp;"'"&amp;"!D:D"))</f>
        <v>#REF!</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2595</v>
      </c>
      <c r="B1" s="2811" t="s">
        <v>2596</v>
      </c>
      <c r="C1" s="2811" t="s">
        <v>2597</v>
      </c>
      <c r="D1" s="2811" t="s">
        <v>2598</v>
      </c>
      <c r="E1" s="2811" t="s">
        <v>2599</v>
      </c>
      <c r="F1" s="2811" t="s">
        <v>2600</v>
      </c>
      <c r="G1" s="2811" t="s">
        <v>2601</v>
      </c>
      <c r="H1" s="2811" t="s">
        <v>2602</v>
      </c>
      <c r="I1" s="2811" t="s">
        <v>2603</v>
      </c>
      <c r="J1" s="2811" t="s">
        <v>2604</v>
      </c>
      <c r="K1" s="2811" t="s">
        <v>2605</v>
      </c>
      <c r="L1" s="2811" t="s">
        <v>2606</v>
      </c>
      <c r="M1" s="2812" t="s">
        <v>2607</v>
      </c>
    </row>
    <row r="2" spans="1:13" ht="19.5" customHeight="1">
      <c r="A2" s="2814" t="s">
        <v>2608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2624</v>
      </c>
      <c r="B18" s="2836"/>
      <c r="C18" s="2837"/>
      <c r="D18" s="2837"/>
      <c r="E18" s="2836"/>
      <c r="F18" s="2837"/>
      <c r="G18" s="2837"/>
    </row>
    <row r="19" spans="1:13" ht="19.5" customHeight="1" thickBot="1">
      <c r="A19" s="2834" t="s">
        <v>2625</v>
      </c>
      <c r="B19" s="2839" t="s">
        <v>2626</v>
      </c>
      <c r="C19" s="2839" t="s">
        <v>2627</v>
      </c>
      <c r="D19" s="2840"/>
      <c r="E19" s="2834" t="s">
        <v>2628</v>
      </c>
      <c r="F19" s="2841"/>
      <c r="G19" s="2841"/>
    </row>
    <row r="20" spans="1:13" ht="19.5" customHeight="1">
      <c r="A20" s="3613" t="s">
        <v>2608</v>
      </c>
      <c r="B20" s="3606" t="s">
        <v>2629</v>
      </c>
      <c r="C20" s="2842" t="s">
        <v>2440</v>
      </c>
      <c r="D20" s="2843"/>
      <c r="E20" s="2844">
        <v>1</v>
      </c>
      <c r="F20" s="2845" t="s">
        <v>2441</v>
      </c>
      <c r="G20" s="2845"/>
    </row>
    <row r="21" spans="1:13" ht="19.5" customHeight="1">
      <c r="A21" s="3614"/>
      <c r="B21" s="3607"/>
      <c r="C21" s="2846" t="s">
        <v>2442</v>
      </c>
      <c r="D21" s="2847"/>
      <c r="E21" s="2848">
        <v>1</v>
      </c>
      <c r="F21" s="2845" t="s">
        <v>2443</v>
      </c>
      <c r="G21" s="2845"/>
    </row>
    <row r="22" spans="1:13" ht="19.5" customHeight="1">
      <c r="A22" s="3614"/>
      <c r="B22" s="3607"/>
      <c r="C22" s="2846" t="s">
        <v>2444</v>
      </c>
      <c r="D22" s="2847"/>
      <c r="E22" s="2848">
        <v>0.9</v>
      </c>
      <c r="F22" s="2845" t="s">
        <v>2445</v>
      </c>
      <c r="G22" s="2845"/>
    </row>
    <row r="23" spans="1:13" ht="19.5" customHeight="1">
      <c r="A23" s="3614"/>
      <c r="B23" s="3607"/>
      <c r="C23" s="2846" t="s">
        <v>2446</v>
      </c>
      <c r="D23" s="2847"/>
      <c r="E23" s="2848">
        <v>0.9</v>
      </c>
      <c r="F23" s="2845" t="s">
        <v>2447</v>
      </c>
      <c r="G23" s="2845"/>
    </row>
    <row r="24" spans="1:13" ht="19.5" customHeight="1">
      <c r="A24" s="3614"/>
      <c r="B24" s="3607"/>
      <c r="C24" s="2846" t="s">
        <v>2448</v>
      </c>
      <c r="D24" s="2847"/>
      <c r="E24" s="2848">
        <v>0.8</v>
      </c>
      <c r="F24" s="2845" t="s">
        <v>2449</v>
      </c>
      <c r="G24" s="2845"/>
    </row>
    <row r="25" spans="1:13" ht="19.5" customHeight="1" thickBot="1">
      <c r="A25" s="3615"/>
      <c r="B25" s="3608"/>
      <c r="C25" s="2849" t="s">
        <v>2450</v>
      </c>
      <c r="D25" s="2850"/>
      <c r="E25" s="2851">
        <v>0.8</v>
      </c>
      <c r="F25" s="2845" t="s">
        <v>2451</v>
      </c>
      <c r="G25" s="2845"/>
    </row>
    <row r="26" spans="1:13" ht="19.5" customHeight="1" thickBot="1">
      <c r="A26" s="2852" t="s">
        <v>2630</v>
      </c>
      <c r="B26" s="2853" t="s">
        <v>2629</v>
      </c>
      <c r="C26" s="2854" t="s">
        <v>2631</v>
      </c>
      <c r="D26" s="2855"/>
      <c r="E26" s="2856">
        <v>1</v>
      </c>
      <c r="F26" s="2845" t="s">
        <v>2452</v>
      </c>
      <c r="G26" s="2845"/>
    </row>
    <row r="27" spans="1:13" ht="19.5" customHeight="1">
      <c r="A27" s="3609" t="s">
        <v>2632</v>
      </c>
      <c r="B27" s="3606" t="s">
        <v>2613</v>
      </c>
      <c r="C27" s="2842" t="s">
        <v>2453</v>
      </c>
      <c r="D27" s="2843"/>
      <c r="E27" s="2844">
        <v>1</v>
      </c>
      <c r="F27" s="2845" t="s">
        <v>2454</v>
      </c>
      <c r="G27" s="2845"/>
    </row>
    <row r="28" spans="1:13" ht="19.5" customHeight="1">
      <c r="A28" s="3610"/>
      <c r="B28" s="3607"/>
      <c r="C28" s="2846" t="s">
        <v>2455</v>
      </c>
      <c r="D28" s="2847"/>
      <c r="E28" s="2848">
        <v>1</v>
      </c>
      <c r="F28" s="2845" t="s">
        <v>2456</v>
      </c>
      <c r="G28" s="2845"/>
    </row>
    <row r="29" spans="1:13" ht="19.5" customHeight="1">
      <c r="A29" s="3610"/>
      <c r="B29" s="3607"/>
      <c r="C29" s="2846" t="s">
        <v>2457</v>
      </c>
      <c r="D29" s="2847"/>
      <c r="E29" s="2848">
        <v>0.8</v>
      </c>
      <c r="F29" s="2845" t="s">
        <v>2458</v>
      </c>
      <c r="G29" s="2845"/>
    </row>
    <row r="30" spans="1:13" ht="19.5" customHeight="1">
      <c r="A30" s="3610"/>
      <c r="B30" s="3607"/>
      <c r="C30" s="2846" t="s">
        <v>2459</v>
      </c>
      <c r="D30" s="2847"/>
      <c r="E30" s="2848">
        <v>0.8</v>
      </c>
      <c r="F30" s="2845" t="s">
        <v>2460</v>
      </c>
      <c r="G30" s="2845"/>
    </row>
    <row r="31" spans="1:13" ht="19.5" customHeight="1">
      <c r="A31" s="3610"/>
      <c r="B31" s="3607"/>
      <c r="C31" s="2846" t="s">
        <v>2461</v>
      </c>
      <c r="D31" s="2847"/>
      <c r="E31" s="2848">
        <v>0.8</v>
      </c>
      <c r="F31" s="2845" t="s">
        <v>2462</v>
      </c>
      <c r="G31" s="2845"/>
    </row>
    <row r="32" spans="1:13" ht="19.5" customHeight="1">
      <c r="A32" s="3610"/>
      <c r="B32" s="3607"/>
      <c r="C32" s="2846" t="s">
        <v>2463</v>
      </c>
      <c r="D32" s="2847"/>
      <c r="E32" s="2848">
        <v>0.7</v>
      </c>
      <c r="F32" s="2845" t="s">
        <v>2464</v>
      </c>
      <c r="G32" s="2845"/>
    </row>
    <row r="33" spans="1:7" ht="19.5" customHeight="1">
      <c r="A33" s="3610"/>
      <c r="B33" s="3607"/>
      <c r="C33" s="2846" t="s">
        <v>2465</v>
      </c>
      <c r="D33" s="2847"/>
      <c r="E33" s="2848">
        <v>0.8</v>
      </c>
      <c r="F33" s="2845" t="s">
        <v>2466</v>
      </c>
      <c r="G33" s="2845"/>
    </row>
    <row r="34" spans="1:7" ht="19.5" customHeight="1">
      <c r="A34" s="3610"/>
      <c r="B34" s="3607"/>
      <c r="C34" s="2846" t="s">
        <v>2467</v>
      </c>
      <c r="D34" s="2847"/>
      <c r="E34" s="2848">
        <v>0.6</v>
      </c>
      <c r="F34" s="2845" t="s">
        <v>2468</v>
      </c>
      <c r="G34" s="2845"/>
    </row>
    <row r="35" spans="1:7" ht="19.5" customHeight="1">
      <c r="A35" s="3610"/>
      <c r="B35" s="3607"/>
      <c r="C35" s="2846" t="s">
        <v>2469</v>
      </c>
      <c r="D35" s="2847"/>
      <c r="E35" s="2848">
        <v>0.2</v>
      </c>
      <c r="F35" s="2845" t="s">
        <v>2470</v>
      </c>
      <c r="G35" s="2845"/>
    </row>
    <row r="36" spans="1:7" ht="19.5" customHeight="1">
      <c r="A36" s="3610"/>
      <c r="B36" s="3607"/>
      <c r="C36" s="2846" t="s">
        <v>2471</v>
      </c>
      <c r="D36" s="2847"/>
      <c r="E36" s="2848">
        <v>0.2</v>
      </c>
      <c r="F36" s="2845" t="s">
        <v>2472</v>
      </c>
      <c r="G36" s="2845"/>
    </row>
    <row r="37" spans="1:7" ht="19.5" customHeight="1">
      <c r="A37" s="3610"/>
      <c r="B37" s="3612" t="s">
        <v>2633</v>
      </c>
      <c r="C37" s="2846" t="s">
        <v>2473</v>
      </c>
      <c r="D37" s="2847"/>
      <c r="E37" s="2848">
        <v>0.6</v>
      </c>
      <c r="F37" s="2845" t="s">
        <v>2474</v>
      </c>
      <c r="G37" s="2845"/>
    </row>
    <row r="38" spans="1:7" ht="19.5" customHeight="1">
      <c r="A38" s="3610"/>
      <c r="B38" s="3607"/>
      <c r="C38" s="2846" t="s">
        <v>2475</v>
      </c>
      <c r="D38" s="2847"/>
      <c r="E38" s="2848">
        <v>0.6</v>
      </c>
      <c r="F38" s="2845" t="s">
        <v>2476</v>
      </c>
      <c r="G38" s="2845"/>
    </row>
    <row r="39" spans="1:7" ht="19.5" customHeight="1" thickBot="1">
      <c r="A39" s="3611"/>
      <c r="B39" s="3608"/>
      <c r="C39" s="2849" t="s">
        <v>2477</v>
      </c>
      <c r="D39" s="2850"/>
      <c r="E39" s="2851">
        <v>0.6</v>
      </c>
      <c r="F39" s="2845" t="s">
        <v>2478</v>
      </c>
      <c r="G39" s="2845"/>
    </row>
    <row r="40" spans="1:7" ht="19.5" customHeight="1" thickBot="1">
      <c r="A40" s="2852" t="s">
        <v>2610</v>
      </c>
      <c r="B40" s="2853" t="s">
        <v>2610</v>
      </c>
      <c r="C40" s="2854" t="s">
        <v>2634</v>
      </c>
      <c r="D40" s="2855"/>
      <c r="E40" s="2856">
        <v>1</v>
      </c>
      <c r="F40" s="2845" t="s">
        <v>2479</v>
      </c>
      <c r="G40" s="2845"/>
    </row>
    <row r="41" spans="1:7" ht="19.5" customHeight="1">
      <c r="A41" s="3613" t="s">
        <v>2611</v>
      </c>
      <c r="B41" s="3606" t="s">
        <v>2635</v>
      </c>
      <c r="C41" s="2842" t="s">
        <v>2480</v>
      </c>
      <c r="D41" s="2843"/>
      <c r="E41" s="2844">
        <v>1</v>
      </c>
      <c r="F41" s="2845" t="s">
        <v>2481</v>
      </c>
      <c r="G41" s="2845"/>
    </row>
    <row r="42" spans="1:7" ht="19.5" customHeight="1">
      <c r="A42" s="3614"/>
      <c r="B42" s="3607"/>
      <c r="C42" s="2846" t="s">
        <v>2482</v>
      </c>
      <c r="D42" s="2847"/>
      <c r="E42" s="2848">
        <v>1</v>
      </c>
      <c r="F42" s="2845" t="s">
        <v>2483</v>
      </c>
      <c r="G42" s="2845"/>
    </row>
    <row r="43" spans="1:7" ht="19.5" customHeight="1">
      <c r="A43" s="3614"/>
      <c r="B43" s="3616"/>
      <c r="C43" s="2846" t="s">
        <v>2484</v>
      </c>
      <c r="D43" s="2847"/>
      <c r="E43" s="2848">
        <v>1.5</v>
      </c>
      <c r="F43" s="2845" t="s">
        <v>2485</v>
      </c>
      <c r="G43" s="2845"/>
    </row>
    <row r="44" spans="1:7" ht="19.5" customHeight="1">
      <c r="A44" s="3614"/>
      <c r="B44" s="2857" t="s">
        <v>2636</v>
      </c>
      <c r="C44" s="2846" t="s">
        <v>2637</v>
      </c>
      <c r="D44" s="2847"/>
      <c r="E44" s="2848">
        <v>2</v>
      </c>
      <c r="F44" s="2845" t="s">
        <v>2486</v>
      </c>
      <c r="G44" s="2845"/>
    </row>
    <row r="45" spans="1:7" ht="19.5" customHeight="1">
      <c r="A45" s="3614"/>
      <c r="B45" s="3612" t="s">
        <v>2638</v>
      </c>
      <c r="C45" s="2846" t="s">
        <v>2487</v>
      </c>
      <c r="D45" s="2847"/>
      <c r="E45" s="2848">
        <v>1</v>
      </c>
      <c r="F45" s="2845" t="s">
        <v>2488</v>
      </c>
      <c r="G45" s="2845"/>
    </row>
    <row r="46" spans="1:7" ht="19.5" customHeight="1">
      <c r="A46" s="3614"/>
      <c r="B46" s="3607"/>
      <c r="C46" s="2846" t="s">
        <v>2489</v>
      </c>
      <c r="D46" s="2847"/>
      <c r="E46" s="2848">
        <v>1</v>
      </c>
      <c r="F46" s="2845" t="s">
        <v>2490</v>
      </c>
      <c r="G46" s="2845"/>
    </row>
    <row r="47" spans="1:7" ht="19.5" customHeight="1">
      <c r="A47" s="3614"/>
      <c r="B47" s="3607"/>
      <c r="C47" s="2846" t="s">
        <v>2491</v>
      </c>
      <c r="D47" s="2847"/>
      <c r="E47" s="2848">
        <v>1</v>
      </c>
      <c r="F47" s="2845" t="s">
        <v>2492</v>
      </c>
      <c r="G47" s="2845"/>
    </row>
    <row r="48" spans="1:7" ht="19.5" customHeight="1">
      <c r="A48" s="3614"/>
      <c r="B48" s="3607"/>
      <c r="C48" s="2846" t="s">
        <v>2493</v>
      </c>
      <c r="D48" s="2847"/>
      <c r="E48" s="2848">
        <v>1</v>
      </c>
      <c r="F48" s="2845" t="s">
        <v>2494</v>
      </c>
      <c r="G48" s="2845"/>
    </row>
    <row r="49" spans="1:7" ht="19.5" customHeight="1">
      <c r="A49" s="3614"/>
      <c r="B49" s="3607"/>
      <c r="C49" s="2846" t="s">
        <v>2495</v>
      </c>
      <c r="D49" s="2847"/>
      <c r="E49" s="2848">
        <v>1</v>
      </c>
      <c r="F49" s="2845" t="s">
        <v>2496</v>
      </c>
      <c r="G49" s="2845"/>
    </row>
    <row r="50" spans="1:7" ht="19.5" customHeight="1">
      <c r="A50" s="3614"/>
      <c r="B50" s="3607"/>
      <c r="C50" s="2846" t="s">
        <v>2497</v>
      </c>
      <c r="D50" s="2847"/>
      <c r="E50" s="2848">
        <v>1</v>
      </c>
      <c r="F50" s="2845" t="s">
        <v>2498</v>
      </c>
      <c r="G50" s="2845"/>
    </row>
    <row r="51" spans="1:7" ht="19.5" customHeight="1" thickBot="1">
      <c r="A51" s="3615"/>
      <c r="B51" s="3608"/>
      <c r="C51" s="2849" t="s">
        <v>2499</v>
      </c>
      <c r="D51" s="2850"/>
      <c r="E51" s="2851">
        <v>1</v>
      </c>
      <c r="F51" s="2845" t="s">
        <v>2500</v>
      </c>
      <c r="G51" s="2845"/>
    </row>
    <row r="52" spans="1:7" ht="19.5" customHeight="1">
      <c r="A52" s="2858"/>
      <c r="B52" s="2858"/>
      <c r="C52" s="2858"/>
      <c r="D52" s="2858"/>
      <c r="E52" s="2858"/>
      <c r="F52" s="2858"/>
      <c r="G52" s="2858"/>
    </row>
    <row r="54" spans="1:7" ht="19.5" customHeight="1">
      <c r="A54" s="2859"/>
      <c r="B54" s="2831" t="s">
        <v>2639</v>
      </c>
      <c r="C54" s="2831" t="s">
        <v>2639</v>
      </c>
      <c r="D54" s="2831" t="s">
        <v>2639</v>
      </c>
      <c r="E54" s="2834" t="s">
        <v>2639</v>
      </c>
      <c r="F54" s="2834" t="s">
        <v>2640</v>
      </c>
      <c r="G54" s="2834" t="s">
        <v>2641</v>
      </c>
    </row>
    <row r="55" spans="1:7" ht="19.5" customHeight="1">
      <c r="A55" s="2860"/>
      <c r="B55" s="2834" t="s">
        <v>2608</v>
      </c>
      <c r="C55" s="2834" t="s">
        <v>2608</v>
      </c>
      <c r="D55" s="2834" t="s">
        <v>2608</v>
      </c>
      <c r="E55" s="2831" t="s">
        <v>2609</v>
      </c>
      <c r="F55" s="2831" t="s">
        <v>2611</v>
      </c>
      <c r="G55" s="2831" t="s">
        <v>2642</v>
      </c>
    </row>
    <row r="56" spans="1:7" ht="19.5" customHeight="1">
      <c r="A56" s="2861"/>
      <c r="B56" s="2831">
        <v>1</v>
      </c>
      <c r="C56" s="2831">
        <v>2</v>
      </c>
      <c r="D56" s="2831">
        <v>3</v>
      </c>
      <c r="E56" s="2862" t="s">
        <v>2643</v>
      </c>
      <c r="F56" s="2862" t="s">
        <v>2643</v>
      </c>
      <c r="G56" s="2862" t="s">
        <v>2643</v>
      </c>
    </row>
    <row r="57" spans="1:7" ht="19.5" customHeight="1">
      <c r="A57" s="2863" t="s">
        <v>2596</v>
      </c>
      <c r="B57" s="2831">
        <v>0.7</v>
      </c>
      <c r="C57" s="2831">
        <v>0.4</v>
      </c>
      <c r="D57" s="2831">
        <v>0.3</v>
      </c>
      <c r="E57" s="2862">
        <v>0.3</v>
      </c>
      <c r="F57" s="2831">
        <v>0.3</v>
      </c>
      <c r="G57" s="2831">
        <v>0.2</v>
      </c>
    </row>
    <row r="58" spans="1:7" ht="19.5" customHeight="1">
      <c r="A58" s="2863" t="s">
        <v>2597</v>
      </c>
      <c r="B58" s="2831">
        <v>0.7</v>
      </c>
      <c r="C58" s="2831">
        <v>0.4</v>
      </c>
      <c r="D58" s="2831">
        <v>0.3</v>
      </c>
      <c r="E58" s="2831">
        <v>0.3</v>
      </c>
      <c r="F58" s="2831">
        <v>0.3</v>
      </c>
      <c r="G58" s="2831">
        <v>0.2</v>
      </c>
    </row>
    <row r="59" spans="1:7" ht="19.5" customHeight="1">
      <c r="A59" s="2863" t="s">
        <v>2598</v>
      </c>
      <c r="B59" s="2831">
        <v>0.6</v>
      </c>
      <c r="C59" s="2831">
        <v>0.3</v>
      </c>
      <c r="D59" s="2831">
        <v>0.25</v>
      </c>
      <c r="E59" s="2831">
        <v>0.25</v>
      </c>
      <c r="F59" s="2831">
        <v>0.25</v>
      </c>
      <c r="G59" s="2831">
        <v>0.15</v>
      </c>
    </row>
    <row r="60" spans="1:7" ht="19.5" customHeight="1">
      <c r="A60" s="2863" t="s">
        <v>2599</v>
      </c>
      <c r="B60" s="2831">
        <v>0.6</v>
      </c>
      <c r="C60" s="2831">
        <v>0.3</v>
      </c>
      <c r="D60" s="2831">
        <v>0.25</v>
      </c>
      <c r="E60" s="2831">
        <v>0.25</v>
      </c>
      <c r="F60" s="2831">
        <v>0.25</v>
      </c>
      <c r="G60" s="2831">
        <v>0.15</v>
      </c>
    </row>
    <row r="61" spans="1:7" ht="19.5" customHeight="1">
      <c r="A61" s="2863" t="s">
        <v>2600</v>
      </c>
      <c r="B61" s="2831">
        <v>0.6</v>
      </c>
      <c r="C61" s="2831">
        <v>0.3</v>
      </c>
      <c r="D61" s="2831">
        <v>0.25</v>
      </c>
      <c r="E61" s="2831">
        <v>0.25</v>
      </c>
      <c r="F61" s="2831">
        <v>0.25</v>
      </c>
      <c r="G61" s="2831">
        <v>0.15</v>
      </c>
    </row>
    <row r="62" spans="1:7" ht="19.5" customHeight="1">
      <c r="A62" s="2863" t="s">
        <v>2601</v>
      </c>
      <c r="B62" s="2831">
        <v>0.6</v>
      </c>
      <c r="C62" s="2831">
        <v>0.3</v>
      </c>
      <c r="D62" s="2831">
        <v>0.25</v>
      </c>
      <c r="E62" s="2831">
        <v>0.25</v>
      </c>
      <c r="F62" s="2831">
        <v>0.25</v>
      </c>
      <c r="G62" s="2831">
        <v>0.15</v>
      </c>
    </row>
    <row r="63" spans="1:7" ht="19.5" customHeight="1">
      <c r="A63" s="2863" t="s">
        <v>2602</v>
      </c>
      <c r="B63" s="2831">
        <v>0.6</v>
      </c>
      <c r="C63" s="2831">
        <v>0.3</v>
      </c>
      <c r="D63" s="2831">
        <v>0.25</v>
      </c>
      <c r="E63" s="2831">
        <v>0.25</v>
      </c>
      <c r="F63" s="2831">
        <v>0.25</v>
      </c>
      <c r="G63" s="2831">
        <v>0.15</v>
      </c>
    </row>
    <row r="64" spans="1:7" ht="19.5" customHeight="1">
      <c r="A64" s="2863" t="s">
        <v>2603</v>
      </c>
      <c r="B64" s="2831">
        <v>0.5</v>
      </c>
      <c r="C64" s="2831">
        <v>0.2</v>
      </c>
      <c r="D64" s="2831">
        <v>0.2</v>
      </c>
      <c r="E64" s="2831">
        <v>0.2</v>
      </c>
      <c r="F64" s="2831">
        <v>0.2</v>
      </c>
      <c r="G64" s="2831">
        <v>0.1</v>
      </c>
    </row>
    <row r="65" spans="1:7" ht="19.5" customHeight="1">
      <c r="A65" s="2863" t="s">
        <v>2604</v>
      </c>
      <c r="B65" s="2831">
        <v>0.5</v>
      </c>
      <c r="C65" s="2831">
        <v>0.2</v>
      </c>
      <c r="D65" s="2831">
        <v>0.2</v>
      </c>
      <c r="E65" s="2831">
        <v>0.2</v>
      </c>
      <c r="F65" s="2831">
        <v>0.2</v>
      </c>
      <c r="G65" s="2831">
        <v>0.1</v>
      </c>
    </row>
    <row r="66" spans="1:7" ht="19.5" customHeight="1">
      <c r="A66" s="2863" t="s">
        <v>2605</v>
      </c>
      <c r="B66" s="2831">
        <v>0.5</v>
      </c>
      <c r="C66" s="2831">
        <v>0.2</v>
      </c>
      <c r="D66" s="2831">
        <v>0.2</v>
      </c>
      <c r="E66" s="2831">
        <v>0.2</v>
      </c>
      <c r="F66" s="2831">
        <v>0.2</v>
      </c>
      <c r="G66" s="2831">
        <v>0.1</v>
      </c>
    </row>
    <row r="67" spans="1:7" ht="19.5" customHeight="1">
      <c r="A67" s="2863" t="s">
        <v>2606</v>
      </c>
      <c r="B67" s="2831">
        <v>0.5</v>
      </c>
      <c r="C67" s="2831">
        <v>0.2</v>
      </c>
      <c r="D67" s="2831">
        <v>0.2</v>
      </c>
      <c r="E67" s="2831">
        <v>0.2</v>
      </c>
      <c r="F67" s="2831">
        <v>0.2</v>
      </c>
      <c r="G67" s="2831">
        <v>0.1</v>
      </c>
    </row>
    <row r="68" spans="1:7" ht="19.5" customHeight="1">
      <c r="A68" s="2863" t="s">
        <v>2607</v>
      </c>
      <c r="B68" s="2831">
        <v>0.5</v>
      </c>
      <c r="C68" s="2831">
        <v>0.2</v>
      </c>
      <c r="D68" s="2831">
        <v>0.2</v>
      </c>
      <c r="E68" s="2831">
        <v>0.2</v>
      </c>
      <c r="F68" s="2831">
        <v>0.2</v>
      </c>
      <c r="G68" s="2831">
        <v>0.1</v>
      </c>
    </row>
    <row r="70" spans="1:7" ht="19.5" customHeight="1">
      <c r="A70" s="2845"/>
      <c r="B70" s="2864"/>
      <c r="C70" s="2864"/>
      <c r="D70" s="2864" t="s">
        <v>2644</v>
      </c>
      <c r="E70" s="2864"/>
      <c r="F70" s="2864"/>
    </row>
    <row r="71" spans="1:7" ht="19.5" customHeight="1">
      <c r="A71" s="2857" t="s">
        <v>2645</v>
      </c>
      <c r="B71" s="2857" t="s">
        <v>2646</v>
      </c>
      <c r="C71" s="2857" t="s">
        <v>2647</v>
      </c>
      <c r="D71" s="2857" t="s">
        <v>2648</v>
      </c>
      <c r="E71" s="2857" t="s">
        <v>2649</v>
      </c>
      <c r="F71" s="2857" t="s">
        <v>2650</v>
      </c>
    </row>
    <row r="72" spans="1:7" ht="13.5">
      <c r="A72" s="2857"/>
      <c r="B72" s="2857"/>
      <c r="C72" s="2857" t="s">
        <v>2651</v>
      </c>
      <c r="D72" s="2857"/>
      <c r="E72" s="2857" t="s">
        <v>2622</v>
      </c>
      <c r="F72" s="2857" t="s">
        <v>2622</v>
      </c>
    </row>
    <row r="73" spans="1:7" ht="13.5">
      <c r="A73" s="2857">
        <v>1</v>
      </c>
      <c r="B73" s="3612" t="s">
        <v>2652</v>
      </c>
      <c r="C73" s="2831" t="s">
        <v>2653</v>
      </c>
      <c r="D73" s="2831" t="s">
        <v>2654</v>
      </c>
      <c r="E73" s="2857">
        <v>0.2</v>
      </c>
      <c r="F73" s="2857">
        <v>25</v>
      </c>
    </row>
    <row r="74" spans="1:7" ht="24">
      <c r="A74" s="2857">
        <v>2</v>
      </c>
      <c r="B74" s="3607"/>
      <c r="C74" s="2831" t="s">
        <v>2655</v>
      </c>
      <c r="D74" s="2831" t="s">
        <v>2656</v>
      </c>
      <c r="E74" s="2857">
        <v>0.2</v>
      </c>
      <c r="F74" s="2857">
        <v>25</v>
      </c>
    </row>
    <row r="75" spans="1:7" ht="24">
      <c r="A75" s="2857">
        <v>3</v>
      </c>
      <c r="B75" s="3607"/>
      <c r="C75" s="2831" t="s">
        <v>2657</v>
      </c>
      <c r="D75" s="2831" t="s">
        <v>2658</v>
      </c>
      <c r="E75" s="2857">
        <v>0.2</v>
      </c>
      <c r="F75" s="2857">
        <v>25</v>
      </c>
    </row>
    <row r="76" spans="1:7" ht="13.5">
      <c r="A76" s="2857">
        <v>4</v>
      </c>
      <c r="B76" s="3607"/>
      <c r="C76" s="2831" t="s">
        <v>2659</v>
      </c>
      <c r="D76" s="2831" t="s">
        <v>2660</v>
      </c>
      <c r="E76" s="2857">
        <v>0.15</v>
      </c>
      <c r="F76" s="2857">
        <v>20</v>
      </c>
    </row>
    <row r="77" spans="1:7" ht="24">
      <c r="A77" s="2857">
        <v>5</v>
      </c>
      <c r="B77" s="3607"/>
      <c r="C77" s="2831" t="s">
        <v>2661</v>
      </c>
      <c r="D77" s="2831" t="s">
        <v>2662</v>
      </c>
      <c r="E77" s="2857">
        <v>0.15</v>
      </c>
      <c r="F77" s="2857">
        <v>20</v>
      </c>
    </row>
    <row r="78" spans="1:7" ht="24">
      <c r="A78" s="2857">
        <v>6</v>
      </c>
      <c r="B78" s="3607"/>
      <c r="C78" s="2831" t="s">
        <v>2663</v>
      </c>
      <c r="D78" s="2831" t="s">
        <v>2664</v>
      </c>
      <c r="E78" s="2857">
        <v>0.15</v>
      </c>
      <c r="F78" s="2857">
        <v>20</v>
      </c>
    </row>
    <row r="79" spans="1:7" ht="24">
      <c r="A79" s="2857">
        <v>7</v>
      </c>
      <c r="B79" s="3607"/>
      <c r="C79" s="2831" t="s">
        <v>2665</v>
      </c>
      <c r="D79" s="2831" t="s">
        <v>2666</v>
      </c>
      <c r="E79" s="2857">
        <v>0.15</v>
      </c>
      <c r="F79" s="2857">
        <v>20</v>
      </c>
    </row>
    <row r="80" spans="1:7" ht="24">
      <c r="A80" s="2857">
        <v>8</v>
      </c>
      <c r="B80" s="3607"/>
      <c r="C80" s="2831" t="s">
        <v>2667</v>
      </c>
      <c r="D80" s="2831" t="s">
        <v>2668</v>
      </c>
      <c r="E80" s="2857">
        <v>0.1</v>
      </c>
      <c r="F80" s="2857">
        <v>15</v>
      </c>
    </row>
    <row r="81" spans="1:6" ht="24">
      <c r="A81" s="2857">
        <v>9</v>
      </c>
      <c r="B81" s="3607"/>
      <c r="C81" s="2831" t="s">
        <v>2669</v>
      </c>
      <c r="D81" s="2831" t="s">
        <v>2670</v>
      </c>
      <c r="E81" s="2857">
        <v>0.1</v>
      </c>
      <c r="F81" s="2857">
        <v>15</v>
      </c>
    </row>
    <row r="82" spans="1:6" ht="24">
      <c r="A82" s="2857">
        <v>10</v>
      </c>
      <c r="B82" s="3607"/>
      <c r="C82" s="2831" t="s">
        <v>2671</v>
      </c>
      <c r="D82" s="2831" t="s">
        <v>2672</v>
      </c>
      <c r="E82" s="2857">
        <v>0.1</v>
      </c>
      <c r="F82" s="2857">
        <v>15</v>
      </c>
    </row>
    <row r="83" spans="1:6" ht="24">
      <c r="A83" s="2857">
        <v>11</v>
      </c>
      <c r="B83" s="3607"/>
      <c r="C83" s="2831" t="s">
        <v>2673</v>
      </c>
      <c r="D83" s="2831" t="s">
        <v>2674</v>
      </c>
      <c r="E83" s="2857">
        <v>0.1</v>
      </c>
      <c r="F83" s="2857">
        <v>15</v>
      </c>
    </row>
    <row r="84" spans="1:6" ht="24">
      <c r="A84" s="2857">
        <v>12</v>
      </c>
      <c r="B84" s="3607"/>
      <c r="C84" s="2831" t="s">
        <v>2675</v>
      </c>
      <c r="D84" s="2831" t="s">
        <v>2676</v>
      </c>
      <c r="E84" s="2857">
        <v>0.1</v>
      </c>
      <c r="F84" s="2857">
        <v>15</v>
      </c>
    </row>
    <row r="85" spans="1:6" ht="13.5">
      <c r="A85" s="2857">
        <v>13</v>
      </c>
      <c r="B85" s="3607"/>
      <c r="C85" s="2831" t="s">
        <v>2677</v>
      </c>
      <c r="D85" s="2831" t="s">
        <v>2678</v>
      </c>
      <c r="E85" s="2857">
        <v>0.1</v>
      </c>
      <c r="F85" s="2857">
        <v>15</v>
      </c>
    </row>
    <row r="86" spans="1:6" ht="13.5">
      <c r="A86" s="2857">
        <v>14</v>
      </c>
      <c r="B86" s="3607"/>
      <c r="C86" s="2831" t="s">
        <v>2679</v>
      </c>
      <c r="D86" s="2831" t="s">
        <v>2680</v>
      </c>
      <c r="E86" s="2857">
        <v>0.1</v>
      </c>
      <c r="F86" s="2857">
        <v>15</v>
      </c>
    </row>
    <row r="87" spans="1:6" ht="13.5">
      <c r="A87" s="2857">
        <v>15</v>
      </c>
      <c r="B87" s="3607"/>
      <c r="C87" s="2831" t="s">
        <v>2681</v>
      </c>
      <c r="D87" s="2831" t="s">
        <v>2682</v>
      </c>
      <c r="E87" s="2857">
        <v>0.1</v>
      </c>
      <c r="F87" s="2857">
        <v>15</v>
      </c>
    </row>
    <row r="88" spans="1:6" ht="24">
      <c r="A88" s="2857">
        <v>16</v>
      </c>
      <c r="B88" s="3607"/>
      <c r="C88" s="2831" t="s">
        <v>2683</v>
      </c>
      <c r="D88" s="2831" t="s">
        <v>2684</v>
      </c>
      <c r="E88" s="2857">
        <v>0.1</v>
      </c>
      <c r="F88" s="2857">
        <v>15</v>
      </c>
    </row>
    <row r="89" spans="1:6" ht="24">
      <c r="A89" s="2857">
        <v>17</v>
      </c>
      <c r="B89" s="3616"/>
      <c r="C89" s="2831" t="s">
        <v>2685</v>
      </c>
      <c r="D89" s="2831" t="s">
        <v>2686</v>
      </c>
      <c r="E89" s="2857">
        <v>0.1</v>
      </c>
      <c r="F89" s="2857">
        <v>15</v>
      </c>
    </row>
    <row r="90" spans="1:6" ht="13.5">
      <c r="A90" s="2857">
        <v>18</v>
      </c>
      <c r="B90" s="3612" t="s">
        <v>2687</v>
      </c>
      <c r="C90" s="2831" t="s">
        <v>2688</v>
      </c>
      <c r="D90" s="2831" t="s">
        <v>2689</v>
      </c>
      <c r="E90" s="2857">
        <v>0.2</v>
      </c>
      <c r="F90" s="2857">
        <v>25</v>
      </c>
    </row>
    <row r="91" spans="1:6" ht="24">
      <c r="A91" s="2857">
        <v>19</v>
      </c>
      <c r="B91" s="3607"/>
      <c r="C91" s="2831" t="s">
        <v>2690</v>
      </c>
      <c r="D91" s="2831" t="s">
        <v>2691</v>
      </c>
      <c r="E91" s="2857">
        <v>0.2</v>
      </c>
      <c r="F91" s="2857">
        <v>25</v>
      </c>
    </row>
    <row r="92" spans="1:6" ht="13.5">
      <c r="A92" s="2857">
        <v>20</v>
      </c>
      <c r="B92" s="3607"/>
      <c r="C92" s="2831" t="s">
        <v>2692</v>
      </c>
      <c r="D92" s="2831" t="s">
        <v>2693</v>
      </c>
      <c r="E92" s="2857">
        <v>0.15</v>
      </c>
      <c r="F92" s="2857">
        <v>20</v>
      </c>
    </row>
    <row r="93" spans="1:6" ht="13.5">
      <c r="A93" s="2857">
        <v>21</v>
      </c>
      <c r="B93" s="3607"/>
      <c r="C93" s="2831" t="s">
        <v>2694</v>
      </c>
      <c r="D93" s="2831" t="s">
        <v>2695</v>
      </c>
      <c r="E93" s="2857">
        <v>0.15</v>
      </c>
      <c r="F93" s="2857">
        <v>20</v>
      </c>
    </row>
    <row r="94" spans="1:6" ht="13.5">
      <c r="A94" s="2857">
        <v>22</v>
      </c>
      <c r="B94" s="3607"/>
      <c r="C94" s="2831" t="s">
        <v>2696</v>
      </c>
      <c r="D94" s="2831" t="s">
        <v>2697</v>
      </c>
      <c r="E94" s="2857">
        <v>0.15</v>
      </c>
      <c r="F94" s="2857">
        <v>20</v>
      </c>
    </row>
    <row r="95" spans="1:6" ht="36">
      <c r="A95" s="2857">
        <v>23</v>
      </c>
      <c r="B95" s="3607"/>
      <c r="C95" s="2831" t="s">
        <v>2698</v>
      </c>
      <c r="D95" s="2831" t="s">
        <v>2699</v>
      </c>
      <c r="E95" s="2857">
        <v>0.15</v>
      </c>
      <c r="F95" s="2857">
        <v>20</v>
      </c>
    </row>
    <row r="96" spans="1:6" ht="13.5">
      <c r="A96" s="2857">
        <v>24</v>
      </c>
      <c r="B96" s="3607"/>
      <c r="C96" s="2831" t="s">
        <v>2700</v>
      </c>
      <c r="D96" s="2831" t="s">
        <v>2701</v>
      </c>
      <c r="E96" s="2857">
        <v>0.1</v>
      </c>
      <c r="F96" s="2857">
        <v>15</v>
      </c>
    </row>
    <row r="97" spans="1:6" ht="13.5">
      <c r="A97" s="2857">
        <v>25</v>
      </c>
      <c r="B97" s="3607"/>
      <c r="C97" s="2831" t="s">
        <v>2702</v>
      </c>
      <c r="D97" s="2831" t="s">
        <v>2703</v>
      </c>
      <c r="E97" s="2857">
        <v>0.1</v>
      </c>
      <c r="F97" s="2857">
        <v>15</v>
      </c>
    </row>
    <row r="98" spans="1:6" ht="24">
      <c r="A98" s="2857">
        <v>26</v>
      </c>
      <c r="B98" s="3607"/>
      <c r="C98" s="2831" t="s">
        <v>2704</v>
      </c>
      <c r="D98" s="2831" t="s">
        <v>2705</v>
      </c>
      <c r="E98" s="2857">
        <v>0.1</v>
      </c>
      <c r="F98" s="2857">
        <v>15</v>
      </c>
    </row>
    <row r="99" spans="1:6" ht="24">
      <c r="A99" s="2857">
        <v>27</v>
      </c>
      <c r="B99" s="3607"/>
      <c r="C99" s="2831" t="s">
        <v>2706</v>
      </c>
      <c r="D99" s="2831" t="s">
        <v>2707</v>
      </c>
      <c r="E99" s="2857">
        <v>0.1</v>
      </c>
      <c r="F99" s="2857">
        <v>15</v>
      </c>
    </row>
    <row r="100" spans="1:6" ht="13.5">
      <c r="A100" s="2857">
        <v>28</v>
      </c>
      <c r="B100" s="3607"/>
      <c r="C100" s="2831" t="s">
        <v>2708</v>
      </c>
      <c r="D100" s="2831" t="s">
        <v>2709</v>
      </c>
      <c r="E100" s="2857">
        <v>0.1</v>
      </c>
      <c r="F100" s="2857">
        <v>15</v>
      </c>
    </row>
    <row r="101" spans="1:6" ht="13.5">
      <c r="A101" s="2857">
        <v>29</v>
      </c>
      <c r="B101" s="3607"/>
      <c r="C101" s="2831" t="s">
        <v>2710</v>
      </c>
      <c r="D101" s="2831" t="s">
        <v>2711</v>
      </c>
      <c r="E101" s="2857">
        <v>0.1</v>
      </c>
      <c r="F101" s="2857">
        <v>15</v>
      </c>
    </row>
    <row r="102" spans="1:6" ht="13.5">
      <c r="A102" s="2857">
        <v>30</v>
      </c>
      <c r="B102" s="3607"/>
      <c r="C102" s="2831" t="s">
        <v>2712</v>
      </c>
      <c r="D102" s="2831" t="s">
        <v>2713</v>
      </c>
      <c r="E102" s="2857">
        <v>0.1</v>
      </c>
      <c r="F102" s="2857">
        <v>15</v>
      </c>
    </row>
    <row r="103" spans="1:6" ht="24">
      <c r="A103" s="2857">
        <v>31</v>
      </c>
      <c r="B103" s="3607"/>
      <c r="C103" s="2831" t="s">
        <v>2714</v>
      </c>
      <c r="D103" s="2831" t="s">
        <v>2715</v>
      </c>
      <c r="E103" s="2857">
        <v>0.1</v>
      </c>
      <c r="F103" s="2857">
        <v>15</v>
      </c>
    </row>
    <row r="104" spans="1:6" ht="24">
      <c r="A104" s="2857">
        <v>32</v>
      </c>
      <c r="B104" s="3607"/>
      <c r="C104" s="2831" t="s">
        <v>2716</v>
      </c>
      <c r="D104" s="2831" t="s">
        <v>2717</v>
      </c>
      <c r="E104" s="2857">
        <v>0.1</v>
      </c>
      <c r="F104" s="2857">
        <v>15</v>
      </c>
    </row>
    <row r="105" spans="1:6" ht="24">
      <c r="A105" s="2857">
        <v>33</v>
      </c>
      <c r="B105" s="3607"/>
      <c r="C105" s="2831" t="s">
        <v>2718</v>
      </c>
      <c r="D105" s="2831" t="s">
        <v>2719</v>
      </c>
      <c r="E105" s="2857">
        <v>0.1</v>
      </c>
      <c r="F105" s="2857">
        <v>15</v>
      </c>
    </row>
    <row r="106" spans="1:6" ht="24">
      <c r="A106" s="2857">
        <v>34</v>
      </c>
      <c r="B106" s="3616"/>
      <c r="C106" s="2831" t="s">
        <v>2720</v>
      </c>
      <c r="D106" s="2831" t="s">
        <v>2721</v>
      </c>
      <c r="E106" s="2857">
        <v>0.1</v>
      </c>
      <c r="F106" s="2857">
        <v>15</v>
      </c>
    </row>
    <row r="107" spans="1:6" ht="24">
      <c r="A107" s="2857">
        <v>35</v>
      </c>
      <c r="B107" s="3612" t="s">
        <v>2722</v>
      </c>
      <c r="C107" s="2857" t="s">
        <v>2723</v>
      </c>
      <c r="D107" s="2831" t="s">
        <v>2724</v>
      </c>
      <c r="E107" s="2857">
        <v>0.15</v>
      </c>
      <c r="F107" s="2857">
        <v>20</v>
      </c>
    </row>
    <row r="108" spans="1:6" ht="13.5">
      <c r="A108" s="2857">
        <v>36</v>
      </c>
      <c r="B108" s="3607"/>
      <c r="C108" s="2857" t="s">
        <v>2725</v>
      </c>
      <c r="D108" s="2831" t="s">
        <v>2726</v>
      </c>
      <c r="E108" s="2857">
        <v>0.15</v>
      </c>
      <c r="F108" s="2857">
        <v>20</v>
      </c>
    </row>
    <row r="109" spans="1:6" ht="13.5">
      <c r="A109" s="2857">
        <v>37</v>
      </c>
      <c r="B109" s="3607"/>
      <c r="C109" s="2857" t="s">
        <v>2727</v>
      </c>
      <c r="D109" s="2831" t="s">
        <v>2728</v>
      </c>
      <c r="E109" s="2857">
        <v>0.15</v>
      </c>
      <c r="F109" s="2857">
        <v>20</v>
      </c>
    </row>
    <row r="110" spans="1:6" ht="13.5">
      <c r="A110" s="2857">
        <v>38</v>
      </c>
      <c r="B110" s="3607"/>
      <c r="C110" s="2857" t="s">
        <v>2729</v>
      </c>
      <c r="D110" s="2831" t="s">
        <v>2730</v>
      </c>
      <c r="E110" s="2857">
        <v>0.1</v>
      </c>
      <c r="F110" s="2857">
        <v>15</v>
      </c>
    </row>
    <row r="111" spans="1:6" ht="24">
      <c r="A111" s="2857">
        <v>39</v>
      </c>
      <c r="B111" s="3607"/>
      <c r="C111" s="2857" t="s">
        <v>2731</v>
      </c>
      <c r="D111" s="2831" t="s">
        <v>2732</v>
      </c>
      <c r="E111" s="2857">
        <v>0.1</v>
      </c>
      <c r="F111" s="2857">
        <v>15</v>
      </c>
    </row>
    <row r="112" spans="1:6" ht="24">
      <c r="A112" s="2857">
        <v>40</v>
      </c>
      <c r="B112" s="3616"/>
      <c r="C112" s="2857" t="s">
        <v>2733</v>
      </c>
      <c r="D112" s="2831" t="s">
        <v>2734</v>
      </c>
      <c r="E112" s="2857">
        <v>0.1</v>
      </c>
      <c r="F112" s="2857">
        <v>15</v>
      </c>
    </row>
    <row r="113" spans="1:6" ht="13.5">
      <c r="A113" s="2857">
        <v>41</v>
      </c>
      <c r="B113" s="3617" t="s">
        <v>2735</v>
      </c>
      <c r="C113" s="2857" t="s">
        <v>2736</v>
      </c>
      <c r="D113" s="2831" t="s">
        <v>2737</v>
      </c>
      <c r="E113" s="2857">
        <v>0.1</v>
      </c>
      <c r="F113" s="2857">
        <v>15</v>
      </c>
    </row>
    <row r="114" spans="1:6" ht="13.5">
      <c r="A114" s="2857">
        <v>42</v>
      </c>
      <c r="B114" s="3617"/>
      <c r="C114" s="2857" t="s">
        <v>2738</v>
      </c>
      <c r="D114" s="2831" t="s">
        <v>2739</v>
      </c>
      <c r="E114" s="2857">
        <v>0.1</v>
      </c>
      <c r="F114" s="2857">
        <v>15</v>
      </c>
    </row>
    <row r="115" spans="1:6" ht="24">
      <c r="A115" s="2857">
        <v>43</v>
      </c>
      <c r="B115" s="3617"/>
      <c r="C115" s="2857" t="s">
        <v>2740</v>
      </c>
      <c r="D115" s="2831" t="s">
        <v>2741</v>
      </c>
      <c r="E115" s="2857">
        <v>0.1</v>
      </c>
      <c r="F115" s="2857">
        <v>15</v>
      </c>
    </row>
    <row r="116" spans="1:6" ht="13.5">
      <c r="A116" s="2857">
        <v>44</v>
      </c>
      <c r="B116" s="3612" t="s">
        <v>2742</v>
      </c>
      <c r="C116" s="2857" t="s">
        <v>2743</v>
      </c>
      <c r="D116" s="2831" t="s">
        <v>2744</v>
      </c>
      <c r="E116" s="2857">
        <v>0.1</v>
      </c>
      <c r="F116" s="2857">
        <v>15</v>
      </c>
    </row>
    <row r="117" spans="1:6" ht="24">
      <c r="A117" s="2857">
        <v>45</v>
      </c>
      <c r="B117" s="3616"/>
      <c r="C117" s="2831" t="s">
        <v>2745</v>
      </c>
      <c r="D117" s="2831" t="s">
        <v>2746</v>
      </c>
      <c r="E117" s="2857">
        <v>0.1</v>
      </c>
      <c r="F117" s="2857">
        <v>15</v>
      </c>
    </row>
    <row r="118" spans="1:6" ht="24">
      <c r="A118" s="2857">
        <v>46</v>
      </c>
      <c r="B118" s="3612" t="s">
        <v>2747</v>
      </c>
      <c r="C118" s="2857" t="s">
        <v>2748</v>
      </c>
      <c r="D118" s="2831" t="s">
        <v>2749</v>
      </c>
      <c r="E118" s="2857">
        <v>0.1</v>
      </c>
      <c r="F118" s="2857">
        <v>15</v>
      </c>
    </row>
    <row r="119" spans="1:6" ht="24">
      <c r="A119" s="2857">
        <v>47</v>
      </c>
      <c r="B119" s="3616"/>
      <c r="C119" s="2857" t="s">
        <v>2750</v>
      </c>
      <c r="D119" s="2831" t="s">
        <v>2751</v>
      </c>
      <c r="E119" s="2857">
        <v>0.1</v>
      </c>
      <c r="F119" s="2857">
        <v>15</v>
      </c>
    </row>
    <row r="120" spans="1:6" ht="13.5">
      <c r="A120" s="2857">
        <v>48</v>
      </c>
      <c r="B120" s="3612" t="s">
        <v>2752</v>
      </c>
      <c r="C120" s="2857" t="s">
        <v>2753</v>
      </c>
      <c r="D120" s="2831" t="s">
        <v>2754</v>
      </c>
      <c r="E120" s="2857">
        <v>0.1</v>
      </c>
      <c r="F120" s="2857">
        <v>15</v>
      </c>
    </row>
    <row r="121" spans="1:6" ht="13.5">
      <c r="A121" s="2857">
        <v>49</v>
      </c>
      <c r="B121" s="3616"/>
      <c r="C121" s="2857" t="s">
        <v>2755</v>
      </c>
      <c r="D121" s="2831" t="s">
        <v>2756</v>
      </c>
      <c r="E121" s="2857">
        <v>0.1</v>
      </c>
      <c r="F121" s="2857">
        <v>15</v>
      </c>
    </row>
    <row r="122" spans="1:6" ht="24">
      <c r="A122" s="2857">
        <v>50</v>
      </c>
      <c r="B122" s="3617" t="s">
        <v>2757</v>
      </c>
      <c r="C122" s="2857" t="s">
        <v>2758</v>
      </c>
      <c r="D122" s="2831" t="s">
        <v>2759</v>
      </c>
      <c r="E122" s="2857">
        <v>0.1</v>
      </c>
      <c r="F122" s="2857">
        <v>15</v>
      </c>
    </row>
    <row r="123" spans="1:6" ht="24">
      <c r="A123" s="2857">
        <v>51</v>
      </c>
      <c r="B123" s="3617"/>
      <c r="C123" s="2857" t="s">
        <v>2760</v>
      </c>
      <c r="D123" s="2831" t="s">
        <v>2761</v>
      </c>
      <c r="E123" s="2857">
        <v>0.1</v>
      </c>
      <c r="F123" s="2857">
        <v>15</v>
      </c>
    </row>
    <row r="124" spans="1:6" ht="24">
      <c r="A124" s="2857">
        <v>52</v>
      </c>
      <c r="B124" s="3617" t="s">
        <v>2762</v>
      </c>
      <c r="C124" s="2857" t="s">
        <v>2763</v>
      </c>
      <c r="D124" s="2831" t="s">
        <v>2764</v>
      </c>
      <c r="E124" s="2857">
        <v>0.1</v>
      </c>
      <c r="F124" s="2857">
        <v>15</v>
      </c>
    </row>
    <row r="125" spans="1:6" ht="24">
      <c r="A125" s="2857">
        <v>53</v>
      </c>
      <c r="B125" s="3617"/>
      <c r="C125" s="2857" t="s">
        <v>2765</v>
      </c>
      <c r="D125" s="2831" t="s">
        <v>2766</v>
      </c>
      <c r="E125" s="2857">
        <v>0.1</v>
      </c>
      <c r="F125" s="2857">
        <v>15</v>
      </c>
    </row>
    <row r="126" spans="1:6" ht="13.5">
      <c r="A126" s="2857">
        <v>54</v>
      </c>
      <c r="B126" s="2857" t="s">
        <v>2767</v>
      </c>
      <c r="C126" s="2857" t="s">
        <v>2768</v>
      </c>
      <c r="D126" s="2831" t="s">
        <v>2769</v>
      </c>
      <c r="E126" s="2857">
        <v>0.1</v>
      </c>
      <c r="F126" s="2857">
        <v>15</v>
      </c>
    </row>
    <row r="127" spans="1:6" ht="13.5">
      <c r="A127" s="2857">
        <v>55</v>
      </c>
      <c r="B127" s="3617" t="s">
        <v>2770</v>
      </c>
      <c r="C127" s="2857" t="s">
        <v>2771</v>
      </c>
      <c r="D127" s="2831" t="s">
        <v>2772</v>
      </c>
      <c r="E127" s="2857">
        <v>0.1</v>
      </c>
      <c r="F127" s="2857">
        <v>15</v>
      </c>
    </row>
    <row r="128" spans="1:6" ht="13.5">
      <c r="A128" s="2857">
        <v>56</v>
      </c>
      <c r="B128" s="3617"/>
      <c r="C128" s="2857" t="s">
        <v>2773</v>
      </c>
      <c r="D128" s="2831" t="s">
        <v>2774</v>
      </c>
      <c r="E128" s="2857">
        <v>0.1</v>
      </c>
      <c r="F128" s="2857">
        <v>15</v>
      </c>
    </row>
    <row r="129" spans="1:6" ht="24">
      <c r="A129" s="2857">
        <v>57</v>
      </c>
      <c r="B129" s="3617"/>
      <c r="C129" s="2857" t="s">
        <v>2775</v>
      </c>
      <c r="D129" s="2831" t="s">
        <v>2776</v>
      </c>
      <c r="E129" s="2857">
        <v>0.1</v>
      </c>
      <c r="F129" s="2857">
        <v>15</v>
      </c>
    </row>
    <row r="130" spans="1:6" ht="24">
      <c r="A130" s="2857">
        <v>58</v>
      </c>
      <c r="B130" s="3617" t="s">
        <v>2777</v>
      </c>
      <c r="C130" s="2857" t="s">
        <v>2778</v>
      </c>
      <c r="D130" s="2831" t="s">
        <v>2779</v>
      </c>
      <c r="E130" s="2857">
        <v>0.1</v>
      </c>
      <c r="F130" s="2857">
        <v>15</v>
      </c>
    </row>
    <row r="131" spans="1:6" ht="13.5">
      <c r="A131" s="2857">
        <v>59</v>
      </c>
      <c r="B131" s="3617"/>
      <c r="C131" s="2857" t="s">
        <v>2780</v>
      </c>
      <c r="D131" s="2831" t="s">
        <v>2781</v>
      </c>
      <c r="E131" s="2857">
        <v>0.1</v>
      </c>
      <c r="F131" s="2857">
        <v>15</v>
      </c>
    </row>
    <row r="132" spans="1:6" ht="13.5">
      <c r="A132" s="2857">
        <v>60</v>
      </c>
      <c r="B132" s="3612" t="s">
        <v>2782</v>
      </c>
      <c r="C132" s="2857" t="s">
        <v>2783</v>
      </c>
      <c r="D132" s="2831" t="s">
        <v>2784</v>
      </c>
      <c r="E132" s="2857">
        <v>0.1</v>
      </c>
      <c r="F132" s="2857">
        <v>15</v>
      </c>
    </row>
    <row r="133" spans="1:6" ht="13.5">
      <c r="A133" s="2857">
        <v>61</v>
      </c>
      <c r="B133" s="3616"/>
      <c r="C133" s="2857" t="s">
        <v>2785</v>
      </c>
      <c r="D133" s="2831" t="s">
        <v>2786</v>
      </c>
      <c r="E133" s="2857">
        <v>0.1</v>
      </c>
      <c r="F133" s="2857">
        <v>15</v>
      </c>
    </row>
    <row r="134" spans="1:6" ht="24">
      <c r="A134" s="2857">
        <v>62</v>
      </c>
      <c r="B134" s="2857" t="s">
        <v>2787</v>
      </c>
      <c r="C134" s="2857" t="s">
        <v>2788</v>
      </c>
      <c r="D134" s="2831" t="s">
        <v>2789</v>
      </c>
      <c r="E134" s="2857">
        <v>0.1</v>
      </c>
      <c r="F134" s="2857">
        <v>15</v>
      </c>
    </row>
    <row r="135" spans="1:6" ht="13.5">
      <c r="A135" s="2857">
        <v>63</v>
      </c>
      <c r="B135" s="3617" t="s">
        <v>2790</v>
      </c>
      <c r="C135" s="2857" t="s">
        <v>2791</v>
      </c>
      <c r="D135" s="2831" t="s">
        <v>2792</v>
      </c>
      <c r="E135" s="2857">
        <v>0.1</v>
      </c>
      <c r="F135" s="2857">
        <v>15</v>
      </c>
    </row>
    <row r="136" spans="1:6" ht="13.5">
      <c r="A136" s="2857">
        <v>64</v>
      </c>
      <c r="B136" s="3617"/>
      <c r="C136" s="2857" t="s">
        <v>2793</v>
      </c>
      <c r="D136" s="2831" t="s">
        <v>2794</v>
      </c>
      <c r="E136" s="2857">
        <v>0.1</v>
      </c>
      <c r="F136" s="2857">
        <v>15</v>
      </c>
    </row>
    <row r="137" spans="1:6" ht="13.5">
      <c r="A137" s="2857">
        <v>65</v>
      </c>
      <c r="B137" s="2857" t="s">
        <v>2795</v>
      </c>
      <c r="C137" s="2857" t="s">
        <v>2796</v>
      </c>
      <c r="D137" s="2831" t="s">
        <v>2797</v>
      </c>
      <c r="E137" s="2857">
        <v>0.1</v>
      </c>
      <c r="F137" s="2857">
        <v>15</v>
      </c>
    </row>
    <row r="138" spans="1:6" ht="13.5">
      <c r="A138" s="2857"/>
      <c r="B138" s="2857"/>
      <c r="C138" s="2857"/>
      <c r="D138" s="2857"/>
      <c r="E138" s="2857" t="s">
        <v>2798</v>
      </c>
      <c r="F138" s="285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2799</v>
      </c>
      <c r="B1" s="2865"/>
      <c r="C1" s="2865"/>
      <c r="D1" s="2865"/>
      <c r="E1" s="2865"/>
      <c r="F1" s="2865"/>
      <c r="G1" s="2865"/>
      <c r="H1" s="2865"/>
      <c r="I1" s="2865"/>
      <c r="J1" s="2865"/>
      <c r="K1" s="2865"/>
      <c r="L1" s="2865"/>
      <c r="M1" s="2865"/>
      <c r="N1" s="707"/>
    </row>
    <row r="2" spans="1:20">
      <c r="A2" s="2866" t="s">
        <v>2800</v>
      </c>
      <c r="B2" s="2867" t="s">
        <v>2596</v>
      </c>
      <c r="C2" s="2867" t="s">
        <v>2597</v>
      </c>
      <c r="D2" s="2867" t="s">
        <v>2598</v>
      </c>
      <c r="E2" s="2867" t="s">
        <v>2599</v>
      </c>
      <c r="F2" s="2867" t="s">
        <v>2600</v>
      </c>
      <c r="G2" s="2867" t="s">
        <v>2601</v>
      </c>
      <c r="H2" s="2868" t="s">
        <v>2602</v>
      </c>
      <c r="I2" s="2868" t="s">
        <v>2603</v>
      </c>
      <c r="J2" s="2869" t="s">
        <v>2604</v>
      </c>
      <c r="K2" s="2869" t="s">
        <v>2605</v>
      </c>
      <c r="L2" s="2869" t="s">
        <v>2606</v>
      </c>
      <c r="M2" s="2870" t="s">
        <v>2607</v>
      </c>
      <c r="Q2" s="2880" t="s">
        <v>2805</v>
      </c>
      <c r="R2" s="2880" t="s">
        <v>2806</v>
      </c>
      <c r="S2" s="2880" t="s">
        <v>2807</v>
      </c>
      <c r="T2" s="2880" t="s">
        <v>2808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2801</v>
      </c>
      <c r="B93" s="2865"/>
      <c r="C93" s="2865"/>
      <c r="D93" s="2865"/>
      <c r="E93" s="2865"/>
      <c r="F93" s="2865"/>
      <c r="G93" s="2865"/>
      <c r="H93" s="2865"/>
      <c r="I93" s="2865"/>
      <c r="J93" s="2865"/>
      <c r="K93" s="2865"/>
      <c r="L93" s="2865"/>
      <c r="M93" s="2865"/>
    </row>
    <row r="94" spans="1:20">
      <c r="A94" s="2866" t="s">
        <v>2800</v>
      </c>
      <c r="B94" s="2867" t="s">
        <v>2596</v>
      </c>
      <c r="C94" s="2867" t="s">
        <v>2597</v>
      </c>
      <c r="D94" s="2867" t="s">
        <v>2598</v>
      </c>
      <c r="E94" s="2867" t="s">
        <v>2599</v>
      </c>
      <c r="F94" s="2867" t="s">
        <v>2600</v>
      </c>
      <c r="G94" s="2867" t="s">
        <v>2601</v>
      </c>
      <c r="H94" s="2868" t="s">
        <v>2602</v>
      </c>
      <c r="I94" s="2868" t="s">
        <v>2603</v>
      </c>
      <c r="J94" s="2869" t="s">
        <v>2604</v>
      </c>
      <c r="K94" s="2869" t="s">
        <v>2605</v>
      </c>
      <c r="L94" s="2869" t="s">
        <v>2606</v>
      </c>
      <c r="M94" s="2870" t="s">
        <v>2607</v>
      </c>
      <c r="N94">
        <f>SUMPRODUCT((A95:A184=ROUNDDOWN('基准地价修正-商业'!G3,1))*(B94:M94='基准地价修正-商业'!G2)*(B95:M184))</f>
        <v>1</v>
      </c>
      <c r="Q94" s="2880" t="s">
        <v>2805</v>
      </c>
      <c r="R94" s="2880" t="s">
        <v>2806</v>
      </c>
      <c r="S94" s="2880" t="s">
        <v>2807</v>
      </c>
      <c r="T94" s="2880" t="s">
        <v>2808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2802</v>
      </c>
      <c r="B185" s="2865"/>
      <c r="C185" s="2865"/>
      <c r="D185" s="2865"/>
      <c r="E185" s="2865"/>
      <c r="F185" s="2865"/>
      <c r="G185" s="2865"/>
      <c r="H185" s="2865"/>
      <c r="I185" s="2865"/>
      <c r="J185" s="2865"/>
      <c r="K185" s="2865"/>
      <c r="L185" s="2865"/>
      <c r="M185" s="2865"/>
    </row>
    <row r="186" spans="1:20">
      <c r="A186" s="2866" t="s">
        <v>2800</v>
      </c>
      <c r="B186" s="2867" t="s">
        <v>2596</v>
      </c>
      <c r="C186" s="2867" t="s">
        <v>2597</v>
      </c>
      <c r="D186" s="2867" t="s">
        <v>2598</v>
      </c>
      <c r="E186" s="2867" t="s">
        <v>2599</v>
      </c>
      <c r="F186" s="2867" t="s">
        <v>2600</v>
      </c>
      <c r="G186" s="2867" t="s">
        <v>2601</v>
      </c>
      <c r="H186" s="2868" t="s">
        <v>2602</v>
      </c>
      <c r="I186" s="2868" t="s">
        <v>2603</v>
      </c>
      <c r="J186" s="2869" t="s">
        <v>2604</v>
      </c>
      <c r="K186" s="2869" t="s">
        <v>2605</v>
      </c>
      <c r="L186" s="2869" t="s">
        <v>2606</v>
      </c>
      <c r="M186" s="2870" t="s">
        <v>2607</v>
      </c>
      <c r="Q186" s="2880" t="s">
        <v>2805</v>
      </c>
      <c r="R186" s="2880" t="s">
        <v>2806</v>
      </c>
      <c r="S186" s="2880" t="s">
        <v>2807</v>
      </c>
      <c r="T186" s="2880" t="s">
        <v>2808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2803</v>
      </c>
      <c r="B277" s="2865"/>
      <c r="C277" s="2865"/>
      <c r="D277" s="2865"/>
      <c r="E277" s="2865"/>
      <c r="F277" s="2865"/>
      <c r="G277" s="2865"/>
      <c r="H277" s="2865"/>
      <c r="I277" s="2865"/>
      <c r="J277" s="2865"/>
      <c r="K277" s="2865"/>
      <c r="L277" s="2865"/>
      <c r="M277" s="2865"/>
    </row>
    <row r="278" spans="1:21">
      <c r="A278" s="2866" t="s">
        <v>2800</v>
      </c>
      <c r="B278" s="2867" t="s">
        <v>2596</v>
      </c>
      <c r="C278" s="2867" t="s">
        <v>2597</v>
      </c>
      <c r="D278" s="2867" t="s">
        <v>2598</v>
      </c>
      <c r="E278" s="2867" t="s">
        <v>2599</v>
      </c>
      <c r="F278" s="2867" t="s">
        <v>2600</v>
      </c>
      <c r="G278" s="2867" t="s">
        <v>2601</v>
      </c>
      <c r="H278" s="2868" t="s">
        <v>2602</v>
      </c>
      <c r="I278" s="2868" t="s">
        <v>2603</v>
      </c>
      <c r="J278" s="2869" t="s">
        <v>2604</v>
      </c>
      <c r="K278" s="2869" t="s">
        <v>2605</v>
      </c>
      <c r="L278" s="2869" t="s">
        <v>2606</v>
      </c>
      <c r="M278" s="2870" t="s">
        <v>2607</v>
      </c>
      <c r="Q278" s="2880" t="s">
        <v>2805</v>
      </c>
      <c r="R278" s="2880" t="s">
        <v>2806</v>
      </c>
      <c r="S278" s="2880" t="s">
        <v>2809</v>
      </c>
      <c r="T278" s="2880" t="s">
        <v>2810</v>
      </c>
      <c r="U278" s="2880" t="s">
        <v>2808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2804</v>
      </c>
      <c r="B369" s="2878"/>
      <c r="C369" s="2878"/>
      <c r="D369" s="2878"/>
      <c r="E369" s="2878"/>
      <c r="F369" s="2878"/>
      <c r="G369" s="2878"/>
      <c r="H369" s="2878"/>
      <c r="I369" s="2878"/>
      <c r="J369" s="2878"/>
      <c r="K369" s="2878"/>
      <c r="L369" s="2878"/>
      <c r="M369" s="2878"/>
    </row>
    <row r="370" spans="1:20">
      <c r="A370" s="2866" t="s">
        <v>2800</v>
      </c>
      <c r="B370" s="2867" t="s">
        <v>2596</v>
      </c>
      <c r="C370" s="2867" t="s">
        <v>2597</v>
      </c>
      <c r="D370" s="2867" t="s">
        <v>2598</v>
      </c>
      <c r="E370" s="2867" t="s">
        <v>2599</v>
      </c>
      <c r="F370" s="2867" t="s">
        <v>2600</v>
      </c>
      <c r="G370" s="2867" t="s">
        <v>2601</v>
      </c>
      <c r="H370" s="2868" t="s">
        <v>2602</v>
      </c>
      <c r="I370" s="2868" t="s">
        <v>2603</v>
      </c>
      <c r="J370" s="2869" t="s">
        <v>2604</v>
      </c>
      <c r="K370" s="2869" t="s">
        <v>2605</v>
      </c>
      <c r="L370" s="2869" t="s">
        <v>2606</v>
      </c>
      <c r="M370" s="2870" t="s">
        <v>2607</v>
      </c>
      <c r="N370">
        <f>SUMPRODUCT((A371:A460=ROUNDDOWN('基准地价修正-商业'!G3,1))*(B370:M370='基准地价修正-商业'!G2)*(B371:M460))</f>
        <v>0.95120000000000005</v>
      </c>
      <c r="Q370" s="2880" t="s">
        <v>2805</v>
      </c>
      <c r="R370" s="2880" t="s">
        <v>2806</v>
      </c>
      <c r="S370" s="2880" t="s">
        <v>2807</v>
      </c>
      <c r="T370" s="2880" t="s">
        <v>2808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28594</v>
      </c>
      <c r="C2" s="2" t="s">
        <v>106</v>
      </c>
      <c r="D2" s="191"/>
      <c r="E2" s="191"/>
      <c r="F2" s="191"/>
      <c r="G2" s="191"/>
    </row>
    <row r="3" spans="1:7" s="192" customFormat="1" ht="18" customHeight="1" thickBot="1">
      <c r="A3" s="195" t="s">
        <v>58</v>
      </c>
      <c r="B3" s="196">
        <f ca="1">ROUND(B2*10000/'数据-汇总表'!E3,0)</f>
        <v>1025352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v>
      </c>
      <c r="D10" s="795">
        <f>'数据-汇总表'!E6</f>
        <v>278.87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278.87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1461</v>
      </c>
      <c r="D22" s="227">
        <f ca="1">C26</f>
        <v>6.9999999999999999E-4</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1447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3785</v>
      </c>
      <c r="D27" s="227">
        <f>C29</f>
        <v>3.5999999999999999E-3</v>
      </c>
      <c r="E27" s="228" t="s">
        <v>99</v>
      </c>
      <c r="F27" s="238">
        <f>'数据-取费表'!Q16</f>
        <v>0.18</v>
      </c>
      <c r="G27" s="239" t="s">
        <v>431</v>
      </c>
    </row>
    <row r="28" spans="1:7" s="206" customFormat="1" ht="13.5" customHeight="1">
      <c r="A28" s="734" t="s">
        <v>349</v>
      </c>
      <c r="B28" s="240" t="s">
        <v>424</v>
      </c>
      <c r="C28" s="241">
        <f>ROUND((C5+C19+C20)*F27*'数据-取费表'!B21/'数据-取费表'!B20,0)</f>
        <v>3785</v>
      </c>
      <c r="D28" s="227"/>
      <c r="E28" s="228"/>
      <c r="F28" s="238"/>
      <c r="G28" s="239"/>
    </row>
    <row r="29" spans="1:7" s="206" customFormat="1" ht="13.5" customHeight="1">
      <c r="A29" s="734" t="s">
        <v>347</v>
      </c>
      <c r="B29" s="240" t="s">
        <v>425</v>
      </c>
      <c r="C29" s="230">
        <f>ROUND(C21*F27*'数据-取费表'!B21/'数据-取费表'!B20,4)</f>
        <v>3.5999999999999999E-3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28485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91</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v>
      </c>
      <c r="D37" s="209">
        <f>'数据-汇总表'!E3</f>
        <v>278.87</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479" t="s">
        <v>94</v>
      </c>
    </row>
    <row r="43" spans="1:7" ht="13.5" customHeight="1">
      <c r="A43" s="734" t="s">
        <v>347</v>
      </c>
      <c r="B43" s="207" t="s">
        <v>426</v>
      </c>
      <c r="C43" s="230">
        <f ca="1">ROUND(IF('数据-取费表'!B22&lt;=1,C39*F22*'数据-取费表'!B21/2,C39*(POWER((1+F22),'数据-取费表'!B21/2)-1)),0)</f>
        <v>0</v>
      </c>
      <c r="D43" s="230"/>
      <c r="E43" s="230"/>
      <c r="F43" s="231"/>
      <c r="G43" s="3480"/>
    </row>
    <row r="44" spans="1:7" ht="13.5" customHeight="1">
      <c r="A44" s="734" t="s">
        <v>348</v>
      </c>
      <c r="B44" s="207" t="s">
        <v>428</v>
      </c>
      <c r="C44" s="230">
        <f ca="1">ROUND(IF('数据-取费表'!B22&lt;=1,C40*F22*'数据-取费表'!B21/2,C40*(POWER((1+F22),'数据-取费表'!B21/2)-1)),4)</f>
        <v>6.9999999999999999E-4</v>
      </c>
      <c r="D44" s="230"/>
      <c r="E44" s="230"/>
      <c r="F44" s="231"/>
      <c r="G44" s="3481"/>
    </row>
    <row r="45" spans="1:7" s="206" customFormat="1" ht="13.5" customHeight="1">
      <c r="A45" s="731" t="s">
        <v>341</v>
      </c>
      <c r="B45" s="236" t="s">
        <v>85</v>
      </c>
      <c r="C45" s="237">
        <f>C46</f>
        <v>19</v>
      </c>
      <c r="D45" s="227">
        <f>C47</f>
        <v>3.5999999999999999E-3</v>
      </c>
      <c r="E45" s="228" t="s">
        <v>102</v>
      </c>
      <c r="F45" s="238"/>
      <c r="G45" s="239" t="s">
        <v>434</v>
      </c>
    </row>
    <row r="46" spans="1:7" s="206" customFormat="1" ht="13.5" customHeight="1">
      <c r="A46" s="734" t="s">
        <v>349</v>
      </c>
      <c r="B46" s="240" t="s">
        <v>427</v>
      </c>
      <c r="C46" s="241">
        <f>ROUND((C33+C39)*F27,0)</f>
        <v>19</v>
      </c>
      <c r="D46" s="255"/>
      <c r="E46" s="228"/>
      <c r="F46" s="238"/>
      <c r="G46" s="239"/>
    </row>
    <row r="47" spans="1:7" s="206" customFormat="1" ht="13.5" customHeight="1">
      <c r="A47" s="734" t="s">
        <v>347</v>
      </c>
      <c r="B47" s="240" t="s">
        <v>429</v>
      </c>
      <c r="C47" s="230">
        <f>ROUND(C40*F27,4)</f>
        <v>3.5999999999999999E-3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136</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109</v>
      </c>
      <c r="D51" s="224"/>
      <c r="E51" s="224"/>
      <c r="F51" s="256"/>
      <c r="G51" s="226" t="s">
        <v>37</v>
      </c>
    </row>
    <row r="52" spans="1:7" s="200" customFormat="1" ht="16.5" thickBot="1">
      <c r="A52" s="257" t="s">
        <v>38</v>
      </c>
      <c r="B52" s="258"/>
      <c r="C52" s="259">
        <f ca="1">C31+C51</f>
        <v>28594</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1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20" t="s">
        <v>2840</v>
      </c>
      <c r="B1" s="3620"/>
      <c r="C1" s="3620"/>
      <c r="D1" s="3620"/>
      <c r="E1" s="3620"/>
      <c r="F1" s="3620"/>
      <c r="G1" s="3621"/>
      <c r="I1" s="2938" t="s">
        <v>2841</v>
      </c>
      <c r="J1" s="2939" t="s">
        <v>2842</v>
      </c>
      <c r="K1" s="2939" t="s">
        <v>2843</v>
      </c>
      <c r="L1" s="2939" t="s">
        <v>2844</v>
      </c>
      <c r="M1" s="2939" t="s">
        <v>2845</v>
      </c>
      <c r="N1" s="2939" t="s">
        <v>2846</v>
      </c>
      <c r="O1" s="2939" t="s">
        <v>2847</v>
      </c>
      <c r="P1" s="2939" t="s">
        <v>2848</v>
      </c>
      <c r="Q1" s="2939" t="s">
        <v>2849</v>
      </c>
      <c r="R1" s="2939" t="s">
        <v>2850</v>
      </c>
      <c r="S1" s="2939" t="s">
        <v>2851</v>
      </c>
      <c r="T1" s="2940" t="s">
        <v>2852</v>
      </c>
    </row>
    <row r="2" spans="1:20" ht="12" thickBot="1">
      <c r="A2" s="2941" t="s">
        <v>2853</v>
      </c>
      <c r="B2" s="2941"/>
      <c r="C2" s="2941"/>
      <c r="D2" s="2941"/>
      <c r="E2" s="2941"/>
      <c r="F2" s="2941"/>
      <c r="G2" s="2942" t="s">
        <v>2854</v>
      </c>
      <c r="I2" s="2943" t="s">
        <v>2855</v>
      </c>
      <c r="J2" s="2943" t="s">
        <v>2856</v>
      </c>
      <c r="K2" s="2943" t="s">
        <v>2857</v>
      </c>
      <c r="L2" s="2943" t="s">
        <v>2858</v>
      </c>
      <c r="M2" s="2943" t="s">
        <v>2859</v>
      </c>
      <c r="N2" s="2943" t="s">
        <v>2860</v>
      </c>
      <c r="O2" s="2943" t="s">
        <v>2861</v>
      </c>
      <c r="P2" s="2943" t="s">
        <v>2862</v>
      </c>
      <c r="Q2" s="2943" t="s">
        <v>2863</v>
      </c>
      <c r="R2" s="2943" t="s">
        <v>2864</v>
      </c>
      <c r="S2" s="2943" t="s">
        <v>2865</v>
      </c>
      <c r="T2" s="2943" t="s">
        <v>2866</v>
      </c>
    </row>
    <row r="3" spans="1:20" s="2949" customFormat="1">
      <c r="A3" s="3618" t="s">
        <v>2867</v>
      </c>
      <c r="B3" s="2944"/>
      <c r="C3" s="2945" t="s">
        <v>2812</v>
      </c>
      <c r="D3" s="2945" t="s">
        <v>2868</v>
      </c>
      <c r="E3" s="2945" t="s">
        <v>2814</v>
      </c>
      <c r="F3" s="2945" t="s">
        <v>2869</v>
      </c>
      <c r="G3" s="2945" t="s">
        <v>2632</v>
      </c>
      <c r="H3" s="2946"/>
      <c r="I3" s="2947" t="s">
        <v>2870</v>
      </c>
      <c r="J3" s="2948" t="s">
        <v>128</v>
      </c>
      <c r="K3" s="2948" t="s">
        <v>129</v>
      </c>
      <c r="L3" s="2947" t="s">
        <v>130</v>
      </c>
      <c r="M3" s="2947" t="s">
        <v>131</v>
      </c>
      <c r="N3" s="2947" t="s">
        <v>132</v>
      </c>
      <c r="O3" s="2947" t="s">
        <v>133</v>
      </c>
      <c r="P3" s="2947" t="s">
        <v>134</v>
      </c>
      <c r="Q3" s="2947" t="s">
        <v>135</v>
      </c>
      <c r="R3" s="2947" t="s">
        <v>136</v>
      </c>
      <c r="S3" s="2947" t="s">
        <v>2871</v>
      </c>
      <c r="T3" s="2947" t="s">
        <v>2872</v>
      </c>
    </row>
    <row r="4" spans="1:20" s="2949" customFormat="1" ht="12" thickBot="1">
      <c r="A4" s="3619"/>
      <c r="B4" s="2950" t="s">
        <v>2873</v>
      </c>
      <c r="C4" s="2950" t="s">
        <v>2874</v>
      </c>
      <c r="D4" s="2950" t="s">
        <v>2874</v>
      </c>
      <c r="E4" s="2950" t="s">
        <v>2874</v>
      </c>
      <c r="F4" s="2951" t="s">
        <v>2874</v>
      </c>
      <c r="G4" s="2951" t="s">
        <v>2874</v>
      </c>
      <c r="H4" s="2946"/>
      <c r="I4" s="2948" t="s">
        <v>137</v>
      </c>
      <c r="J4" s="2948" t="s">
        <v>111</v>
      </c>
      <c r="K4" s="2948" t="s">
        <v>138</v>
      </c>
      <c r="L4" s="2947" t="s">
        <v>139</v>
      </c>
      <c r="M4" s="2947" t="s">
        <v>140</v>
      </c>
      <c r="N4" s="2947" t="s">
        <v>141</v>
      </c>
      <c r="O4" s="2947" t="s">
        <v>142</v>
      </c>
      <c r="P4" s="2947" t="s">
        <v>143</v>
      </c>
      <c r="Q4" s="2947" t="s">
        <v>2875</v>
      </c>
      <c r="R4" s="2947" t="s">
        <v>2876</v>
      </c>
      <c r="S4" s="2947" t="s">
        <v>2877</v>
      </c>
      <c r="T4" s="2947" t="s">
        <v>2878</v>
      </c>
    </row>
    <row r="5" spans="1:20">
      <c r="A5" s="2952" t="s">
        <v>2841</v>
      </c>
      <c r="B5" s="2943" t="s">
        <v>2855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2879</v>
      </c>
      <c r="R5" s="2947" t="s">
        <v>2880</v>
      </c>
      <c r="S5" s="2947" t="s">
        <v>153</v>
      </c>
      <c r="T5" s="2947" t="s">
        <v>2881</v>
      </c>
    </row>
    <row r="6" spans="1:20" ht="12" thickBot="1">
      <c r="A6" s="2947" t="s">
        <v>144</v>
      </c>
      <c r="B6" s="2947" t="s">
        <v>2870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2882</v>
      </c>
      <c r="Q6" s="2947" t="s">
        <v>2883</v>
      </c>
      <c r="R6" s="2947" t="s">
        <v>161</v>
      </c>
      <c r="S6" s="2947" t="s">
        <v>2884</v>
      </c>
      <c r="T6" s="2947" t="s">
        <v>2885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2886</v>
      </c>
      <c r="Q7" s="2947" t="s">
        <v>2887</v>
      </c>
      <c r="R7" s="2947" t="s">
        <v>2888</v>
      </c>
      <c r="S7" s="2947" t="s">
        <v>2889</v>
      </c>
      <c r="T7" s="2947" t="s">
        <v>2890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2891</v>
      </c>
      <c r="Q8" s="2947" t="s">
        <v>174</v>
      </c>
      <c r="R8" s="2947" t="s">
        <v>2892</v>
      </c>
      <c r="S8" s="2947" t="s">
        <v>2893</v>
      </c>
      <c r="T8" s="2954" t="s">
        <v>2894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2895</v>
      </c>
      <c r="Q9" s="2947" t="s">
        <v>182</v>
      </c>
      <c r="R9" s="2947" t="s">
        <v>183</v>
      </c>
      <c r="S9" s="2947" t="s">
        <v>200</v>
      </c>
    </row>
    <row r="10" spans="1:20">
      <c r="A10" s="2952" t="s">
        <v>184</v>
      </c>
      <c r="B10" s="2943" t="s">
        <v>2856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2897</v>
      </c>
      <c r="P11" s="2947" t="s">
        <v>191</v>
      </c>
      <c r="Q11" s="2947" t="s">
        <v>199</v>
      </c>
      <c r="R11" s="2947" t="s">
        <v>2898</v>
      </c>
      <c r="S11" s="2947" t="s">
        <v>2899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2900</v>
      </c>
      <c r="P12" s="2947" t="s">
        <v>2901</v>
      </c>
      <c r="Q12" s="2947" t="s">
        <v>2902</v>
      </c>
      <c r="R12" s="2947" t="s">
        <v>2903</v>
      </c>
      <c r="S12" s="2947" t="s">
        <v>2904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2906</v>
      </c>
      <c r="K14" s="2948" t="s">
        <v>215</v>
      </c>
      <c r="L14" s="2947" t="s">
        <v>216</v>
      </c>
      <c r="M14" s="2947" t="s">
        <v>217</v>
      </c>
      <c r="N14" s="2947" t="s">
        <v>218</v>
      </c>
      <c r="O14" s="2947" t="s">
        <v>240</v>
      </c>
      <c r="P14" s="2947" t="s">
        <v>213</v>
      </c>
      <c r="Q14" s="2947" t="s">
        <v>2907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2908</v>
      </c>
      <c r="P15" s="2947" t="s">
        <v>2909</v>
      </c>
      <c r="Q15" s="2947" t="s">
        <v>242</v>
      </c>
      <c r="R15" s="2947" t="s">
        <v>2910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2911</v>
      </c>
      <c r="P16" s="2947" t="s">
        <v>227</v>
      </c>
      <c r="Q16" s="2947" t="s">
        <v>250</v>
      </c>
      <c r="R16" s="2947" t="s">
        <v>207</v>
      </c>
      <c r="S16" s="2947" t="s">
        <v>2912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2913</v>
      </c>
      <c r="P17" s="2947" t="s">
        <v>2914</v>
      </c>
      <c r="Q17" s="2947" t="s">
        <v>256</v>
      </c>
      <c r="R17" s="2947" t="s">
        <v>2915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2916</v>
      </c>
      <c r="P18" s="2947" t="s">
        <v>241</v>
      </c>
      <c r="Q18" s="2947" t="s">
        <v>2917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2918</v>
      </c>
      <c r="P19" s="2947" t="s">
        <v>249</v>
      </c>
      <c r="Q19" s="2947" t="s">
        <v>2919</v>
      </c>
      <c r="R19" s="2947" t="s">
        <v>265</v>
      </c>
      <c r="S19" s="2947" t="s">
        <v>2920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2921</v>
      </c>
      <c r="P20" s="2947" t="s">
        <v>2922</v>
      </c>
      <c r="Q20" s="2947" t="s">
        <v>290</v>
      </c>
      <c r="R20" s="2947" t="s">
        <v>2923</v>
      </c>
      <c r="S20" s="2947" t="s">
        <v>277</v>
      </c>
    </row>
    <row r="21" spans="1:19" ht="14.25" customHeight="1" thickBot="1">
      <c r="A21" s="2947" t="s">
        <v>184</v>
      </c>
      <c r="B21" s="2948" t="s">
        <v>208</v>
      </c>
      <c r="C21" s="2947">
        <v>32370</v>
      </c>
      <c r="D21" s="2947">
        <v>26730</v>
      </c>
      <c r="E21" s="2947">
        <v>26640</v>
      </c>
      <c r="F21" s="2947"/>
      <c r="G21" s="2947">
        <v>19440</v>
      </c>
      <c r="J21" s="2954" t="s">
        <v>2924</v>
      </c>
      <c r="K21" s="2948" t="s">
        <v>267</v>
      </c>
      <c r="L21" s="2947" t="s">
        <v>268</v>
      </c>
      <c r="M21" s="2947" t="s">
        <v>269</v>
      </c>
      <c r="N21" s="2947" t="s">
        <v>270</v>
      </c>
      <c r="O21" s="2947" t="s">
        <v>264</v>
      </c>
      <c r="P21" s="2947" t="s">
        <v>283</v>
      </c>
      <c r="Q21" s="2947" t="s">
        <v>293</v>
      </c>
      <c r="R21" s="2947" t="s">
        <v>2925</v>
      </c>
      <c r="S21" s="2954" t="s">
        <v>2926</v>
      </c>
    </row>
    <row r="22" spans="1:19" ht="14.25" customHeight="1">
      <c r="A22" s="2947" t="s">
        <v>184</v>
      </c>
      <c r="B22" s="2948" t="s">
        <v>2906</v>
      </c>
      <c r="C22" s="2947">
        <v>29830</v>
      </c>
      <c r="D22" s="2947">
        <v>27600</v>
      </c>
      <c r="E22" s="2947">
        <v>28150</v>
      </c>
      <c r="F22" s="2947"/>
      <c r="G22" s="2947">
        <v>20080</v>
      </c>
      <c r="K22" s="2948" t="s">
        <v>2927</v>
      </c>
      <c r="L22" s="2947" t="s">
        <v>272</v>
      </c>
      <c r="M22" s="2947" t="s">
        <v>273</v>
      </c>
      <c r="N22" s="2947" t="s">
        <v>274</v>
      </c>
      <c r="O22" s="2947" t="s">
        <v>2928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2929</v>
      </c>
      <c r="L23" s="2947" t="s">
        <v>278</v>
      </c>
      <c r="M23" s="2947" t="s">
        <v>279</v>
      </c>
      <c r="N23" s="2947" t="s">
        <v>2930</v>
      </c>
      <c r="O23" s="2947" t="s">
        <v>2931</v>
      </c>
      <c r="P23" s="2947" t="s">
        <v>289</v>
      </c>
      <c r="Q23" s="2947" t="s">
        <v>298</v>
      </c>
      <c r="R23" s="2947" t="s">
        <v>2932</v>
      </c>
    </row>
    <row r="24" spans="1:19" ht="14.25" customHeight="1">
      <c r="A24" s="2947" t="s">
        <v>184</v>
      </c>
      <c r="B24" s="2948" t="s">
        <v>230</v>
      </c>
      <c r="C24" s="2947">
        <v>27930</v>
      </c>
      <c r="D24" s="2947">
        <v>32260</v>
      </c>
      <c r="E24" s="2947">
        <v>32120</v>
      </c>
      <c r="F24" s="2947"/>
      <c r="G24" s="2947">
        <v>23470</v>
      </c>
      <c r="K24" s="2948" t="s">
        <v>2933</v>
      </c>
      <c r="L24" s="2947" t="s">
        <v>281</v>
      </c>
      <c r="M24" s="2947" t="s">
        <v>282</v>
      </c>
      <c r="N24" s="2947" t="s">
        <v>2934</v>
      </c>
      <c r="O24" s="2947" t="s">
        <v>285</v>
      </c>
      <c r="P24" s="2947" t="s">
        <v>2935</v>
      </c>
      <c r="Q24" s="2956" t="s">
        <v>2936</v>
      </c>
      <c r="R24" s="2947" t="s">
        <v>2937</v>
      </c>
    </row>
    <row r="25" spans="1:19" ht="14.25" customHeight="1">
      <c r="A25" s="2947" t="s">
        <v>184</v>
      </c>
      <c r="B25" s="2948" t="s">
        <v>235</v>
      </c>
      <c r="C25" s="2947">
        <v>32230</v>
      </c>
      <c r="D25" s="2947">
        <v>29640</v>
      </c>
      <c r="E25" s="2947">
        <v>29510</v>
      </c>
      <c r="F25" s="2947"/>
      <c r="G25" s="2947">
        <v>21560</v>
      </c>
      <c r="K25" s="2948" t="s">
        <v>2938</v>
      </c>
      <c r="L25" s="2947" t="s">
        <v>2939</v>
      </c>
      <c r="M25" s="2947" t="s">
        <v>284</v>
      </c>
      <c r="N25" s="2947" t="s">
        <v>292</v>
      </c>
      <c r="O25" s="2947" t="s">
        <v>288</v>
      </c>
      <c r="P25" s="2947" t="s">
        <v>275</v>
      </c>
      <c r="Q25" s="2956" t="s">
        <v>271</v>
      </c>
      <c r="R25" s="2947" t="s">
        <v>2940</v>
      </c>
    </row>
    <row r="26" spans="1:19" ht="14.25" customHeight="1" thickBot="1">
      <c r="A26" s="2947" t="s">
        <v>184</v>
      </c>
      <c r="B26" s="2948" t="s">
        <v>244</v>
      </c>
      <c r="C26" s="2947">
        <v>31690</v>
      </c>
      <c r="D26" s="2947">
        <v>27650</v>
      </c>
      <c r="E26" s="2947">
        <v>28200</v>
      </c>
      <c r="F26" s="2947"/>
      <c r="G26" s="2947">
        <v>20110</v>
      </c>
      <c r="K26" s="2953" t="s">
        <v>2941</v>
      </c>
      <c r="L26" s="2947" t="s">
        <v>2942</v>
      </c>
      <c r="M26" s="2947" t="s">
        <v>287</v>
      </c>
      <c r="N26" s="2947" t="s">
        <v>294</v>
      </c>
      <c r="O26" s="2947" t="s">
        <v>2943</v>
      </c>
      <c r="P26" s="2947" t="s">
        <v>2944</v>
      </c>
      <c r="Q26" s="2956" t="s">
        <v>276</v>
      </c>
      <c r="R26" s="2947" t="s">
        <v>2945</v>
      </c>
    </row>
    <row r="27" spans="1:19" ht="14.25" customHeight="1">
      <c r="A27" s="2947" t="s">
        <v>184</v>
      </c>
      <c r="B27" s="2948" t="s">
        <v>251</v>
      </c>
      <c r="C27" s="2947">
        <v>29610</v>
      </c>
      <c r="D27" s="2947">
        <v>27770</v>
      </c>
      <c r="E27" s="2947">
        <v>28300</v>
      </c>
      <c r="F27" s="2947"/>
      <c r="G27" s="2947">
        <v>20210</v>
      </c>
      <c r="L27" s="2947" t="s">
        <v>2946</v>
      </c>
      <c r="M27" s="2947" t="s">
        <v>291</v>
      </c>
      <c r="N27" s="2947" t="s">
        <v>297</v>
      </c>
      <c r="O27" s="2947" t="s">
        <v>2947</v>
      </c>
      <c r="P27" s="2947" t="s">
        <v>2948</v>
      </c>
      <c r="Q27" s="2947" t="s">
        <v>2949</v>
      </c>
      <c r="R27" s="2947" t="s">
        <v>2950</v>
      </c>
    </row>
    <row r="28" spans="1:19" ht="14.25" customHeight="1">
      <c r="A28" s="2947" t="s">
        <v>184</v>
      </c>
      <c r="B28" s="2948" t="s">
        <v>259</v>
      </c>
      <c r="C28" s="2947"/>
      <c r="D28" s="2947">
        <v>31520</v>
      </c>
      <c r="E28" s="2947">
        <v>31410</v>
      </c>
      <c r="F28" s="2947"/>
      <c r="G28" s="2947">
        <v>22940</v>
      </c>
      <c r="L28" s="2947" t="s">
        <v>2951</v>
      </c>
      <c r="M28" s="2947" t="s">
        <v>2952</v>
      </c>
      <c r="N28" s="2947" t="s">
        <v>2953</v>
      </c>
      <c r="O28" s="2947" t="s">
        <v>2954</v>
      </c>
      <c r="P28" s="2947" t="s">
        <v>2955</v>
      </c>
      <c r="Q28" s="2947" t="s">
        <v>2956</v>
      </c>
      <c r="R28" s="2947" t="s">
        <v>2957</v>
      </c>
    </row>
    <row r="29" spans="1:19" ht="14.25" customHeight="1" thickBot="1">
      <c r="A29" s="2955" t="s">
        <v>184</v>
      </c>
      <c r="B29" s="2957" t="s">
        <v>2924</v>
      </c>
      <c r="C29" s="2958"/>
      <c r="D29" s="2958">
        <v>29460</v>
      </c>
      <c r="E29" s="2958">
        <v>28640</v>
      </c>
      <c r="F29" s="2958"/>
      <c r="G29" s="2958">
        <v>21430</v>
      </c>
      <c r="L29" s="2947" t="s">
        <v>2958</v>
      </c>
      <c r="M29" s="2947" t="s">
        <v>2959</v>
      </c>
      <c r="N29" s="2947" t="s">
        <v>2960</v>
      </c>
      <c r="O29" s="2947" t="s">
        <v>2961</v>
      </c>
      <c r="P29" s="2947" t="s">
        <v>2962</v>
      </c>
      <c r="Q29" s="2947" t="s">
        <v>2963</v>
      </c>
      <c r="R29" s="2947" t="s">
        <v>280</v>
      </c>
    </row>
    <row r="30" spans="1:19" ht="14.25" customHeight="1">
      <c r="A30" s="2952" t="s">
        <v>296</v>
      </c>
      <c r="B30" s="2943" t="s">
        <v>2857</v>
      </c>
      <c r="C30" s="2943">
        <v>26890</v>
      </c>
      <c r="D30" s="2943">
        <v>26770</v>
      </c>
      <c r="E30" s="2943">
        <v>25700</v>
      </c>
      <c r="F30" s="2943">
        <v>8180</v>
      </c>
      <c r="G30" s="2959">
        <v>18740</v>
      </c>
      <c r="L30" s="2947" t="s">
        <v>2964</v>
      </c>
      <c r="M30" s="2947" t="s">
        <v>2965</v>
      </c>
      <c r="N30" s="2947" t="s">
        <v>2966</v>
      </c>
      <c r="O30" s="2947" t="s">
        <v>2967</v>
      </c>
      <c r="P30" s="2947" t="s">
        <v>2968</v>
      </c>
      <c r="Q30" s="2947" t="s">
        <v>2969</v>
      </c>
      <c r="R30" s="2947" t="s">
        <v>2970</v>
      </c>
    </row>
    <row r="31" spans="1:19" ht="14.25" customHeight="1">
      <c r="A31" s="2947" t="s">
        <v>296</v>
      </c>
      <c r="B31" s="2948" t="s">
        <v>129</v>
      </c>
      <c r="C31" s="2947">
        <v>24550</v>
      </c>
      <c r="D31" s="2947">
        <v>23990</v>
      </c>
      <c r="E31" s="2947">
        <v>22930</v>
      </c>
      <c r="F31" s="2947">
        <v>7470</v>
      </c>
      <c r="G31" s="2960">
        <v>16790</v>
      </c>
      <c r="L31" s="2947" t="s">
        <v>2971</v>
      </c>
      <c r="M31" s="2947" t="s">
        <v>2972</v>
      </c>
      <c r="N31" s="2947" t="s">
        <v>2973</v>
      </c>
      <c r="O31" s="2947" t="s">
        <v>2974</v>
      </c>
      <c r="P31" s="2947" t="s">
        <v>2975</v>
      </c>
      <c r="Q31" s="2947" t="s">
        <v>2976</v>
      </c>
      <c r="R31" s="2947" t="s">
        <v>2977</v>
      </c>
    </row>
    <row r="32" spans="1:19" ht="14.25" customHeight="1" thickBot="1">
      <c r="A32" s="2947" t="s">
        <v>296</v>
      </c>
      <c r="B32" s="2948" t="s">
        <v>138</v>
      </c>
      <c r="C32" s="2947">
        <v>27210</v>
      </c>
      <c r="D32" s="2947">
        <v>23240</v>
      </c>
      <c r="E32" s="2947">
        <v>23260</v>
      </c>
      <c r="F32" s="2947">
        <v>7130</v>
      </c>
      <c r="G32" s="2960">
        <v>16270</v>
      </c>
      <c r="L32" s="2947" t="s">
        <v>2978</v>
      </c>
      <c r="M32" s="2947" t="s">
        <v>2979</v>
      </c>
      <c r="N32" s="2947" t="s">
        <v>300</v>
      </c>
      <c r="O32" s="2947" t="s">
        <v>2980</v>
      </c>
      <c r="P32" s="2947" t="s">
        <v>299</v>
      </c>
      <c r="Q32" s="2947" t="s">
        <v>2981</v>
      </c>
      <c r="R32" s="2954" t="s">
        <v>2982</v>
      </c>
    </row>
    <row r="33" spans="1:17" ht="14.25" customHeight="1" thickBot="1">
      <c r="A33" s="2947" t="s">
        <v>296</v>
      </c>
      <c r="B33" s="2948" t="s">
        <v>147</v>
      </c>
      <c r="C33" s="2947">
        <v>27300</v>
      </c>
      <c r="D33" s="2947">
        <v>22980</v>
      </c>
      <c r="E33" s="2947">
        <v>24260</v>
      </c>
      <c r="F33" s="2947">
        <v>5860</v>
      </c>
      <c r="G33" s="2960">
        <v>16090</v>
      </c>
      <c r="L33" s="2954" t="s">
        <v>2983</v>
      </c>
      <c r="M33" s="2947" t="s">
        <v>2984</v>
      </c>
      <c r="N33" s="2947" t="s">
        <v>301</v>
      </c>
      <c r="O33" s="2947" t="s">
        <v>2985</v>
      </c>
      <c r="P33" s="2947" t="s">
        <v>2986</v>
      </c>
      <c r="Q33" s="2947" t="s">
        <v>2987</v>
      </c>
    </row>
    <row r="34" spans="1:17" ht="14.25" customHeight="1">
      <c r="A34" s="2947" t="s">
        <v>296</v>
      </c>
      <c r="B34" s="2948" t="s">
        <v>156</v>
      </c>
      <c r="C34" s="2947">
        <v>23090</v>
      </c>
      <c r="D34" s="2947">
        <v>23390</v>
      </c>
      <c r="E34" s="2947">
        <v>23510</v>
      </c>
      <c r="F34" s="2947">
        <v>6700</v>
      </c>
      <c r="G34" s="2960">
        <v>16370</v>
      </c>
      <c r="M34" s="2947" t="s">
        <v>2988</v>
      </c>
      <c r="N34" s="2947" t="s">
        <v>302</v>
      </c>
      <c r="O34" s="2947" t="s">
        <v>2989</v>
      </c>
      <c r="P34" s="2947" t="s">
        <v>2990</v>
      </c>
      <c r="Q34" s="2947" t="s">
        <v>2991</v>
      </c>
    </row>
    <row r="35" spans="1:17" ht="14.25" customHeight="1">
      <c r="A35" s="2947" t="s">
        <v>296</v>
      </c>
      <c r="B35" s="2948" t="s">
        <v>163</v>
      </c>
      <c r="C35" s="2947">
        <v>27270</v>
      </c>
      <c r="D35" s="2947">
        <v>24270</v>
      </c>
      <c r="E35" s="2947">
        <v>24950</v>
      </c>
      <c r="F35" s="2947">
        <v>6600</v>
      </c>
      <c r="G35" s="2960">
        <v>16990</v>
      </c>
      <c r="M35" s="2947" t="s">
        <v>2992</v>
      </c>
      <c r="N35" s="2947" t="s">
        <v>2993</v>
      </c>
      <c r="O35" s="2947" t="s">
        <v>2994</v>
      </c>
      <c r="P35" s="2947" t="s">
        <v>2995</v>
      </c>
      <c r="Q35" s="2947" t="s">
        <v>2996</v>
      </c>
    </row>
    <row r="36" spans="1:17" ht="14.25" customHeight="1">
      <c r="A36" s="2947" t="s">
        <v>296</v>
      </c>
      <c r="B36" s="2948" t="s">
        <v>169</v>
      </c>
      <c r="C36" s="2947">
        <v>23490</v>
      </c>
      <c r="D36" s="2947">
        <v>23020</v>
      </c>
      <c r="E36" s="2947">
        <v>25230</v>
      </c>
      <c r="F36" s="2947">
        <v>6780</v>
      </c>
      <c r="G36" s="2960">
        <v>16120</v>
      </c>
      <c r="M36" s="2947" t="s">
        <v>2997</v>
      </c>
      <c r="N36" s="2947" t="s">
        <v>2998</v>
      </c>
      <c r="O36" s="2947" t="s">
        <v>2999</v>
      </c>
      <c r="P36" s="2947" t="s">
        <v>3000</v>
      </c>
      <c r="Q36" s="2947" t="s">
        <v>3001</v>
      </c>
    </row>
    <row r="37" spans="1:17" ht="14.25" customHeight="1">
      <c r="A37" s="2947" t="s">
        <v>296</v>
      </c>
      <c r="B37" s="2948" t="s">
        <v>176</v>
      </c>
      <c r="C37" s="2947">
        <v>24380</v>
      </c>
      <c r="D37" s="2947">
        <v>22240</v>
      </c>
      <c r="E37" s="2947">
        <v>25980</v>
      </c>
      <c r="F37" s="2947">
        <v>8160</v>
      </c>
      <c r="G37" s="2960">
        <v>15570</v>
      </c>
      <c r="M37" s="2947" t="s">
        <v>3002</v>
      </c>
      <c r="N37" s="2947" t="s">
        <v>3003</v>
      </c>
      <c r="O37" s="2947" t="s">
        <v>3004</v>
      </c>
      <c r="P37" s="2947" t="s">
        <v>3005</v>
      </c>
      <c r="Q37" s="2947" t="s">
        <v>3006</v>
      </c>
    </row>
    <row r="38" spans="1:17" ht="14.25" customHeight="1">
      <c r="A38" s="2947" t="s">
        <v>296</v>
      </c>
      <c r="B38" s="2948" t="s">
        <v>186</v>
      </c>
      <c r="C38" s="2947">
        <v>23120</v>
      </c>
      <c r="D38" s="2947">
        <v>24630</v>
      </c>
      <c r="E38" s="2947">
        <v>25030</v>
      </c>
      <c r="F38" s="2947">
        <v>7710</v>
      </c>
      <c r="G38" s="2960">
        <v>17240</v>
      </c>
      <c r="M38" s="2947" t="s">
        <v>3007</v>
      </c>
      <c r="N38" s="2947" t="s">
        <v>3008</v>
      </c>
      <c r="O38" s="2947" t="s">
        <v>3009</v>
      </c>
      <c r="P38" s="2947" t="s">
        <v>3010</v>
      </c>
      <c r="Q38" s="2947" t="s">
        <v>3011</v>
      </c>
    </row>
    <row r="39" spans="1:17" ht="14.25" customHeight="1">
      <c r="A39" s="2947" t="s">
        <v>296</v>
      </c>
      <c r="B39" s="2948" t="s">
        <v>195</v>
      </c>
      <c r="C39" s="2947">
        <v>22330</v>
      </c>
      <c r="D39" s="2947">
        <v>21140</v>
      </c>
      <c r="E39" s="2947">
        <v>23970</v>
      </c>
      <c r="F39" s="2947">
        <v>7940</v>
      </c>
      <c r="G39" s="2960">
        <v>14790</v>
      </c>
      <c r="M39" s="2947" t="s">
        <v>3012</v>
      </c>
      <c r="N39" s="2947" t="s">
        <v>3013</v>
      </c>
      <c r="O39" s="2947" t="s">
        <v>3014</v>
      </c>
      <c r="P39" s="2947" t="s">
        <v>3015</v>
      </c>
      <c r="Q39" s="2947" t="s">
        <v>3016</v>
      </c>
    </row>
    <row r="40" spans="1:17" ht="14.25" customHeight="1">
      <c r="A40" s="2947" t="s">
        <v>296</v>
      </c>
      <c r="B40" s="2948" t="s">
        <v>202</v>
      </c>
      <c r="C40" s="2947">
        <v>24740</v>
      </c>
      <c r="D40" s="2947">
        <v>24690</v>
      </c>
      <c r="E40" s="2947">
        <v>22610</v>
      </c>
      <c r="F40" s="2947"/>
      <c r="G40" s="2960">
        <v>17280</v>
      </c>
      <c r="M40" s="2947" t="s">
        <v>3017</v>
      </c>
      <c r="N40" s="2947" t="s">
        <v>3018</v>
      </c>
      <c r="O40" s="2947" t="s">
        <v>3019</v>
      </c>
      <c r="P40" s="2947" t="s">
        <v>3020</v>
      </c>
      <c r="Q40" s="2947" t="s">
        <v>3021</v>
      </c>
    </row>
    <row r="41" spans="1:17" ht="14.25" customHeight="1" thickBot="1">
      <c r="A41" s="2947" t="s">
        <v>296</v>
      </c>
      <c r="B41" s="2948" t="s">
        <v>209</v>
      </c>
      <c r="C41" s="2947">
        <v>21220</v>
      </c>
      <c r="D41" s="2947">
        <v>21120</v>
      </c>
      <c r="E41" s="2947">
        <v>22590</v>
      </c>
      <c r="F41" s="2947"/>
      <c r="G41" s="2960">
        <v>14780</v>
      </c>
      <c r="M41" s="2954" t="s">
        <v>3022</v>
      </c>
      <c r="N41" s="2947" t="s">
        <v>3023</v>
      </c>
      <c r="O41" s="2947" t="s">
        <v>3024</v>
      </c>
      <c r="P41" s="2947" t="s">
        <v>3025</v>
      </c>
      <c r="Q41" s="2947" t="s">
        <v>3026</v>
      </c>
    </row>
    <row r="42" spans="1:17" ht="14.25" customHeight="1">
      <c r="A42" s="2947" t="s">
        <v>296</v>
      </c>
      <c r="B42" s="2948" t="s">
        <v>215</v>
      </c>
      <c r="C42" s="2947">
        <v>24800</v>
      </c>
      <c r="D42" s="2947">
        <v>22280</v>
      </c>
      <c r="E42" s="2947">
        <v>24350</v>
      </c>
      <c r="F42" s="2947"/>
      <c r="G42" s="2960">
        <v>15590</v>
      </c>
      <c r="N42" s="2947" t="s">
        <v>3027</v>
      </c>
      <c r="O42" s="2947" t="s">
        <v>3028</v>
      </c>
      <c r="P42" s="2947" t="s">
        <v>3029</v>
      </c>
      <c r="Q42" s="2947" t="s">
        <v>3030</v>
      </c>
    </row>
    <row r="43" spans="1:17" ht="14.25" customHeight="1">
      <c r="A43" s="2947" t="s">
        <v>3031</v>
      </c>
      <c r="B43" s="2948" t="s">
        <v>223</v>
      </c>
      <c r="C43" s="2947">
        <v>21210</v>
      </c>
      <c r="D43" s="2947">
        <v>21160</v>
      </c>
      <c r="E43" s="2947">
        <v>22650</v>
      </c>
      <c r="F43" s="2947"/>
      <c r="G43" s="2960">
        <v>14800</v>
      </c>
      <c r="N43" s="2947" t="s">
        <v>3032</v>
      </c>
      <c r="O43" s="2947" t="s">
        <v>3033</v>
      </c>
      <c r="P43" s="2947" t="s">
        <v>3034</v>
      </c>
      <c r="Q43" s="2947" t="s">
        <v>3035</v>
      </c>
    </row>
    <row r="44" spans="1:17" ht="14.25" customHeight="1" thickBot="1">
      <c r="A44" s="2947" t="s">
        <v>296</v>
      </c>
      <c r="B44" s="2948" t="s">
        <v>231</v>
      </c>
      <c r="C44" s="2947">
        <v>22370</v>
      </c>
      <c r="D44" s="2947">
        <v>23140</v>
      </c>
      <c r="E44" s="2947">
        <v>25090</v>
      </c>
      <c r="F44" s="2947"/>
      <c r="G44" s="2960">
        <v>16190</v>
      </c>
      <c r="N44" s="2947" t="s">
        <v>3036</v>
      </c>
      <c r="O44" s="2947" t="s">
        <v>3037</v>
      </c>
      <c r="P44" s="2954" t="s">
        <v>3038</v>
      </c>
      <c r="Q44" s="2947" t="s">
        <v>3039</v>
      </c>
    </row>
    <row r="45" spans="1:17" ht="14.25" customHeight="1" thickBot="1">
      <c r="A45" s="2947" t="s">
        <v>296</v>
      </c>
      <c r="B45" s="2948" t="s">
        <v>236</v>
      </c>
      <c r="C45" s="2947">
        <v>21240</v>
      </c>
      <c r="D45" s="2947">
        <v>27050</v>
      </c>
      <c r="E45" s="2947">
        <v>28000</v>
      </c>
      <c r="F45" s="2947"/>
      <c r="G45" s="2960">
        <v>18940</v>
      </c>
      <c r="N45" s="2947" t="s">
        <v>3040</v>
      </c>
      <c r="O45" s="2954" t="s">
        <v>3041</v>
      </c>
      <c r="Q45" s="2947" t="s">
        <v>3042</v>
      </c>
    </row>
    <row r="46" spans="1:17" ht="14.25" customHeight="1">
      <c r="A46" s="2947" t="s">
        <v>296</v>
      </c>
      <c r="B46" s="2948" t="s">
        <v>245</v>
      </c>
      <c r="C46" s="2947">
        <v>23240</v>
      </c>
      <c r="D46" s="2947">
        <v>23000</v>
      </c>
      <c r="E46" s="2947">
        <v>24980</v>
      </c>
      <c r="F46" s="2947"/>
      <c r="G46" s="2960">
        <v>16100</v>
      </c>
      <c r="N46" s="2947" t="s">
        <v>3043</v>
      </c>
      <c r="Q46" s="2947" t="s">
        <v>3044</v>
      </c>
    </row>
    <row r="47" spans="1:17" ht="14.25" customHeight="1">
      <c r="A47" s="2947" t="s">
        <v>296</v>
      </c>
      <c r="B47" s="2948" t="s">
        <v>252</v>
      </c>
      <c r="C47" s="2947">
        <v>27150</v>
      </c>
      <c r="D47" s="2947">
        <v>23310</v>
      </c>
      <c r="E47" s="2947">
        <v>25150</v>
      </c>
      <c r="F47" s="2947"/>
      <c r="G47" s="2960">
        <v>16310</v>
      </c>
      <c r="N47" s="2947" t="s">
        <v>3045</v>
      </c>
      <c r="Q47" s="2947" t="s">
        <v>3046</v>
      </c>
    </row>
    <row r="48" spans="1:17" ht="14.25" customHeight="1">
      <c r="A48" s="2947" t="s">
        <v>296</v>
      </c>
      <c r="B48" s="2948" t="s">
        <v>260</v>
      </c>
      <c r="C48" s="2947">
        <v>23100</v>
      </c>
      <c r="D48" s="2947">
        <v>21110</v>
      </c>
      <c r="E48" s="2947">
        <v>23080</v>
      </c>
      <c r="F48" s="2947"/>
      <c r="G48" s="2960">
        <v>14780</v>
      </c>
      <c r="N48" s="2947" t="s">
        <v>3047</v>
      </c>
      <c r="Q48" s="2947" t="s">
        <v>3048</v>
      </c>
    </row>
    <row r="49" spans="1:17" ht="14.25" customHeight="1">
      <c r="A49" s="2947" t="s">
        <v>296</v>
      </c>
      <c r="B49" s="2948" t="s">
        <v>267</v>
      </c>
      <c r="C49" s="2947">
        <v>23400</v>
      </c>
      <c r="D49" s="2947">
        <v>22920</v>
      </c>
      <c r="E49" s="2947">
        <v>24900</v>
      </c>
      <c r="F49" s="2947"/>
      <c r="G49" s="2960">
        <v>16040</v>
      </c>
      <c r="N49" s="2947" t="s">
        <v>3049</v>
      </c>
      <c r="Q49" s="2947" t="s">
        <v>3050</v>
      </c>
    </row>
    <row r="50" spans="1:17" ht="14.25" customHeight="1">
      <c r="A50" s="2947" t="s">
        <v>296</v>
      </c>
      <c r="B50" s="2948" t="s">
        <v>2927</v>
      </c>
      <c r="C50" s="2947">
        <v>21200</v>
      </c>
      <c r="D50" s="2947">
        <v>26540</v>
      </c>
      <c r="E50" s="2947">
        <v>23200</v>
      </c>
      <c r="F50" s="2947"/>
      <c r="G50" s="2960">
        <v>18580</v>
      </c>
      <c r="N50" s="2947" t="s">
        <v>3051</v>
      </c>
      <c r="Q50" s="2948" t="s">
        <v>3052</v>
      </c>
    </row>
    <row r="51" spans="1:17" ht="14.25" customHeight="1" thickBot="1">
      <c r="A51" s="2947" t="s">
        <v>296</v>
      </c>
      <c r="B51" s="2948" t="s">
        <v>2929</v>
      </c>
      <c r="C51" s="2947">
        <v>23000</v>
      </c>
      <c r="D51" s="2947">
        <v>23460</v>
      </c>
      <c r="E51" s="2947">
        <v>25290</v>
      </c>
      <c r="F51" s="2947"/>
      <c r="G51" s="2960">
        <v>16420</v>
      </c>
      <c r="N51" s="2947" t="s">
        <v>3053</v>
      </c>
      <c r="Q51" s="2954" t="s">
        <v>3054</v>
      </c>
    </row>
    <row r="52" spans="1:17" ht="14.25" customHeight="1">
      <c r="A52" s="2947" t="s">
        <v>296</v>
      </c>
      <c r="B52" s="2948" t="s">
        <v>2933</v>
      </c>
      <c r="C52" s="2947">
        <v>26660</v>
      </c>
      <c r="D52" s="2947">
        <v>22350</v>
      </c>
      <c r="E52" s="2947">
        <v>22920</v>
      </c>
      <c r="F52" s="2947"/>
      <c r="G52" s="2960">
        <v>15640</v>
      </c>
      <c r="N52" s="2947" t="s">
        <v>3055</v>
      </c>
    </row>
    <row r="53" spans="1:17" ht="14.25" customHeight="1">
      <c r="A53" s="2947" t="s">
        <v>296</v>
      </c>
      <c r="B53" s="2948" t="s">
        <v>2938</v>
      </c>
      <c r="C53" s="2947">
        <v>23580</v>
      </c>
      <c r="D53" s="2947"/>
      <c r="E53" s="2947">
        <v>24280</v>
      </c>
      <c r="F53" s="2947"/>
      <c r="G53" s="2960"/>
      <c r="N53" s="2947" t="s">
        <v>3056</v>
      </c>
    </row>
    <row r="54" spans="1:17" ht="14.25" customHeight="1" thickBot="1">
      <c r="A54" s="2961" t="s">
        <v>296</v>
      </c>
      <c r="B54" s="2953" t="s">
        <v>2941</v>
      </c>
      <c r="C54" s="2954">
        <v>22460</v>
      </c>
      <c r="D54" s="2954"/>
      <c r="E54" s="2954"/>
      <c r="F54" s="2954"/>
      <c r="G54" s="2962"/>
      <c r="N54" s="2947" t="s">
        <v>3057</v>
      </c>
    </row>
    <row r="55" spans="1:17" ht="14.25" customHeight="1">
      <c r="A55" s="2952" t="s">
        <v>110</v>
      </c>
      <c r="B55" s="2943" t="s">
        <v>3058</v>
      </c>
      <c r="C55" s="2947">
        <v>21970</v>
      </c>
      <c r="D55" s="2947">
        <v>20370</v>
      </c>
      <c r="E55" s="2947">
        <v>20180</v>
      </c>
      <c r="F55" s="2947">
        <v>5730</v>
      </c>
      <c r="G55" s="2947">
        <v>13820</v>
      </c>
      <c r="N55" s="2947" t="s">
        <v>3059</v>
      </c>
    </row>
    <row r="56" spans="1:17" ht="14.25" customHeight="1">
      <c r="A56" s="2947" t="s">
        <v>110</v>
      </c>
      <c r="B56" s="2947" t="s">
        <v>130</v>
      </c>
      <c r="C56" s="2947">
        <v>20470</v>
      </c>
      <c r="D56" s="2947">
        <v>20700</v>
      </c>
      <c r="E56" s="2947">
        <v>20380</v>
      </c>
      <c r="F56" s="2947">
        <v>4760</v>
      </c>
      <c r="G56" s="2947">
        <v>14050</v>
      </c>
      <c r="N56" s="2947" t="s">
        <v>3060</v>
      </c>
    </row>
    <row r="57" spans="1:17" ht="14.25" customHeight="1">
      <c r="A57" s="2947" t="s">
        <v>110</v>
      </c>
      <c r="B57" s="2947" t="s">
        <v>139</v>
      </c>
      <c r="C57" s="2947">
        <v>20790</v>
      </c>
      <c r="D57" s="2947">
        <v>21370</v>
      </c>
      <c r="E57" s="2947">
        <v>20890</v>
      </c>
      <c r="F57" s="2947">
        <v>4910</v>
      </c>
      <c r="G57" s="2947">
        <v>14510</v>
      </c>
      <c r="N57" s="2947" t="s">
        <v>3061</v>
      </c>
    </row>
    <row r="58" spans="1:17" ht="14.25" customHeight="1">
      <c r="A58" s="2947" t="s">
        <v>110</v>
      </c>
      <c r="B58" s="2947" t="s">
        <v>148</v>
      </c>
      <c r="C58" s="2947">
        <v>21460</v>
      </c>
      <c r="D58" s="2947">
        <v>20920</v>
      </c>
      <c r="E58" s="2947">
        <v>23410</v>
      </c>
      <c r="F58" s="2947">
        <v>5100</v>
      </c>
      <c r="G58" s="2947">
        <v>14200</v>
      </c>
      <c r="N58" s="2947" t="s">
        <v>3062</v>
      </c>
    </row>
    <row r="59" spans="1:17" ht="14.25" customHeight="1">
      <c r="A59" s="2947" t="s">
        <v>110</v>
      </c>
      <c r="B59" s="2947" t="s">
        <v>157</v>
      </c>
      <c r="C59" s="2947">
        <v>21000</v>
      </c>
      <c r="D59" s="2947">
        <v>21550</v>
      </c>
      <c r="E59" s="2947">
        <v>21150</v>
      </c>
      <c r="F59" s="2947">
        <v>5250</v>
      </c>
      <c r="G59" s="2947">
        <v>14630</v>
      </c>
      <c r="N59" s="2947" t="s">
        <v>3063</v>
      </c>
    </row>
    <row r="60" spans="1:17" ht="14.25" customHeight="1">
      <c r="A60" s="2947" t="s">
        <v>110</v>
      </c>
      <c r="B60" s="2947" t="s">
        <v>164</v>
      </c>
      <c r="C60" s="2947">
        <v>21640</v>
      </c>
      <c r="D60" s="2947">
        <v>21260</v>
      </c>
      <c r="E60" s="2947">
        <v>24040</v>
      </c>
      <c r="F60" s="2947">
        <v>4470</v>
      </c>
      <c r="G60" s="2947">
        <v>14430</v>
      </c>
      <c r="N60" s="2947" t="s">
        <v>3064</v>
      </c>
    </row>
    <row r="61" spans="1:17" ht="14.25" customHeight="1">
      <c r="A61" s="2947" t="s">
        <v>110</v>
      </c>
      <c r="B61" s="2947" t="s">
        <v>170</v>
      </c>
      <c r="C61" s="2947">
        <v>21330</v>
      </c>
      <c r="D61" s="2947">
        <v>18640</v>
      </c>
      <c r="E61" s="2947">
        <v>21190</v>
      </c>
      <c r="F61" s="2947">
        <v>4180</v>
      </c>
      <c r="G61" s="2947">
        <v>12650</v>
      </c>
      <c r="N61" s="2947" t="s">
        <v>3065</v>
      </c>
    </row>
    <row r="62" spans="1:17" ht="14.25" customHeight="1">
      <c r="A62" s="2947" t="s">
        <v>110</v>
      </c>
      <c r="B62" s="2947" t="s">
        <v>177</v>
      </c>
      <c r="C62" s="2947">
        <v>18710</v>
      </c>
      <c r="D62" s="2947">
        <v>19400</v>
      </c>
      <c r="E62" s="2947">
        <v>23750</v>
      </c>
      <c r="F62" s="2947">
        <v>4860</v>
      </c>
      <c r="G62" s="2947">
        <v>13170</v>
      </c>
      <c r="N62" s="2947" t="s">
        <v>3066</v>
      </c>
    </row>
    <row r="63" spans="1:17" ht="14.25" customHeight="1">
      <c r="A63" s="2947" t="s">
        <v>110</v>
      </c>
      <c r="B63" s="2947" t="s">
        <v>187</v>
      </c>
      <c r="C63" s="2947">
        <v>19480</v>
      </c>
      <c r="D63" s="2947">
        <v>16830</v>
      </c>
      <c r="E63" s="2947">
        <v>21590</v>
      </c>
      <c r="F63" s="2947">
        <v>4560</v>
      </c>
      <c r="G63" s="2947">
        <v>11420</v>
      </c>
      <c r="N63" s="2947" t="s">
        <v>3067</v>
      </c>
    </row>
    <row r="64" spans="1:17" ht="14.25" customHeight="1" thickBot="1">
      <c r="A64" s="2947" t="s">
        <v>110</v>
      </c>
      <c r="B64" s="2947" t="s">
        <v>196</v>
      </c>
      <c r="C64" s="2947">
        <v>16920</v>
      </c>
      <c r="D64" s="2947">
        <v>19190</v>
      </c>
      <c r="E64" s="2947">
        <v>22200</v>
      </c>
      <c r="F64" s="2947">
        <v>4390</v>
      </c>
      <c r="G64" s="2947">
        <v>13030</v>
      </c>
      <c r="N64" s="2954" t="s">
        <v>3068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2939</v>
      </c>
      <c r="C78" s="2947">
        <v>19820</v>
      </c>
      <c r="D78" s="2947">
        <v>19780</v>
      </c>
      <c r="E78" s="2947">
        <v>18560</v>
      </c>
      <c r="F78" s="2947"/>
      <c r="G78" s="2947">
        <v>13430</v>
      </c>
    </row>
    <row r="79" spans="1:7" s="2781" customFormat="1" ht="14.25" customHeight="1">
      <c r="A79" s="2947" t="s">
        <v>110</v>
      </c>
      <c r="B79" s="2947" t="s">
        <v>2942</v>
      </c>
      <c r="C79" s="2947">
        <v>21660</v>
      </c>
      <c r="D79" s="2947">
        <v>18000</v>
      </c>
      <c r="E79" s="2947">
        <v>22570</v>
      </c>
      <c r="F79" s="2947"/>
      <c r="G79" s="2947">
        <v>12220</v>
      </c>
    </row>
    <row r="80" spans="1:7" s="2781" customFormat="1" ht="14.25" customHeight="1">
      <c r="A80" s="2947" t="s">
        <v>110</v>
      </c>
      <c r="B80" s="2947" t="s">
        <v>2946</v>
      </c>
      <c r="C80" s="2947">
        <v>19850</v>
      </c>
      <c r="D80" s="2947"/>
      <c r="E80" s="2947">
        <v>21700</v>
      </c>
      <c r="F80" s="2947"/>
      <c r="G80" s="2947"/>
    </row>
    <row r="81" spans="1:7" s="2781" customFormat="1" ht="14.25" customHeight="1">
      <c r="A81" s="2947" t="s">
        <v>110</v>
      </c>
      <c r="B81" s="2947" t="s">
        <v>2951</v>
      </c>
      <c r="C81" s="2947">
        <v>18080</v>
      </c>
      <c r="D81" s="2947"/>
      <c r="E81" s="2947">
        <v>20900</v>
      </c>
      <c r="F81" s="2947"/>
      <c r="G81" s="2947"/>
    </row>
    <row r="82" spans="1:7" s="2781" customFormat="1" ht="14.25" customHeight="1">
      <c r="A82" s="2947" t="s">
        <v>110</v>
      </c>
      <c r="B82" s="2947" t="s">
        <v>2958</v>
      </c>
      <c r="C82" s="2947"/>
      <c r="D82" s="2947"/>
      <c r="E82" s="2947">
        <v>20840</v>
      </c>
      <c r="F82" s="2947"/>
      <c r="G82" s="2947"/>
    </row>
    <row r="83" spans="1:7" s="2781" customFormat="1" ht="14.25" customHeight="1">
      <c r="A83" s="2947" t="s">
        <v>110</v>
      </c>
      <c r="B83" s="2947" t="s">
        <v>3069</v>
      </c>
      <c r="C83" s="2947"/>
      <c r="D83" s="2947"/>
      <c r="E83" s="2947"/>
      <c r="F83" s="2947">
        <v>4770</v>
      </c>
      <c r="G83" s="2947"/>
    </row>
    <row r="84" spans="1:7" s="2781" customFormat="1" ht="14.25" customHeight="1">
      <c r="A84" s="2947" t="s">
        <v>110</v>
      </c>
      <c r="B84" s="2947" t="s">
        <v>3070</v>
      </c>
      <c r="C84" s="2947"/>
      <c r="D84" s="2947"/>
      <c r="E84" s="2947"/>
      <c r="F84" s="2947">
        <v>4600</v>
      </c>
      <c r="G84" s="2947"/>
    </row>
    <row r="85" spans="1:7" s="2781" customFormat="1" ht="14.25" customHeight="1">
      <c r="A85" s="2947" t="s">
        <v>110</v>
      </c>
      <c r="B85" s="2947" t="s">
        <v>3071</v>
      </c>
      <c r="C85" s="2947"/>
      <c r="D85" s="2947"/>
      <c r="E85" s="2947"/>
      <c r="F85" s="2947">
        <v>4680</v>
      </c>
      <c r="G85" s="2947"/>
    </row>
    <row r="86" spans="1:7" s="2781" customFormat="1" ht="14.25" customHeight="1" thickBot="1">
      <c r="A86" s="2955" t="s">
        <v>110</v>
      </c>
      <c r="B86" s="2957" t="s">
        <v>3072</v>
      </c>
      <c r="C86" s="2958">
        <v>16610</v>
      </c>
      <c r="D86" s="2958">
        <v>16540</v>
      </c>
      <c r="E86" s="2958">
        <v>18850</v>
      </c>
      <c r="F86" s="2958"/>
      <c r="G86" s="2958">
        <v>11220</v>
      </c>
    </row>
    <row r="87" spans="1:7" s="2781" customFormat="1" ht="14.25" customHeight="1">
      <c r="A87" s="2952" t="s">
        <v>303</v>
      </c>
      <c r="B87" s="2943" t="s">
        <v>3073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2952</v>
      </c>
      <c r="C113" s="2947">
        <v>15520</v>
      </c>
      <c r="D113" s="2947">
        <v>15450</v>
      </c>
      <c r="E113" s="2947"/>
      <c r="F113" s="2947"/>
      <c r="G113" s="2960">
        <v>10210</v>
      </c>
    </row>
    <row r="114" spans="1:7" s="2781" customFormat="1" ht="14.25" customHeight="1">
      <c r="A114" s="2947" t="s">
        <v>303</v>
      </c>
      <c r="B114" s="2947" t="s">
        <v>2959</v>
      </c>
      <c r="C114" s="2947">
        <v>13110</v>
      </c>
      <c r="D114" s="2947">
        <v>13050</v>
      </c>
      <c r="E114" s="2947"/>
      <c r="F114" s="2947"/>
      <c r="G114" s="2960">
        <v>8620</v>
      </c>
    </row>
    <row r="115" spans="1:7" s="2781" customFormat="1" ht="14.25" customHeight="1">
      <c r="A115" s="2947" t="s">
        <v>303</v>
      </c>
      <c r="B115" s="2947" t="s">
        <v>2965</v>
      </c>
      <c r="C115" s="2947">
        <v>12460</v>
      </c>
      <c r="D115" s="2947">
        <v>12390</v>
      </c>
      <c r="E115" s="2947"/>
      <c r="F115" s="2947"/>
      <c r="G115" s="2960">
        <v>8190</v>
      </c>
    </row>
    <row r="116" spans="1:7" s="2781" customFormat="1" ht="14.25" customHeight="1">
      <c r="A116" s="2947" t="s">
        <v>303</v>
      </c>
      <c r="B116" s="2947" t="s">
        <v>2972</v>
      </c>
      <c r="C116" s="2947">
        <v>13580</v>
      </c>
      <c r="D116" s="2947">
        <v>13520</v>
      </c>
      <c r="E116" s="2947"/>
      <c r="F116" s="2947"/>
      <c r="G116" s="2960">
        <v>8930</v>
      </c>
    </row>
    <row r="117" spans="1:7" s="2781" customFormat="1" ht="14.25" customHeight="1">
      <c r="A117" s="2947" t="s">
        <v>303</v>
      </c>
      <c r="B117" s="2947" t="s">
        <v>2979</v>
      </c>
      <c r="C117" s="2947">
        <v>17120</v>
      </c>
      <c r="D117" s="2947">
        <v>17040</v>
      </c>
      <c r="E117" s="2947"/>
      <c r="F117" s="2947"/>
      <c r="G117" s="2960">
        <v>11260</v>
      </c>
    </row>
    <row r="118" spans="1:7" s="2781" customFormat="1" ht="14.25" customHeight="1">
      <c r="A118" s="2947" t="s">
        <v>303</v>
      </c>
      <c r="B118" s="2947" t="s">
        <v>2984</v>
      </c>
      <c r="C118" s="2947">
        <v>14860</v>
      </c>
      <c r="D118" s="2947">
        <v>14790</v>
      </c>
      <c r="E118" s="2947"/>
      <c r="F118" s="2947"/>
      <c r="G118" s="2960">
        <v>9780</v>
      </c>
    </row>
    <row r="119" spans="1:7" s="2781" customFormat="1" ht="14.25" customHeight="1">
      <c r="A119" s="2947" t="s">
        <v>303</v>
      </c>
      <c r="B119" s="2947" t="s">
        <v>2988</v>
      </c>
      <c r="C119" s="2947">
        <v>16470</v>
      </c>
      <c r="D119" s="2947">
        <v>16400</v>
      </c>
      <c r="E119" s="2947"/>
      <c r="F119" s="2947"/>
      <c r="G119" s="2960">
        <v>10840</v>
      </c>
    </row>
    <row r="120" spans="1:7" s="2781" customFormat="1" ht="14.25" customHeight="1">
      <c r="A120" s="2947" t="s">
        <v>303</v>
      </c>
      <c r="B120" s="2947" t="s">
        <v>3074</v>
      </c>
      <c r="C120" s="2947"/>
      <c r="D120" s="2947"/>
      <c r="E120" s="2947"/>
      <c r="F120" s="2947">
        <v>4160</v>
      </c>
      <c r="G120" s="2960"/>
    </row>
    <row r="121" spans="1:7" s="2781" customFormat="1" ht="14.25" customHeight="1">
      <c r="A121" s="2947" t="s">
        <v>303</v>
      </c>
      <c r="B121" s="2947" t="s">
        <v>3075</v>
      </c>
      <c r="C121" s="2947"/>
      <c r="D121" s="2947"/>
      <c r="E121" s="2947"/>
      <c r="F121" s="2947">
        <v>3880</v>
      </c>
      <c r="G121" s="2960"/>
    </row>
    <row r="122" spans="1:7" s="2781" customFormat="1" ht="14.25" customHeight="1">
      <c r="A122" s="2947" t="s">
        <v>303</v>
      </c>
      <c r="B122" s="2947" t="s">
        <v>3076</v>
      </c>
      <c r="C122" s="2947">
        <v>13750</v>
      </c>
      <c r="D122" s="2947">
        <v>13680</v>
      </c>
      <c r="E122" s="2947">
        <v>16460</v>
      </c>
      <c r="F122" s="2947">
        <v>2880</v>
      </c>
      <c r="G122" s="2960">
        <v>9040</v>
      </c>
    </row>
    <row r="123" spans="1:7" s="2781" customFormat="1" ht="14.25" customHeight="1">
      <c r="A123" s="2947" t="s">
        <v>303</v>
      </c>
      <c r="B123" s="2947" t="s">
        <v>3007</v>
      </c>
      <c r="C123" s="2947">
        <v>13590</v>
      </c>
      <c r="D123" s="2947">
        <v>13520</v>
      </c>
      <c r="E123" s="2947">
        <v>16290</v>
      </c>
      <c r="F123" s="2947">
        <v>2790</v>
      </c>
      <c r="G123" s="2960">
        <v>8930</v>
      </c>
    </row>
    <row r="124" spans="1:7" s="2781" customFormat="1" ht="14.25" customHeight="1">
      <c r="A124" s="2947" t="s">
        <v>303</v>
      </c>
      <c r="B124" s="2947" t="s">
        <v>3012</v>
      </c>
      <c r="C124" s="2947">
        <v>13400</v>
      </c>
      <c r="D124" s="2947">
        <v>13320</v>
      </c>
      <c r="E124" s="2947">
        <v>16100</v>
      </c>
      <c r="F124" s="2947">
        <v>2320</v>
      </c>
      <c r="G124" s="2960">
        <v>8800</v>
      </c>
    </row>
    <row r="125" spans="1:7" s="2781" customFormat="1" ht="14.25" customHeight="1">
      <c r="A125" s="2947" t="s">
        <v>303</v>
      </c>
      <c r="B125" s="2947" t="s">
        <v>3017</v>
      </c>
      <c r="C125" s="2947">
        <v>12860</v>
      </c>
      <c r="D125" s="2947">
        <v>12790</v>
      </c>
      <c r="E125" s="2947">
        <v>15370</v>
      </c>
      <c r="F125" s="2947">
        <v>2280</v>
      </c>
      <c r="G125" s="2960">
        <v>8450</v>
      </c>
    </row>
    <row r="126" spans="1:7" s="2781" customFormat="1" ht="14.25" customHeight="1" thickBot="1">
      <c r="A126" s="2961" t="s">
        <v>303</v>
      </c>
      <c r="B126" s="2954" t="s">
        <v>3022</v>
      </c>
      <c r="C126" s="2954">
        <v>12960</v>
      </c>
      <c r="D126" s="2954">
        <v>12890</v>
      </c>
      <c r="E126" s="2954">
        <v>15530</v>
      </c>
      <c r="F126" s="2954">
        <v>2910</v>
      </c>
      <c r="G126" s="2962">
        <v>8520</v>
      </c>
    </row>
    <row r="127" spans="1:7" s="2781" customFormat="1" ht="14.25" customHeight="1">
      <c r="A127" s="2952" t="s">
        <v>29</v>
      </c>
      <c r="B127" s="2943" t="s">
        <v>3077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3078</v>
      </c>
      <c r="C148" s="2947">
        <v>10370</v>
      </c>
      <c r="D148" s="2947">
        <v>10310</v>
      </c>
      <c r="E148" s="2947">
        <v>12970</v>
      </c>
      <c r="F148" s="2947"/>
      <c r="G148" s="2947">
        <v>6630</v>
      </c>
    </row>
    <row r="149" spans="1:7" s="2781" customFormat="1" ht="14.25" customHeight="1">
      <c r="A149" s="2947" t="s">
        <v>29</v>
      </c>
      <c r="B149" s="2947" t="s">
        <v>3079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2953</v>
      </c>
      <c r="C153" s="2947">
        <v>10880</v>
      </c>
      <c r="D153" s="2947">
        <v>10820</v>
      </c>
      <c r="E153" s="2947">
        <v>13660</v>
      </c>
      <c r="F153" s="2947">
        <v>2260</v>
      </c>
      <c r="G153" s="2947">
        <v>6970</v>
      </c>
    </row>
    <row r="154" spans="1:7" s="2781" customFormat="1" ht="14.25" customHeight="1">
      <c r="A154" s="2947" t="s">
        <v>29</v>
      </c>
      <c r="B154" s="2947" t="s">
        <v>3080</v>
      </c>
      <c r="C154" s="2947">
        <v>11220</v>
      </c>
      <c r="D154" s="2947">
        <v>11160</v>
      </c>
      <c r="E154" s="2947">
        <v>14130</v>
      </c>
      <c r="F154" s="2947">
        <v>2230</v>
      </c>
      <c r="G154" s="2947">
        <v>7180</v>
      </c>
    </row>
    <row r="155" spans="1:7" s="2781" customFormat="1" ht="14.25" customHeight="1">
      <c r="A155" s="2947" t="s">
        <v>29</v>
      </c>
      <c r="B155" s="2947" t="s">
        <v>2966</v>
      </c>
      <c r="C155" s="2947">
        <v>10430</v>
      </c>
      <c r="D155" s="2947">
        <v>10380</v>
      </c>
      <c r="E155" s="2947">
        <v>13140</v>
      </c>
      <c r="F155" s="2947">
        <v>2080</v>
      </c>
      <c r="G155" s="2947">
        <v>6650</v>
      </c>
    </row>
    <row r="156" spans="1:7" s="2781" customFormat="1" ht="14.25" customHeight="1">
      <c r="A156" s="2947" t="s">
        <v>29</v>
      </c>
      <c r="B156" s="2947" t="s">
        <v>3081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3082</v>
      </c>
      <c r="C160" s="2947">
        <v>11180</v>
      </c>
      <c r="D160" s="2947">
        <v>11140</v>
      </c>
      <c r="E160" s="2947">
        <v>14050</v>
      </c>
      <c r="F160" s="2947">
        <v>2270</v>
      </c>
      <c r="G160" s="2947">
        <v>7170</v>
      </c>
    </row>
    <row r="161" spans="1:7" s="2781" customFormat="1" ht="14.25" customHeight="1">
      <c r="A161" s="2947" t="s">
        <v>29</v>
      </c>
      <c r="B161" s="2947" t="s">
        <v>2998</v>
      </c>
      <c r="C161" s="2947">
        <v>11160</v>
      </c>
      <c r="D161" s="2947">
        <v>11120</v>
      </c>
      <c r="E161" s="2947">
        <v>14020</v>
      </c>
      <c r="F161" s="2947">
        <v>2150</v>
      </c>
      <c r="G161" s="2947">
        <v>7160</v>
      </c>
    </row>
    <row r="162" spans="1:7" s="2781" customFormat="1" ht="14.25" customHeight="1">
      <c r="A162" s="2947" t="s">
        <v>29</v>
      </c>
      <c r="B162" s="2947" t="s">
        <v>3003</v>
      </c>
      <c r="C162" s="2947">
        <v>9620</v>
      </c>
      <c r="D162" s="2947">
        <v>9570</v>
      </c>
      <c r="E162" s="2947">
        <v>12320</v>
      </c>
      <c r="F162" s="2947">
        <v>2010</v>
      </c>
      <c r="G162" s="2947">
        <v>6160</v>
      </c>
    </row>
    <row r="163" spans="1:7" s="2781" customFormat="1" ht="14.25" customHeight="1">
      <c r="A163" s="2947" t="s">
        <v>29</v>
      </c>
      <c r="B163" s="2947" t="s">
        <v>3008</v>
      </c>
      <c r="C163" s="2947">
        <v>9320</v>
      </c>
      <c r="D163" s="2947">
        <v>9270</v>
      </c>
      <c r="E163" s="2947">
        <v>11790</v>
      </c>
      <c r="F163" s="2947">
        <v>1920</v>
      </c>
      <c r="G163" s="2947">
        <v>5960</v>
      </c>
    </row>
    <row r="164" spans="1:7" s="2781" customFormat="1" ht="14.25" customHeight="1">
      <c r="A164" s="2947" t="s">
        <v>29</v>
      </c>
      <c r="B164" s="2947" t="s">
        <v>3013</v>
      </c>
      <c r="C164" s="2947"/>
      <c r="D164" s="2947"/>
      <c r="E164" s="2947"/>
      <c r="F164" s="2947">
        <v>1980</v>
      </c>
      <c r="G164" s="2947"/>
    </row>
    <row r="165" spans="1:7" s="2781" customFormat="1" ht="14.25" customHeight="1">
      <c r="A165" s="2947" t="s">
        <v>29</v>
      </c>
      <c r="B165" s="2947" t="s">
        <v>3083</v>
      </c>
      <c r="C165" s="2947">
        <v>11060</v>
      </c>
      <c r="D165" s="2947">
        <v>11030</v>
      </c>
      <c r="E165" s="2947">
        <v>13850</v>
      </c>
      <c r="F165" s="2947">
        <v>2170</v>
      </c>
      <c r="G165" s="2947">
        <v>7090</v>
      </c>
    </row>
    <row r="166" spans="1:7" s="2781" customFormat="1" ht="14.25" customHeight="1">
      <c r="A166" s="2947" t="s">
        <v>29</v>
      </c>
      <c r="B166" s="2947" t="s">
        <v>3023</v>
      </c>
      <c r="C166" s="2947">
        <v>11050</v>
      </c>
      <c r="D166" s="2947">
        <v>11010</v>
      </c>
      <c r="E166" s="2947">
        <v>13920</v>
      </c>
      <c r="F166" s="2947">
        <v>2140</v>
      </c>
      <c r="G166" s="2947">
        <v>7080</v>
      </c>
    </row>
    <row r="167" spans="1:7" s="2781" customFormat="1" ht="14.25" customHeight="1">
      <c r="A167" s="2947" t="s">
        <v>29</v>
      </c>
      <c r="B167" s="2947" t="s">
        <v>3027</v>
      </c>
      <c r="C167" s="2947">
        <v>10930</v>
      </c>
      <c r="D167" s="2947">
        <v>10890</v>
      </c>
      <c r="E167" s="2947">
        <v>13790</v>
      </c>
      <c r="F167" s="2947">
        <v>2010</v>
      </c>
      <c r="G167" s="2947">
        <v>7000</v>
      </c>
    </row>
    <row r="168" spans="1:7" s="2781" customFormat="1" ht="14.25" customHeight="1">
      <c r="A168" s="2947" t="s">
        <v>29</v>
      </c>
      <c r="B168" s="2947" t="s">
        <v>3032</v>
      </c>
      <c r="C168" s="2947">
        <v>9420</v>
      </c>
      <c r="D168" s="2947">
        <v>9380</v>
      </c>
      <c r="E168" s="2947">
        <v>11970</v>
      </c>
      <c r="F168" s="2947"/>
      <c r="G168" s="2947">
        <v>6040</v>
      </c>
    </row>
    <row r="169" spans="1:7" s="2781" customFormat="1" ht="14.25" customHeight="1">
      <c r="A169" s="2947" t="s">
        <v>29</v>
      </c>
      <c r="B169" s="2947" t="s">
        <v>3084</v>
      </c>
      <c r="C169" s="2947"/>
      <c r="D169" s="2947"/>
      <c r="E169" s="2947"/>
      <c r="F169" s="2947">
        <v>2880</v>
      </c>
      <c r="G169" s="2947"/>
    </row>
    <row r="170" spans="1:7" s="2781" customFormat="1" ht="14.25" customHeight="1">
      <c r="A170" s="2947" t="s">
        <v>29</v>
      </c>
      <c r="B170" s="2947" t="s">
        <v>3040</v>
      </c>
      <c r="C170" s="2947"/>
      <c r="D170" s="2947"/>
      <c r="E170" s="2947"/>
      <c r="F170" s="2947">
        <v>2880</v>
      </c>
      <c r="G170" s="2947"/>
    </row>
    <row r="171" spans="1:7" s="2781" customFormat="1" ht="14.25" customHeight="1">
      <c r="A171" s="2947" t="s">
        <v>29</v>
      </c>
      <c r="B171" s="2947" t="s">
        <v>3043</v>
      </c>
      <c r="C171" s="2947"/>
      <c r="D171" s="2947"/>
      <c r="E171" s="2947"/>
      <c r="F171" s="2947">
        <v>2880</v>
      </c>
      <c r="G171" s="2947"/>
    </row>
    <row r="172" spans="1:7" s="2781" customFormat="1" ht="14.25" customHeight="1">
      <c r="A172" s="2947" t="s">
        <v>29</v>
      </c>
      <c r="B172" s="2947" t="s">
        <v>3045</v>
      </c>
      <c r="C172" s="2947"/>
      <c r="D172" s="2947"/>
      <c r="E172" s="2947"/>
      <c r="F172" s="2947">
        <v>2880</v>
      </c>
      <c r="G172" s="2947"/>
    </row>
    <row r="173" spans="1:7" s="2781" customFormat="1" ht="14.25" customHeight="1">
      <c r="A173" s="2947" t="s">
        <v>29</v>
      </c>
      <c r="B173" s="2947" t="s">
        <v>3047</v>
      </c>
      <c r="C173" s="2947"/>
      <c r="D173" s="2947"/>
      <c r="E173" s="2947"/>
      <c r="F173" s="2947">
        <v>2150</v>
      </c>
      <c r="G173" s="2947"/>
    </row>
    <row r="174" spans="1:7" s="2781" customFormat="1" ht="14.25" customHeight="1">
      <c r="A174" s="2947" t="s">
        <v>29</v>
      </c>
      <c r="B174" s="2947" t="s">
        <v>3049</v>
      </c>
      <c r="C174" s="2947"/>
      <c r="D174" s="2947"/>
      <c r="E174" s="2947"/>
      <c r="F174" s="2947">
        <v>2030</v>
      </c>
      <c r="G174" s="2947"/>
    </row>
    <row r="175" spans="1:7" s="2781" customFormat="1" ht="14.25" customHeight="1">
      <c r="A175" s="2947" t="s">
        <v>29</v>
      </c>
      <c r="B175" s="2947" t="s">
        <v>3051</v>
      </c>
      <c r="C175" s="2947"/>
      <c r="D175" s="2947"/>
      <c r="E175" s="2947"/>
      <c r="F175" s="2947">
        <v>2780</v>
      </c>
      <c r="G175" s="2947"/>
    </row>
    <row r="176" spans="1:7" s="2781" customFormat="1" ht="14.25" customHeight="1">
      <c r="A176" s="2947" t="s">
        <v>29</v>
      </c>
      <c r="B176" s="2947" t="s">
        <v>3053</v>
      </c>
      <c r="C176" s="2947"/>
      <c r="D176" s="2947"/>
      <c r="E176" s="2947"/>
      <c r="F176" s="2947">
        <v>2780</v>
      </c>
      <c r="G176" s="2947"/>
    </row>
    <row r="177" spans="1:7" s="2781" customFormat="1" ht="14.25" customHeight="1">
      <c r="A177" s="2947" t="s">
        <v>29</v>
      </c>
      <c r="B177" s="2947" t="s">
        <v>3085</v>
      </c>
      <c r="C177" s="2947"/>
      <c r="D177" s="2947"/>
      <c r="E177" s="2947"/>
      <c r="F177" s="2947">
        <v>2780</v>
      </c>
      <c r="G177" s="2947"/>
    </row>
    <row r="178" spans="1:7" s="2781" customFormat="1" ht="14.25" customHeight="1">
      <c r="A178" s="2947" t="s">
        <v>29</v>
      </c>
      <c r="B178" s="2947" t="s">
        <v>3086</v>
      </c>
      <c r="C178" s="2947"/>
      <c r="D178" s="2947"/>
      <c r="E178" s="2947"/>
      <c r="F178" s="2947">
        <v>2060</v>
      </c>
      <c r="G178" s="2947"/>
    </row>
    <row r="179" spans="1:7" s="2781" customFormat="1" ht="14.25" customHeight="1">
      <c r="A179" s="2947" t="s">
        <v>29</v>
      </c>
      <c r="B179" s="2947" t="s">
        <v>3087</v>
      </c>
      <c r="C179" s="2947"/>
      <c r="D179" s="2947"/>
      <c r="E179" s="2947"/>
      <c r="F179" s="2947">
        <v>2120</v>
      </c>
      <c r="G179" s="2947"/>
    </row>
    <row r="180" spans="1:7" s="2781" customFormat="1" ht="14.25" customHeight="1">
      <c r="A180" s="2947" t="s">
        <v>29</v>
      </c>
      <c r="B180" s="2947" t="s">
        <v>3059</v>
      </c>
      <c r="C180" s="2947"/>
      <c r="D180" s="2947"/>
      <c r="E180" s="2947"/>
      <c r="F180" s="2947">
        <v>2340</v>
      </c>
      <c r="G180" s="2947"/>
    </row>
    <row r="181" spans="1:7" s="2781" customFormat="1" ht="14.25" customHeight="1">
      <c r="A181" s="2947" t="s">
        <v>29</v>
      </c>
      <c r="B181" s="2947" t="s">
        <v>3060</v>
      </c>
      <c r="C181" s="2947"/>
      <c r="D181" s="2947"/>
      <c r="E181" s="2947"/>
      <c r="F181" s="2947">
        <v>2340</v>
      </c>
      <c r="G181" s="2947"/>
    </row>
    <row r="182" spans="1:7" s="2781" customFormat="1" ht="14.25" customHeight="1">
      <c r="A182" s="2947" t="s">
        <v>29</v>
      </c>
      <c r="B182" s="2947" t="s">
        <v>3061</v>
      </c>
      <c r="C182" s="2947"/>
      <c r="D182" s="2947"/>
      <c r="E182" s="2947"/>
      <c r="F182" s="2947">
        <v>2340</v>
      </c>
      <c r="G182" s="2947"/>
    </row>
    <row r="183" spans="1:7" s="2781" customFormat="1" ht="14.25" customHeight="1">
      <c r="A183" s="2947" t="s">
        <v>29</v>
      </c>
      <c r="B183" s="2947" t="s">
        <v>3062</v>
      </c>
      <c r="C183" s="2947"/>
      <c r="D183" s="2947"/>
      <c r="E183" s="2947"/>
      <c r="F183" s="2947">
        <v>2340</v>
      </c>
      <c r="G183" s="2947"/>
    </row>
    <row r="184" spans="1:7" s="2781" customFormat="1" ht="14.25" customHeight="1">
      <c r="A184" s="2947" t="s">
        <v>29</v>
      </c>
      <c r="B184" s="2947" t="s">
        <v>3063</v>
      </c>
      <c r="C184" s="2947"/>
      <c r="D184" s="2947"/>
      <c r="E184" s="2947"/>
      <c r="F184" s="2947">
        <v>2340</v>
      </c>
      <c r="G184" s="2947"/>
    </row>
    <row r="185" spans="1:7" s="2781" customFormat="1" ht="14.25" customHeight="1">
      <c r="A185" s="2947" t="s">
        <v>29</v>
      </c>
      <c r="B185" s="2947" t="s">
        <v>3064</v>
      </c>
      <c r="C185" s="2947"/>
      <c r="D185" s="2947"/>
      <c r="E185" s="2947"/>
      <c r="F185" s="2947">
        <v>2530</v>
      </c>
      <c r="G185" s="2947"/>
    </row>
    <row r="186" spans="1:7" s="2781" customFormat="1" ht="14.25" customHeight="1">
      <c r="A186" s="2947" t="s">
        <v>29</v>
      </c>
      <c r="B186" s="2947" t="s">
        <v>3065</v>
      </c>
      <c r="C186" s="2947"/>
      <c r="D186" s="2947"/>
      <c r="E186" s="2947"/>
      <c r="F186" s="2947">
        <v>2550</v>
      </c>
      <c r="G186" s="2947"/>
    </row>
    <row r="187" spans="1:7" s="2781" customFormat="1" ht="14.25" customHeight="1">
      <c r="A187" s="2947" t="s">
        <v>29</v>
      </c>
      <c r="B187" s="2947" t="s">
        <v>3066</v>
      </c>
      <c r="C187" s="2947"/>
      <c r="D187" s="2947"/>
      <c r="E187" s="2947"/>
      <c r="F187" s="2947">
        <v>2070</v>
      </c>
      <c r="G187" s="2947"/>
    </row>
    <row r="188" spans="1:7" s="2781" customFormat="1" ht="14.25" customHeight="1">
      <c r="A188" s="2947" t="s">
        <v>29</v>
      </c>
      <c r="B188" s="2947" t="s">
        <v>3067</v>
      </c>
      <c r="C188" s="2947"/>
      <c r="D188" s="2947"/>
      <c r="E188" s="2947"/>
      <c r="F188" s="2947">
        <v>2340</v>
      </c>
      <c r="G188" s="2947"/>
    </row>
    <row r="189" spans="1:7" s="2781" customFormat="1" ht="14.25" customHeight="1" thickBot="1">
      <c r="A189" s="2955" t="s">
        <v>29</v>
      </c>
      <c r="B189" s="2958" t="s">
        <v>3068</v>
      </c>
      <c r="C189" s="2958"/>
      <c r="D189" s="2958"/>
      <c r="E189" s="2958"/>
      <c r="F189" s="2958">
        <v>2050</v>
      </c>
      <c r="G189" s="2958"/>
    </row>
    <row r="190" spans="1:7" s="2781" customFormat="1" ht="14.25" customHeight="1">
      <c r="A190" s="2952" t="s">
        <v>304</v>
      </c>
      <c r="B190" s="2943" t="s">
        <v>3088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3089</v>
      </c>
      <c r="C199" s="2947">
        <v>8690</v>
      </c>
      <c r="D199" s="2947">
        <v>8630</v>
      </c>
      <c r="E199" s="2947">
        <v>11350</v>
      </c>
      <c r="F199" s="2947">
        <v>1600</v>
      </c>
      <c r="G199" s="2960">
        <v>5450</v>
      </c>
    </row>
    <row r="200" spans="1:7" s="2781" customFormat="1" ht="14.25" customHeight="1">
      <c r="A200" s="2947" t="s">
        <v>304</v>
      </c>
      <c r="B200" s="2947" t="s">
        <v>2900</v>
      </c>
      <c r="C200" s="2947"/>
      <c r="D200" s="2947"/>
      <c r="E200" s="2947"/>
      <c r="F200" s="2947">
        <v>1510</v>
      </c>
      <c r="G200" s="2960"/>
    </row>
    <row r="201" spans="1:7" s="2781" customFormat="1" ht="14.25" customHeight="1">
      <c r="A201" s="2947" t="s">
        <v>304</v>
      </c>
      <c r="B201" s="2947" t="s">
        <v>3090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3091</v>
      </c>
      <c r="C203" s="2947">
        <v>8130</v>
      </c>
      <c r="D203" s="2947">
        <v>8070</v>
      </c>
      <c r="E203" s="2947">
        <v>10820</v>
      </c>
      <c r="F203" s="2947">
        <v>1690</v>
      </c>
      <c r="G203" s="2960">
        <v>5100</v>
      </c>
    </row>
    <row r="204" spans="1:7" s="2781" customFormat="1" ht="14.25" customHeight="1">
      <c r="A204" s="2947" t="s">
        <v>304</v>
      </c>
      <c r="B204" s="2947" t="s">
        <v>2911</v>
      </c>
      <c r="C204" s="2947">
        <v>8350</v>
      </c>
      <c r="D204" s="2947">
        <v>8290</v>
      </c>
      <c r="E204" s="2947">
        <v>11080</v>
      </c>
      <c r="F204" s="2947">
        <v>1450</v>
      </c>
      <c r="G204" s="2960">
        <v>5240</v>
      </c>
    </row>
    <row r="205" spans="1:7" s="2781" customFormat="1" ht="14.25" customHeight="1">
      <c r="A205" s="2947" t="s">
        <v>304</v>
      </c>
      <c r="B205" s="2947" t="s">
        <v>2913</v>
      </c>
      <c r="C205" s="2947">
        <v>7190</v>
      </c>
      <c r="D205" s="2947">
        <v>7130</v>
      </c>
      <c r="E205" s="2947">
        <v>9490</v>
      </c>
      <c r="F205" s="2947">
        <v>1470</v>
      </c>
      <c r="G205" s="2960">
        <v>4510</v>
      </c>
    </row>
    <row r="206" spans="1:7" s="2781" customFormat="1" ht="14.25" customHeight="1">
      <c r="A206" s="2947" t="s">
        <v>304</v>
      </c>
      <c r="B206" s="2947" t="s">
        <v>2916</v>
      </c>
      <c r="C206" s="2947">
        <v>7000</v>
      </c>
      <c r="D206" s="2947">
        <v>6950</v>
      </c>
      <c r="E206" s="2947">
        <v>9170</v>
      </c>
      <c r="F206" s="2947">
        <v>1400</v>
      </c>
      <c r="G206" s="2960">
        <v>4380</v>
      </c>
    </row>
    <row r="207" spans="1:7" s="2781" customFormat="1" ht="14.25" customHeight="1">
      <c r="A207" s="2947" t="s">
        <v>304</v>
      </c>
      <c r="B207" s="2947" t="s">
        <v>2918</v>
      </c>
      <c r="C207" s="2947">
        <v>6950</v>
      </c>
      <c r="D207" s="2947">
        <v>6900</v>
      </c>
      <c r="E207" s="2947">
        <v>9110</v>
      </c>
      <c r="F207" s="2947">
        <v>1790</v>
      </c>
      <c r="G207" s="2960">
        <v>4360</v>
      </c>
    </row>
    <row r="208" spans="1:7" s="2781" customFormat="1" ht="14.25" customHeight="1">
      <c r="A208" s="2947" t="s">
        <v>304</v>
      </c>
      <c r="B208" s="2947" t="s">
        <v>3092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2928</v>
      </c>
      <c r="C210" s="2947">
        <v>8710</v>
      </c>
      <c r="D210" s="2947">
        <v>8660</v>
      </c>
      <c r="E210" s="2947">
        <v>11440</v>
      </c>
      <c r="F210" s="2947">
        <v>1740</v>
      </c>
      <c r="G210" s="2960">
        <v>5470</v>
      </c>
    </row>
    <row r="211" spans="1:7" s="2781" customFormat="1" ht="14.25" customHeight="1">
      <c r="A211" s="2947" t="s">
        <v>304</v>
      </c>
      <c r="B211" s="2947" t="s">
        <v>3093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3094</v>
      </c>
      <c r="C214" s="2947">
        <v>8090</v>
      </c>
      <c r="D214" s="2947">
        <v>8030</v>
      </c>
      <c r="E214" s="2947">
        <v>10780</v>
      </c>
      <c r="F214" s="2947">
        <v>1570</v>
      </c>
      <c r="G214" s="2960">
        <v>5070</v>
      </c>
    </row>
    <row r="215" spans="1:7" s="2781" customFormat="1" ht="14.25" customHeight="1">
      <c r="A215" s="2947" t="s">
        <v>304</v>
      </c>
      <c r="B215" s="2947" t="s">
        <v>3095</v>
      </c>
      <c r="C215" s="2947">
        <v>7950</v>
      </c>
      <c r="D215" s="2947">
        <v>7900</v>
      </c>
      <c r="E215" s="2947">
        <v>10560</v>
      </c>
      <c r="F215" s="2947">
        <v>1630</v>
      </c>
      <c r="G215" s="2960">
        <v>4990</v>
      </c>
    </row>
    <row r="216" spans="1:7" s="2781" customFormat="1" ht="14.25" customHeight="1">
      <c r="A216" s="2947" t="s">
        <v>304</v>
      </c>
      <c r="B216" s="2947" t="s">
        <v>3096</v>
      </c>
      <c r="C216" s="2947">
        <v>8490</v>
      </c>
      <c r="D216" s="2947">
        <v>8440</v>
      </c>
      <c r="E216" s="2947">
        <v>11260</v>
      </c>
      <c r="F216" s="2947">
        <v>1690</v>
      </c>
      <c r="G216" s="2960">
        <v>5330</v>
      </c>
    </row>
    <row r="217" spans="1:7" s="2781" customFormat="1" ht="14.25" customHeight="1">
      <c r="A217" s="2947" t="s">
        <v>304</v>
      </c>
      <c r="B217" s="2947" t="s">
        <v>2961</v>
      </c>
      <c r="C217" s="2947">
        <v>8200</v>
      </c>
      <c r="D217" s="2947">
        <v>8150</v>
      </c>
      <c r="E217" s="2947">
        <v>10910</v>
      </c>
      <c r="F217" s="2947">
        <v>1670</v>
      </c>
      <c r="G217" s="2960">
        <v>5150</v>
      </c>
    </row>
    <row r="218" spans="1:7" s="2781" customFormat="1" ht="14.25" customHeight="1">
      <c r="A218" s="2947" t="s">
        <v>304</v>
      </c>
      <c r="B218" s="2947" t="s">
        <v>3097</v>
      </c>
      <c r="C218" s="2947"/>
      <c r="D218" s="2947"/>
      <c r="E218" s="2947"/>
      <c r="F218" s="2947">
        <v>2040</v>
      </c>
      <c r="G218" s="2960"/>
    </row>
    <row r="219" spans="1:7" s="2781" customFormat="1" ht="14.25" customHeight="1">
      <c r="A219" s="2947" t="s">
        <v>304</v>
      </c>
      <c r="B219" s="2947" t="s">
        <v>3098</v>
      </c>
      <c r="C219" s="2947"/>
      <c r="D219" s="2947"/>
      <c r="E219" s="2947"/>
      <c r="F219" s="2947">
        <v>2040</v>
      </c>
      <c r="G219" s="2960"/>
    </row>
    <row r="220" spans="1:7" s="2781" customFormat="1" ht="14.25" customHeight="1">
      <c r="A220" s="2947" t="s">
        <v>304</v>
      </c>
      <c r="B220" s="2947" t="s">
        <v>3099</v>
      </c>
      <c r="C220" s="2947"/>
      <c r="D220" s="2947"/>
      <c r="E220" s="2947"/>
      <c r="F220" s="2947">
        <v>2040</v>
      </c>
      <c r="G220" s="2960"/>
    </row>
    <row r="221" spans="1:7" s="2781" customFormat="1" ht="14.25" customHeight="1">
      <c r="A221" s="2947" t="s">
        <v>304</v>
      </c>
      <c r="B221" s="2947" t="s">
        <v>3100</v>
      </c>
      <c r="C221" s="2947"/>
      <c r="D221" s="2947"/>
      <c r="E221" s="2947"/>
      <c r="F221" s="2947">
        <v>2040</v>
      </c>
      <c r="G221" s="2960"/>
    </row>
    <row r="222" spans="1:7" s="2781" customFormat="1" ht="14.25" customHeight="1">
      <c r="A222" s="2947" t="s">
        <v>304</v>
      </c>
      <c r="B222" s="2947" t="s">
        <v>3101</v>
      </c>
      <c r="C222" s="2947"/>
      <c r="D222" s="2947"/>
      <c r="E222" s="2947"/>
      <c r="F222" s="2947">
        <v>2040</v>
      </c>
      <c r="G222" s="2960"/>
    </row>
    <row r="223" spans="1:7" s="2781" customFormat="1" ht="14.25" customHeight="1">
      <c r="A223" s="2947" t="s">
        <v>304</v>
      </c>
      <c r="B223" s="2947" t="s">
        <v>3102</v>
      </c>
      <c r="C223" s="2947"/>
      <c r="D223" s="2947"/>
      <c r="E223" s="2947"/>
      <c r="F223" s="2947">
        <v>1930</v>
      </c>
      <c r="G223" s="2960"/>
    </row>
    <row r="224" spans="1:7" s="2781" customFormat="1" ht="14.25" customHeight="1">
      <c r="A224" s="2947" t="s">
        <v>304</v>
      </c>
      <c r="B224" s="2947" t="s">
        <v>3103</v>
      </c>
      <c r="C224" s="2947"/>
      <c r="D224" s="2947"/>
      <c r="E224" s="2947"/>
      <c r="F224" s="2947">
        <v>1930</v>
      </c>
      <c r="G224" s="2960"/>
    </row>
    <row r="225" spans="1:7" s="2781" customFormat="1" ht="14.25" customHeight="1">
      <c r="A225" s="2947" t="s">
        <v>304</v>
      </c>
      <c r="B225" s="2947" t="s">
        <v>3104</v>
      </c>
      <c r="C225" s="2947"/>
      <c r="D225" s="2947"/>
      <c r="E225" s="2947"/>
      <c r="F225" s="2947">
        <v>1930</v>
      </c>
      <c r="G225" s="2960"/>
    </row>
    <row r="226" spans="1:7" s="2781" customFormat="1" ht="14.25" customHeight="1">
      <c r="A226" s="2947" t="s">
        <v>304</v>
      </c>
      <c r="B226" s="2947" t="s">
        <v>3105</v>
      </c>
      <c r="C226" s="2947"/>
      <c r="D226" s="2947"/>
      <c r="E226" s="2947"/>
      <c r="F226" s="2947">
        <v>1700</v>
      </c>
      <c r="G226" s="2960"/>
    </row>
    <row r="227" spans="1:7" s="2781" customFormat="1" ht="14.25" customHeight="1">
      <c r="A227" s="2947" t="s">
        <v>304</v>
      </c>
      <c r="B227" s="2947" t="s">
        <v>3106</v>
      </c>
      <c r="C227" s="2947"/>
      <c r="D227" s="2947"/>
      <c r="E227" s="2947"/>
      <c r="F227" s="2947">
        <v>1520</v>
      </c>
      <c r="G227" s="2960"/>
    </row>
    <row r="228" spans="1:7" s="2781" customFormat="1" ht="14.25" customHeight="1">
      <c r="A228" s="2947" t="s">
        <v>304</v>
      </c>
      <c r="B228" s="2947" t="s">
        <v>3107</v>
      </c>
      <c r="C228" s="2947"/>
      <c r="D228" s="2947"/>
      <c r="E228" s="2947"/>
      <c r="F228" s="2947">
        <v>1520</v>
      </c>
      <c r="G228" s="2960"/>
    </row>
    <row r="229" spans="1:7" s="2781" customFormat="1" ht="14.25" customHeight="1">
      <c r="A229" s="2947" t="s">
        <v>304</v>
      </c>
      <c r="B229" s="2947" t="s">
        <v>3024</v>
      </c>
      <c r="C229" s="2947"/>
      <c r="D229" s="2947"/>
      <c r="E229" s="2947"/>
      <c r="F229" s="2947">
        <v>1520</v>
      </c>
      <c r="G229" s="2960"/>
    </row>
    <row r="230" spans="1:7" s="2781" customFormat="1" ht="14.25" customHeight="1">
      <c r="A230" s="2947" t="s">
        <v>304</v>
      </c>
      <c r="B230" s="2947" t="s">
        <v>3108</v>
      </c>
      <c r="C230" s="2947"/>
      <c r="D230" s="2947"/>
      <c r="E230" s="2947"/>
      <c r="F230" s="2947">
        <v>1820</v>
      </c>
      <c r="G230" s="2960"/>
    </row>
    <row r="231" spans="1:7" s="2781" customFormat="1" ht="14.25" customHeight="1">
      <c r="A231" s="2947" t="s">
        <v>304</v>
      </c>
      <c r="B231" s="2947" t="s">
        <v>3109</v>
      </c>
      <c r="C231" s="2947"/>
      <c r="D231" s="2947"/>
      <c r="E231" s="2947"/>
      <c r="F231" s="2947">
        <v>1760</v>
      </c>
      <c r="G231" s="2960"/>
    </row>
    <row r="232" spans="1:7" s="2781" customFormat="1" ht="14.25" customHeight="1">
      <c r="A232" s="2947" t="s">
        <v>304</v>
      </c>
      <c r="B232" s="2947" t="s">
        <v>3110</v>
      </c>
      <c r="C232" s="2947"/>
      <c r="D232" s="2947"/>
      <c r="E232" s="2947"/>
      <c r="F232" s="2947">
        <v>1840</v>
      </c>
      <c r="G232" s="2960"/>
    </row>
    <row r="233" spans="1:7" s="2781" customFormat="1" ht="14.25" customHeight="1" thickBot="1">
      <c r="A233" s="2961" t="s">
        <v>304</v>
      </c>
      <c r="B233" s="2954" t="s">
        <v>3041</v>
      </c>
      <c r="C233" s="2954"/>
      <c r="D233" s="2954"/>
      <c r="E233" s="2954"/>
      <c r="F233" s="2954">
        <v>1770</v>
      </c>
      <c r="G233" s="2962"/>
    </row>
    <row r="234" spans="1:7" s="2781" customFormat="1" ht="14.25" customHeight="1">
      <c r="A234" s="2952" t="s">
        <v>305</v>
      </c>
      <c r="B234" s="2943" t="s">
        <v>3111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2882</v>
      </c>
      <c r="C238" s="2947">
        <v>6920</v>
      </c>
      <c r="D238" s="2947">
        <v>6890</v>
      </c>
      <c r="E238" s="2947">
        <v>8640</v>
      </c>
      <c r="F238" s="2947">
        <v>1310</v>
      </c>
      <c r="G238" s="2947">
        <v>4230</v>
      </c>
    </row>
    <row r="239" spans="1:7" s="2781" customFormat="1" ht="14.25" customHeight="1">
      <c r="A239" s="2947" t="s">
        <v>305</v>
      </c>
      <c r="B239" s="2947" t="s">
        <v>3112</v>
      </c>
      <c r="C239" s="2947">
        <v>6780</v>
      </c>
      <c r="D239" s="2947">
        <v>6750</v>
      </c>
      <c r="E239" s="2947">
        <v>8440</v>
      </c>
      <c r="F239" s="2947">
        <v>1160</v>
      </c>
      <c r="G239" s="2947">
        <v>4140</v>
      </c>
    </row>
    <row r="240" spans="1:7" s="2781" customFormat="1" ht="14.25" customHeight="1">
      <c r="A240" s="2947" t="s">
        <v>305</v>
      </c>
      <c r="B240" s="2947" t="s">
        <v>3113</v>
      </c>
      <c r="C240" s="2947">
        <v>5420</v>
      </c>
      <c r="D240" s="2947">
        <v>5380</v>
      </c>
      <c r="E240" s="2947">
        <v>6640</v>
      </c>
      <c r="F240" s="2947">
        <v>1020</v>
      </c>
      <c r="G240" s="2947">
        <v>3300</v>
      </c>
    </row>
    <row r="241" spans="1:7" s="2781" customFormat="1" ht="14.25" customHeight="1">
      <c r="A241" s="2947" t="s">
        <v>305</v>
      </c>
      <c r="B241" s="2947" t="s">
        <v>3114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2944</v>
      </c>
      <c r="C258" s="2947">
        <v>6190</v>
      </c>
      <c r="D258" s="2947">
        <v>6160</v>
      </c>
      <c r="E258" s="2947">
        <v>7680</v>
      </c>
      <c r="F258" s="2947">
        <v>1170</v>
      </c>
      <c r="G258" s="2947">
        <v>3780</v>
      </c>
    </row>
    <row r="259" spans="1:7" s="2781" customFormat="1" ht="14.25" customHeight="1">
      <c r="A259" s="2947" t="s">
        <v>305</v>
      </c>
      <c r="B259" s="2947" t="s">
        <v>3120</v>
      </c>
      <c r="C259" s="2947">
        <v>7610</v>
      </c>
      <c r="D259" s="2947">
        <v>7570</v>
      </c>
      <c r="E259" s="2947">
        <v>9350</v>
      </c>
      <c r="F259" s="2947">
        <v>1350</v>
      </c>
      <c r="G259" s="2947">
        <v>4650</v>
      </c>
    </row>
    <row r="260" spans="1:7" s="2781" customFormat="1" ht="14.25" customHeight="1">
      <c r="A260" s="2947" t="s">
        <v>305</v>
      </c>
      <c r="B260" s="2947" t="s">
        <v>3121</v>
      </c>
      <c r="C260" s="2947">
        <v>6920</v>
      </c>
      <c r="D260" s="2947">
        <v>6880</v>
      </c>
      <c r="E260" s="2947">
        <v>8380</v>
      </c>
      <c r="F260" s="2947">
        <v>1160</v>
      </c>
      <c r="G260" s="2947">
        <v>4220</v>
      </c>
    </row>
    <row r="261" spans="1:7" s="2781" customFormat="1" ht="14.25" customHeight="1">
      <c r="A261" s="2947" t="s">
        <v>305</v>
      </c>
      <c r="B261" s="2947" t="s">
        <v>3122</v>
      </c>
      <c r="C261" s="2947">
        <v>6850</v>
      </c>
      <c r="D261" s="2947">
        <v>6810</v>
      </c>
      <c r="E261" s="2947">
        <v>8290</v>
      </c>
      <c r="F261" s="2947">
        <v>1130</v>
      </c>
      <c r="G261" s="2947">
        <v>4180</v>
      </c>
    </row>
    <row r="262" spans="1:7" s="2781" customFormat="1" ht="14.25" customHeight="1">
      <c r="A262" s="2947" t="s">
        <v>305</v>
      </c>
      <c r="B262" s="2947" t="s">
        <v>3123</v>
      </c>
      <c r="C262" s="2947">
        <v>5860</v>
      </c>
      <c r="D262" s="2947">
        <v>5820</v>
      </c>
      <c r="E262" s="2947">
        <v>7640</v>
      </c>
      <c r="F262" s="2947">
        <v>1070</v>
      </c>
      <c r="G262" s="2947">
        <v>3570</v>
      </c>
    </row>
    <row r="263" spans="1:7" s="2781" customFormat="1" ht="14.25" customHeight="1">
      <c r="A263" s="2947" t="s">
        <v>305</v>
      </c>
      <c r="B263" s="2947" t="s">
        <v>3124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3125</v>
      </c>
      <c r="C265" s="2947"/>
      <c r="D265" s="2947"/>
      <c r="E265" s="2947"/>
      <c r="F265" s="2947">
        <v>1500</v>
      </c>
      <c r="G265" s="2947"/>
    </row>
    <row r="266" spans="1:7" s="2781" customFormat="1" ht="14.25" customHeight="1">
      <c r="A266" s="2947" t="s">
        <v>305</v>
      </c>
      <c r="B266" s="2947" t="s">
        <v>3126</v>
      </c>
      <c r="C266" s="2947"/>
      <c r="D266" s="2947"/>
      <c r="E266" s="2947"/>
      <c r="F266" s="2947">
        <v>1500</v>
      </c>
      <c r="G266" s="2947"/>
    </row>
    <row r="267" spans="1:7" s="2781" customFormat="1" ht="14.25" customHeight="1">
      <c r="A267" s="2947" t="s">
        <v>305</v>
      </c>
      <c r="B267" s="2947" t="s">
        <v>3127</v>
      </c>
      <c r="C267" s="2947"/>
      <c r="D267" s="2947"/>
      <c r="E267" s="2947"/>
      <c r="F267" s="2947">
        <v>1500</v>
      </c>
      <c r="G267" s="2947"/>
    </row>
    <row r="268" spans="1:7" s="2781" customFormat="1" ht="14.25" customHeight="1">
      <c r="A268" s="2947" t="s">
        <v>305</v>
      </c>
      <c r="B268" s="2947" t="s">
        <v>3128</v>
      </c>
      <c r="C268" s="2947"/>
      <c r="D268" s="2947"/>
      <c r="E268" s="2947"/>
      <c r="F268" s="2947">
        <v>1290</v>
      </c>
      <c r="G268" s="2947"/>
    </row>
    <row r="269" spans="1:7" s="2781" customFormat="1" ht="14.25" customHeight="1">
      <c r="A269" s="2947" t="s">
        <v>305</v>
      </c>
      <c r="B269" s="2947" t="s">
        <v>3129</v>
      </c>
      <c r="C269" s="2947"/>
      <c r="D269" s="2947"/>
      <c r="E269" s="2947"/>
      <c r="F269" s="2947">
        <v>1150</v>
      </c>
      <c r="G269" s="2947"/>
    </row>
    <row r="270" spans="1:7" s="2781" customFormat="1" ht="14.25" customHeight="1">
      <c r="A270" s="2947" t="s">
        <v>305</v>
      </c>
      <c r="B270" s="2947" t="s">
        <v>3130</v>
      </c>
      <c r="C270" s="2947"/>
      <c r="D270" s="2947"/>
      <c r="E270" s="2947"/>
      <c r="F270" s="2947">
        <v>1380</v>
      </c>
      <c r="G270" s="2947"/>
    </row>
    <row r="271" spans="1:7" s="2781" customFormat="1" ht="14.25" customHeight="1">
      <c r="A271" s="2947" t="s">
        <v>305</v>
      </c>
      <c r="B271" s="2947" t="s">
        <v>3131</v>
      </c>
      <c r="C271" s="2947"/>
      <c r="D271" s="2947"/>
      <c r="E271" s="2947"/>
      <c r="F271" s="2947">
        <v>1460</v>
      </c>
      <c r="G271" s="2947"/>
    </row>
    <row r="272" spans="1:7" s="2781" customFormat="1" ht="14.25" customHeight="1">
      <c r="A272" s="2947" t="s">
        <v>305</v>
      </c>
      <c r="B272" s="2947" t="s">
        <v>3132</v>
      </c>
      <c r="C272" s="2947"/>
      <c r="D272" s="2947"/>
      <c r="E272" s="2947"/>
      <c r="F272" s="2947">
        <v>1460</v>
      </c>
      <c r="G272" s="2947"/>
    </row>
    <row r="273" spans="1:7" s="2781" customFormat="1" ht="14.25" customHeight="1">
      <c r="A273" s="2947" t="s">
        <v>305</v>
      </c>
      <c r="B273" s="2947" t="s">
        <v>3025</v>
      </c>
      <c r="C273" s="2947"/>
      <c r="D273" s="2947"/>
      <c r="E273" s="2947"/>
      <c r="F273" s="2947">
        <v>1490</v>
      </c>
      <c r="G273" s="2947"/>
    </row>
    <row r="274" spans="1:7" s="2781" customFormat="1" ht="14.25" customHeight="1">
      <c r="A274" s="2947" t="s">
        <v>305</v>
      </c>
      <c r="B274" s="2947" t="s">
        <v>3133</v>
      </c>
      <c r="C274" s="2947"/>
      <c r="D274" s="2947"/>
      <c r="E274" s="2947"/>
      <c r="F274" s="2947">
        <v>1490</v>
      </c>
      <c r="G274" s="2947"/>
    </row>
    <row r="275" spans="1:7" s="2781" customFormat="1" ht="14.25" customHeight="1">
      <c r="A275" s="2947" t="s">
        <v>305</v>
      </c>
      <c r="B275" s="2947" t="s">
        <v>3134</v>
      </c>
      <c r="C275" s="2947"/>
      <c r="D275" s="2947"/>
      <c r="E275" s="2947"/>
      <c r="F275" s="2947">
        <v>1220</v>
      </c>
      <c r="G275" s="2947"/>
    </row>
    <row r="276" spans="1:7" s="2781" customFormat="1" ht="14.25" customHeight="1" thickBot="1">
      <c r="A276" s="2955" t="s">
        <v>305</v>
      </c>
      <c r="B276" s="2957" t="s">
        <v>3135</v>
      </c>
      <c r="C276" s="2958"/>
      <c r="D276" s="2958"/>
      <c r="E276" s="2958"/>
      <c r="F276" s="2958">
        <v>1380</v>
      </c>
      <c r="G276" s="2958"/>
    </row>
    <row r="277" spans="1:7" s="2781" customFormat="1" ht="14.25" customHeight="1">
      <c r="A277" s="2952" t="s">
        <v>306</v>
      </c>
      <c r="B277" s="2943" t="s">
        <v>3136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3137</v>
      </c>
      <c r="C279" s="2947">
        <v>4760</v>
      </c>
      <c r="D279" s="2947">
        <v>4720</v>
      </c>
      <c r="E279" s="2947">
        <v>5540</v>
      </c>
      <c r="F279" s="2947">
        <v>810</v>
      </c>
      <c r="G279" s="2960">
        <v>2850</v>
      </c>
    </row>
    <row r="280" spans="1:7" s="2781" customFormat="1" ht="14.25" customHeight="1">
      <c r="A280" s="2947" t="s">
        <v>306</v>
      </c>
      <c r="B280" s="2947" t="s">
        <v>3138</v>
      </c>
      <c r="C280" s="2947">
        <v>4010</v>
      </c>
      <c r="D280" s="2947">
        <v>3950</v>
      </c>
      <c r="E280" s="2947">
        <v>4710</v>
      </c>
      <c r="F280" s="2947">
        <v>800</v>
      </c>
      <c r="G280" s="2960">
        <v>2390</v>
      </c>
    </row>
    <row r="281" spans="1:7" s="2781" customFormat="1" ht="14.25" customHeight="1">
      <c r="A281" s="2947" t="s">
        <v>306</v>
      </c>
      <c r="B281" s="2947" t="s">
        <v>3139</v>
      </c>
      <c r="C281" s="2947">
        <v>4480</v>
      </c>
      <c r="D281" s="2947">
        <v>4420</v>
      </c>
      <c r="E281" s="2947">
        <v>5230</v>
      </c>
      <c r="F281" s="2947">
        <v>870</v>
      </c>
      <c r="G281" s="2960">
        <v>2660</v>
      </c>
    </row>
    <row r="282" spans="1:7" s="2781" customFormat="1" ht="14.25" customHeight="1">
      <c r="A282" s="2947" t="s">
        <v>306</v>
      </c>
      <c r="B282" s="2947" t="s">
        <v>3140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2917</v>
      </c>
      <c r="C293" s="2947">
        <v>5320</v>
      </c>
      <c r="D293" s="2947">
        <v>5270</v>
      </c>
      <c r="E293" s="2947">
        <v>6160</v>
      </c>
      <c r="F293" s="2947">
        <v>990</v>
      </c>
      <c r="G293" s="2960">
        <v>3170</v>
      </c>
    </row>
    <row r="294" spans="1:7" s="2781" customFormat="1" ht="14.25" customHeight="1">
      <c r="A294" s="2947" t="s">
        <v>306</v>
      </c>
      <c r="B294" s="2947" t="s">
        <v>3143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3144</v>
      </c>
      <c r="C302" s="2947">
        <v>5520</v>
      </c>
      <c r="D302" s="2947">
        <v>5470</v>
      </c>
      <c r="E302" s="2947">
        <v>6410</v>
      </c>
      <c r="F302" s="2947">
        <v>950</v>
      </c>
      <c r="G302" s="2960">
        <v>3300</v>
      </c>
    </row>
    <row r="303" spans="1:7" s="2781" customFormat="1" ht="14.25" customHeight="1">
      <c r="A303" s="2947" t="s">
        <v>306</v>
      </c>
      <c r="B303" s="2947" t="s">
        <v>2956</v>
      </c>
      <c r="C303" s="2947">
        <v>5630</v>
      </c>
      <c r="D303" s="2947">
        <v>5590</v>
      </c>
      <c r="E303" s="2947">
        <v>6550</v>
      </c>
      <c r="F303" s="2947">
        <v>1010</v>
      </c>
      <c r="G303" s="2960">
        <v>3370</v>
      </c>
    </row>
    <row r="304" spans="1:7" s="2781" customFormat="1" ht="14.25" customHeight="1">
      <c r="A304" s="2947" t="s">
        <v>306</v>
      </c>
      <c r="B304" s="2947" t="s">
        <v>2963</v>
      </c>
      <c r="C304" s="2947">
        <v>5680</v>
      </c>
      <c r="D304" s="2947">
        <v>5620</v>
      </c>
      <c r="E304" s="2947">
        <v>6620</v>
      </c>
      <c r="F304" s="2947">
        <v>1050</v>
      </c>
      <c r="G304" s="2960">
        <v>3390</v>
      </c>
    </row>
    <row r="305" spans="1:7" s="2781" customFormat="1" ht="14.25" customHeight="1">
      <c r="A305" s="2947" t="s">
        <v>306</v>
      </c>
      <c r="B305" s="2947" t="s">
        <v>2969</v>
      </c>
      <c r="C305" s="2947">
        <v>5590</v>
      </c>
      <c r="D305" s="2947">
        <v>5530</v>
      </c>
      <c r="E305" s="2947">
        <v>6460</v>
      </c>
      <c r="F305" s="2947">
        <v>900</v>
      </c>
      <c r="G305" s="2960">
        <v>3340</v>
      </c>
    </row>
    <row r="306" spans="1:7" s="2781" customFormat="1" ht="14.25" customHeight="1">
      <c r="A306" s="2947" t="s">
        <v>306</v>
      </c>
      <c r="B306" s="2947" t="s">
        <v>3145</v>
      </c>
      <c r="C306" s="2947">
        <v>5560</v>
      </c>
      <c r="D306" s="2947">
        <v>5510</v>
      </c>
      <c r="E306" s="2947">
        <v>6440</v>
      </c>
      <c r="F306" s="2947">
        <v>900</v>
      </c>
      <c r="G306" s="2960">
        <v>3320</v>
      </c>
    </row>
    <row r="307" spans="1:7" s="2781" customFormat="1" ht="14.25" customHeight="1">
      <c r="A307" s="2947" t="s">
        <v>306</v>
      </c>
      <c r="B307" s="2947" t="s">
        <v>2981</v>
      </c>
      <c r="C307" s="2947">
        <v>5650</v>
      </c>
      <c r="D307" s="2947">
        <v>5600</v>
      </c>
      <c r="E307" s="2947">
        <v>6590</v>
      </c>
      <c r="F307" s="2947">
        <v>930</v>
      </c>
      <c r="G307" s="2960">
        <v>3380</v>
      </c>
    </row>
    <row r="308" spans="1:7" s="2781" customFormat="1" ht="14.25" customHeight="1">
      <c r="A308" s="2947" t="s">
        <v>306</v>
      </c>
      <c r="B308" s="2947" t="s">
        <v>3146</v>
      </c>
      <c r="C308" s="2947">
        <v>5620</v>
      </c>
      <c r="D308" s="2947">
        <v>5580</v>
      </c>
      <c r="E308" s="2947">
        <v>6540</v>
      </c>
      <c r="F308" s="2947">
        <v>910</v>
      </c>
      <c r="G308" s="2960">
        <v>3370</v>
      </c>
    </row>
    <row r="309" spans="1:7" s="2781" customFormat="1" ht="14.25" customHeight="1">
      <c r="A309" s="2947" t="s">
        <v>306</v>
      </c>
      <c r="B309" s="2947" t="s">
        <v>3147</v>
      </c>
      <c r="C309" s="2947">
        <v>5060</v>
      </c>
      <c r="D309" s="2947">
        <v>5020</v>
      </c>
      <c r="E309" s="2947">
        <v>6370</v>
      </c>
      <c r="F309" s="2947">
        <v>800</v>
      </c>
      <c r="G309" s="2960">
        <v>3020</v>
      </c>
    </row>
    <row r="310" spans="1:7" s="2781" customFormat="1" ht="14.25" customHeight="1">
      <c r="A310" s="2947" t="s">
        <v>306</v>
      </c>
      <c r="B310" s="2947" t="s">
        <v>2996</v>
      </c>
      <c r="C310" s="2947">
        <v>5150</v>
      </c>
      <c r="D310" s="2947">
        <v>5110</v>
      </c>
      <c r="E310" s="2947">
        <v>6500</v>
      </c>
      <c r="F310" s="2947">
        <v>880</v>
      </c>
      <c r="G310" s="2960">
        <v>3080</v>
      </c>
    </row>
    <row r="311" spans="1:7" s="2781" customFormat="1" ht="14.25" customHeight="1">
      <c r="A311" s="2947" t="s">
        <v>306</v>
      </c>
      <c r="B311" s="2947" t="s">
        <v>3148</v>
      </c>
      <c r="C311" s="2947">
        <v>4750</v>
      </c>
      <c r="D311" s="2947">
        <v>4710</v>
      </c>
      <c r="E311" s="2947">
        <v>5510</v>
      </c>
      <c r="F311" s="2947">
        <v>880</v>
      </c>
      <c r="G311" s="2960">
        <v>2840</v>
      </c>
    </row>
    <row r="312" spans="1:7" s="2781" customFormat="1" ht="14.25" customHeight="1">
      <c r="A312" s="2947" t="s">
        <v>306</v>
      </c>
      <c r="B312" s="2947" t="s">
        <v>3006</v>
      </c>
      <c r="C312" s="2947">
        <v>4690</v>
      </c>
      <c r="D312" s="2947">
        <v>4640</v>
      </c>
      <c r="E312" s="2947">
        <v>5420</v>
      </c>
      <c r="F312" s="2947">
        <v>800</v>
      </c>
      <c r="G312" s="2960">
        <v>2800</v>
      </c>
    </row>
    <row r="313" spans="1:7" s="2781" customFormat="1" ht="14.25" customHeight="1">
      <c r="A313" s="2947" t="s">
        <v>306</v>
      </c>
      <c r="B313" s="2947" t="s">
        <v>3011</v>
      </c>
      <c r="C313" s="2947">
        <v>4810</v>
      </c>
      <c r="D313" s="2947">
        <v>4760</v>
      </c>
      <c r="E313" s="2947">
        <v>5550</v>
      </c>
      <c r="F313" s="2947">
        <v>920</v>
      </c>
      <c r="G313" s="2960">
        <v>2870</v>
      </c>
    </row>
    <row r="314" spans="1:7" s="2781" customFormat="1" ht="14.25" customHeight="1">
      <c r="A314" s="2947" t="s">
        <v>306</v>
      </c>
      <c r="B314" s="2947" t="s">
        <v>3149</v>
      </c>
      <c r="C314" s="2947"/>
      <c r="D314" s="2947"/>
      <c r="E314" s="2947"/>
      <c r="F314" s="2947">
        <v>1020</v>
      </c>
      <c r="G314" s="2960"/>
    </row>
    <row r="315" spans="1:7" s="2781" customFormat="1" ht="14.25" customHeight="1">
      <c r="A315" s="2947" t="s">
        <v>306</v>
      </c>
      <c r="B315" s="2947" t="s">
        <v>3150</v>
      </c>
      <c r="C315" s="2947"/>
      <c r="D315" s="2947"/>
      <c r="E315" s="2947"/>
      <c r="F315" s="2947">
        <v>1050</v>
      </c>
      <c r="G315" s="2960"/>
    </row>
    <row r="316" spans="1:7" s="2781" customFormat="1" ht="14.25" customHeight="1">
      <c r="A316" s="2947" t="s">
        <v>306</v>
      </c>
      <c r="B316" s="2947" t="s">
        <v>3026</v>
      </c>
      <c r="C316" s="2947"/>
      <c r="D316" s="2947"/>
      <c r="E316" s="2947"/>
      <c r="F316" s="2947">
        <v>900</v>
      </c>
      <c r="G316" s="2960"/>
    </row>
    <row r="317" spans="1:7" s="2781" customFormat="1" ht="14.25" customHeight="1">
      <c r="A317" s="2947" t="s">
        <v>306</v>
      </c>
      <c r="B317" s="2947" t="s">
        <v>3151</v>
      </c>
      <c r="C317" s="2947"/>
      <c r="D317" s="2947"/>
      <c r="E317" s="2947"/>
      <c r="F317" s="2947">
        <v>920</v>
      </c>
      <c r="G317" s="2960"/>
    </row>
    <row r="318" spans="1:7" s="2781" customFormat="1" ht="14.25" customHeight="1">
      <c r="A318" s="2947" t="s">
        <v>306</v>
      </c>
      <c r="B318" s="2947" t="s">
        <v>3152</v>
      </c>
      <c r="C318" s="2947"/>
      <c r="D318" s="2947"/>
      <c r="E318" s="2947"/>
      <c r="F318" s="2947">
        <v>1080</v>
      </c>
      <c r="G318" s="2960"/>
    </row>
    <row r="319" spans="1:7" s="2781" customFormat="1" ht="14.25" customHeight="1">
      <c r="A319" s="2947" t="s">
        <v>306</v>
      </c>
      <c r="B319" s="2947" t="s">
        <v>3039</v>
      </c>
      <c r="C319" s="2947"/>
      <c r="D319" s="2947"/>
      <c r="E319" s="2947"/>
      <c r="F319" s="2947">
        <v>1020</v>
      </c>
      <c r="G319" s="2960"/>
    </row>
    <row r="320" spans="1:7" s="2781" customFormat="1" ht="14.25" customHeight="1">
      <c r="A320" s="2947" t="s">
        <v>306</v>
      </c>
      <c r="B320" s="2947" t="s">
        <v>3042</v>
      </c>
      <c r="C320" s="2947"/>
      <c r="D320" s="2947"/>
      <c r="E320" s="2947"/>
      <c r="F320" s="2947">
        <v>1050</v>
      </c>
      <c r="G320" s="2960"/>
    </row>
    <row r="321" spans="1:7" s="2781" customFormat="1" ht="14.25" customHeight="1">
      <c r="A321" s="2947" t="s">
        <v>306</v>
      </c>
      <c r="B321" s="2947" t="s">
        <v>3044</v>
      </c>
      <c r="C321" s="2947"/>
      <c r="D321" s="2947"/>
      <c r="E321" s="2947"/>
      <c r="F321" s="2947">
        <v>960</v>
      </c>
      <c r="G321" s="2960"/>
    </row>
    <row r="322" spans="1:7" s="2781" customFormat="1" ht="14.25" customHeight="1">
      <c r="A322" s="2947" t="s">
        <v>306</v>
      </c>
      <c r="B322" s="2947" t="s">
        <v>3046</v>
      </c>
      <c r="C322" s="2947"/>
      <c r="D322" s="2947"/>
      <c r="E322" s="2947"/>
      <c r="F322" s="2947">
        <v>960</v>
      </c>
      <c r="G322" s="2960"/>
    </row>
    <row r="323" spans="1:7" s="2781" customFormat="1" ht="14.25" customHeight="1">
      <c r="A323" s="2947" t="s">
        <v>306</v>
      </c>
      <c r="B323" s="2947" t="s">
        <v>3048</v>
      </c>
      <c r="C323" s="2947"/>
      <c r="D323" s="2947"/>
      <c r="E323" s="2947"/>
      <c r="F323" s="2947">
        <v>880</v>
      </c>
      <c r="G323" s="2960"/>
    </row>
    <row r="324" spans="1:7" s="2781" customFormat="1" ht="14.25" customHeight="1">
      <c r="A324" s="2947" t="s">
        <v>306</v>
      </c>
      <c r="B324" s="2947" t="s">
        <v>3050</v>
      </c>
      <c r="C324" s="2947"/>
      <c r="D324" s="2947"/>
      <c r="E324" s="2947"/>
      <c r="F324" s="2947">
        <v>930</v>
      </c>
      <c r="G324" s="2960"/>
    </row>
    <row r="325" spans="1:7" s="2781" customFormat="1" ht="14.25" customHeight="1">
      <c r="A325" s="2947" t="s">
        <v>306</v>
      </c>
      <c r="B325" s="2948" t="s">
        <v>3052</v>
      </c>
      <c r="C325" s="2947"/>
      <c r="D325" s="2947"/>
      <c r="E325" s="2947"/>
      <c r="F325" s="2947">
        <v>900</v>
      </c>
      <c r="G325" s="2960"/>
    </row>
    <row r="326" spans="1:7" s="2781" customFormat="1" ht="14.25" customHeight="1" thickBot="1">
      <c r="A326" s="2961" t="s">
        <v>306</v>
      </c>
      <c r="B326" s="2954" t="s">
        <v>3054</v>
      </c>
      <c r="C326" s="2954"/>
      <c r="D326" s="2954"/>
      <c r="E326" s="2954"/>
      <c r="F326" s="2954">
        <v>790</v>
      </c>
      <c r="G326" s="2962"/>
    </row>
    <row r="327" spans="1:7" s="2781" customFormat="1" ht="14.25" customHeight="1">
      <c r="A327" s="2952" t="s">
        <v>307</v>
      </c>
      <c r="B327" s="2943" t="s">
        <v>3153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3154</v>
      </c>
      <c r="C329" s="2947">
        <v>2730</v>
      </c>
      <c r="D329" s="2947">
        <v>2690</v>
      </c>
      <c r="E329" s="2947">
        <v>3100</v>
      </c>
      <c r="F329" s="2947">
        <v>660</v>
      </c>
      <c r="G329" s="2947">
        <v>1610</v>
      </c>
    </row>
    <row r="330" spans="1:7" s="2781" customFormat="1" ht="14.25" customHeight="1">
      <c r="A330" s="2947" t="s">
        <v>307</v>
      </c>
      <c r="B330" s="2947" t="s">
        <v>3155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2888</v>
      </c>
      <c r="C332" s="2947">
        <v>3520</v>
      </c>
      <c r="D332" s="2947">
        <v>3480</v>
      </c>
      <c r="E332" s="2947">
        <v>3830</v>
      </c>
      <c r="F332" s="2947">
        <v>720</v>
      </c>
      <c r="G332" s="2947">
        <v>2090</v>
      </c>
    </row>
    <row r="333" spans="1:7" s="2781" customFormat="1" ht="14.25" customHeight="1">
      <c r="A333" s="2947" t="s">
        <v>307</v>
      </c>
      <c r="B333" s="2947" t="s">
        <v>3156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2898</v>
      </c>
      <c r="C336" s="2947">
        <v>3570</v>
      </c>
      <c r="D336" s="2947">
        <v>3530</v>
      </c>
      <c r="E336" s="2947">
        <v>3880</v>
      </c>
      <c r="F336" s="2947">
        <v>770</v>
      </c>
      <c r="G336" s="2947">
        <v>2110</v>
      </c>
    </row>
    <row r="337" spans="1:10" s="2781" customFormat="1" ht="14.25" customHeight="1">
      <c r="A337" s="2947" t="s">
        <v>307</v>
      </c>
      <c r="B337" s="2947" t="s">
        <v>3157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2923</v>
      </c>
      <c r="C345" s="2947">
        <v>3190</v>
      </c>
      <c r="D345" s="2947">
        <v>3140</v>
      </c>
      <c r="E345" s="2947">
        <v>3450</v>
      </c>
      <c r="F345" s="2947">
        <v>720</v>
      </c>
      <c r="G345" s="2947">
        <v>1880</v>
      </c>
      <c r="J345" s="2781"/>
    </row>
    <row r="346" spans="1:10">
      <c r="A346" s="2947" t="s">
        <v>307</v>
      </c>
      <c r="B346" s="2947" t="s">
        <v>3160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2932</v>
      </c>
      <c r="C348" s="2947">
        <v>4000</v>
      </c>
      <c r="D348" s="2947">
        <v>3950</v>
      </c>
      <c r="E348" s="2947">
        <v>4430</v>
      </c>
      <c r="F348" s="2947">
        <v>760</v>
      </c>
      <c r="G348" s="2947">
        <v>2360</v>
      </c>
      <c r="J348" s="2781"/>
    </row>
    <row r="349" spans="1:10">
      <c r="A349" s="2947" t="s">
        <v>307</v>
      </c>
      <c r="B349" s="2947" t="s">
        <v>2937</v>
      </c>
      <c r="C349" s="2947">
        <v>3820</v>
      </c>
      <c r="D349" s="2947">
        <v>3780</v>
      </c>
      <c r="E349" s="2947">
        <v>4170</v>
      </c>
      <c r="F349" s="2947">
        <v>710</v>
      </c>
      <c r="G349" s="2947">
        <v>2260</v>
      </c>
      <c r="J349" s="2781"/>
    </row>
    <row r="350" spans="1:10">
      <c r="A350" s="2947" t="s">
        <v>307</v>
      </c>
      <c r="B350" s="2947" t="s">
        <v>3161</v>
      </c>
      <c r="C350" s="2947">
        <v>3760</v>
      </c>
      <c r="D350" s="2947">
        <v>3730</v>
      </c>
      <c r="E350" s="2947">
        <v>4100</v>
      </c>
      <c r="F350" s="2947">
        <v>800</v>
      </c>
      <c r="G350" s="2947">
        <v>2230</v>
      </c>
      <c r="J350" s="2781"/>
    </row>
    <row r="351" spans="1:10">
      <c r="A351" s="2947" t="s">
        <v>307</v>
      </c>
      <c r="B351" s="2947" t="s">
        <v>2945</v>
      </c>
      <c r="C351" s="2947">
        <v>3610</v>
      </c>
      <c r="D351" s="2947">
        <v>3580</v>
      </c>
      <c r="E351" s="2947">
        <v>3930</v>
      </c>
      <c r="F351" s="2947">
        <v>700</v>
      </c>
      <c r="G351" s="2947">
        <v>2140</v>
      </c>
      <c r="J351" s="2781"/>
    </row>
    <row r="352" spans="1:10">
      <c r="A352" s="2947" t="s">
        <v>307</v>
      </c>
      <c r="B352" s="2947" t="s">
        <v>2950</v>
      </c>
      <c r="C352" s="2947">
        <v>3670</v>
      </c>
      <c r="D352" s="2947">
        <v>3630</v>
      </c>
      <c r="E352" s="2947">
        <v>4000</v>
      </c>
      <c r="F352" s="2947">
        <v>750</v>
      </c>
      <c r="G352" s="2947">
        <v>2180</v>
      </c>
    </row>
    <row r="353" spans="1:7" s="2782" customFormat="1">
      <c r="A353" s="2947" t="s">
        <v>307</v>
      </c>
      <c r="B353" s="2947" t="s">
        <v>3162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2970</v>
      </c>
      <c r="C355" s="2947">
        <v>3650</v>
      </c>
      <c r="D355" s="2947">
        <v>3610</v>
      </c>
      <c r="E355" s="2947">
        <v>4200</v>
      </c>
      <c r="F355" s="2947">
        <v>640</v>
      </c>
      <c r="G355" s="2947">
        <v>2160</v>
      </c>
    </row>
    <row r="356" spans="1:7" s="2782" customFormat="1">
      <c r="A356" s="2947" t="s">
        <v>307</v>
      </c>
      <c r="B356" s="2947" t="s">
        <v>2977</v>
      </c>
      <c r="C356" s="2947">
        <v>3260</v>
      </c>
      <c r="D356" s="2947">
        <v>3230</v>
      </c>
      <c r="E356" s="2947">
        <v>3740</v>
      </c>
      <c r="F356" s="2947">
        <v>600</v>
      </c>
      <c r="G356" s="2947">
        <v>1930</v>
      </c>
    </row>
    <row r="357" spans="1:7" s="2782" customFormat="1" ht="12" thickBot="1">
      <c r="A357" s="2955" t="s">
        <v>307</v>
      </c>
      <c r="B357" s="2958" t="s">
        <v>3163</v>
      </c>
      <c r="C357" s="2958">
        <v>3690</v>
      </c>
      <c r="D357" s="2958">
        <v>3650</v>
      </c>
      <c r="E357" s="2958">
        <v>4020</v>
      </c>
      <c r="F357" s="2958">
        <v>700</v>
      </c>
      <c r="G357" s="2958">
        <v>2190</v>
      </c>
    </row>
    <row r="358" spans="1:7" s="2782" customFormat="1">
      <c r="A358" s="2952" t="s">
        <v>3164</v>
      </c>
      <c r="B358" s="2943" t="s">
        <v>3165</v>
      </c>
      <c r="C358" s="2943">
        <v>2080</v>
      </c>
      <c r="D358" s="2943">
        <v>2040</v>
      </c>
      <c r="E358" s="2943">
        <v>2010</v>
      </c>
      <c r="F358" s="2943">
        <v>530</v>
      </c>
      <c r="G358" s="2959">
        <v>1230</v>
      </c>
    </row>
    <row r="359" spans="1:7" s="2782" customFormat="1">
      <c r="A359" s="2947" t="s">
        <v>3164</v>
      </c>
      <c r="B359" s="2947" t="s">
        <v>3166</v>
      </c>
      <c r="C359" s="2947">
        <v>1850</v>
      </c>
      <c r="D359" s="2947">
        <v>1820</v>
      </c>
      <c r="E359" s="2947">
        <v>1780</v>
      </c>
      <c r="F359" s="2947">
        <v>520</v>
      </c>
      <c r="G359" s="2960">
        <v>1100</v>
      </c>
    </row>
    <row r="360" spans="1:7" s="2782" customFormat="1">
      <c r="A360" s="2947" t="s">
        <v>3164</v>
      </c>
      <c r="B360" s="2947" t="s">
        <v>3167</v>
      </c>
      <c r="C360" s="2947">
        <v>2020</v>
      </c>
      <c r="D360" s="2947">
        <v>1990</v>
      </c>
      <c r="E360" s="2947">
        <v>1950</v>
      </c>
      <c r="F360" s="2947">
        <v>500</v>
      </c>
      <c r="G360" s="2960">
        <v>1200</v>
      </c>
    </row>
    <row r="361" spans="1:7" s="2782" customFormat="1">
      <c r="A361" s="2947" t="s">
        <v>3164</v>
      </c>
      <c r="B361" s="2947" t="s">
        <v>153</v>
      </c>
      <c r="C361" s="2947">
        <v>2260</v>
      </c>
      <c r="D361" s="2947">
        <v>2220</v>
      </c>
      <c r="E361" s="2947">
        <v>2180</v>
      </c>
      <c r="F361" s="2947">
        <v>580</v>
      </c>
      <c r="G361" s="2960">
        <v>1340</v>
      </c>
    </row>
    <row r="362" spans="1:7" s="2782" customFormat="1">
      <c r="A362" s="2947" t="s">
        <v>3164</v>
      </c>
      <c r="B362" s="2947" t="s">
        <v>3168</v>
      </c>
      <c r="C362" s="2947">
        <v>2650</v>
      </c>
      <c r="D362" s="2947">
        <v>2610</v>
      </c>
      <c r="E362" s="2947">
        <v>2570</v>
      </c>
      <c r="F362" s="2947">
        <v>630</v>
      </c>
      <c r="G362" s="2960">
        <v>1570</v>
      </c>
    </row>
    <row r="363" spans="1:7" s="2782" customFormat="1">
      <c r="A363" s="2947" t="s">
        <v>3164</v>
      </c>
      <c r="B363" s="2947" t="s">
        <v>2889</v>
      </c>
      <c r="C363" s="2947">
        <v>2390</v>
      </c>
      <c r="D363" s="2947">
        <v>2360</v>
      </c>
      <c r="E363" s="2947">
        <v>2320</v>
      </c>
      <c r="F363" s="2947">
        <v>600</v>
      </c>
      <c r="G363" s="2960">
        <v>1420</v>
      </c>
    </row>
    <row r="364" spans="1:7" s="2782" customFormat="1">
      <c r="A364" s="2947" t="s">
        <v>3164</v>
      </c>
      <c r="B364" s="2947" t="s">
        <v>3169</v>
      </c>
      <c r="C364" s="2947">
        <v>2050</v>
      </c>
      <c r="D364" s="2947">
        <v>2030</v>
      </c>
      <c r="E364" s="2947">
        <v>1990</v>
      </c>
      <c r="F364" s="2947">
        <v>550</v>
      </c>
      <c r="G364" s="2960">
        <v>1220</v>
      </c>
    </row>
    <row r="365" spans="1:7" s="2782" customFormat="1">
      <c r="A365" s="2947" t="s">
        <v>3164</v>
      </c>
      <c r="B365" s="2947" t="s">
        <v>200</v>
      </c>
      <c r="C365" s="2947">
        <v>2140</v>
      </c>
      <c r="D365" s="2947">
        <v>2100</v>
      </c>
      <c r="E365" s="2947">
        <v>2060</v>
      </c>
      <c r="F365" s="2947">
        <v>540</v>
      </c>
      <c r="G365" s="2960">
        <v>1270</v>
      </c>
    </row>
    <row r="366" spans="1:7" s="2782" customFormat="1">
      <c r="A366" s="2947" t="s">
        <v>3164</v>
      </c>
      <c r="B366" s="2947" t="s">
        <v>2896</v>
      </c>
      <c r="C366" s="2947">
        <v>2410</v>
      </c>
      <c r="D366" s="2947">
        <v>2370</v>
      </c>
      <c r="E366" s="2947">
        <v>2330</v>
      </c>
      <c r="F366" s="2947">
        <v>570</v>
      </c>
      <c r="G366" s="2960">
        <v>1440</v>
      </c>
    </row>
    <row r="367" spans="1:7" s="2782" customFormat="1">
      <c r="A367" s="2947" t="s">
        <v>3164</v>
      </c>
      <c r="B367" s="2947" t="s">
        <v>3170</v>
      </c>
      <c r="C367" s="2947">
        <v>2300</v>
      </c>
      <c r="D367" s="2947">
        <v>2260</v>
      </c>
      <c r="E367" s="2947">
        <v>2220</v>
      </c>
      <c r="F367" s="2947">
        <v>560</v>
      </c>
      <c r="G367" s="2960">
        <v>1370</v>
      </c>
    </row>
    <row r="368" spans="1:7" s="2782" customFormat="1">
      <c r="A368" s="2947" t="s">
        <v>3164</v>
      </c>
      <c r="B368" s="2947" t="s">
        <v>3171</v>
      </c>
      <c r="C368" s="2947">
        <v>2430</v>
      </c>
      <c r="D368" s="2947">
        <v>2390</v>
      </c>
      <c r="E368" s="2947">
        <v>2350</v>
      </c>
      <c r="F368" s="2947">
        <v>570</v>
      </c>
      <c r="G368" s="2960">
        <v>1450</v>
      </c>
    </row>
    <row r="369" spans="1:7" s="2782" customFormat="1">
      <c r="A369" s="2947" t="s">
        <v>3164</v>
      </c>
      <c r="B369" s="2947" t="s">
        <v>214</v>
      </c>
      <c r="C369" s="2947">
        <v>2320</v>
      </c>
      <c r="D369" s="2947">
        <v>2290</v>
      </c>
      <c r="E369" s="2947">
        <v>2250</v>
      </c>
      <c r="F369" s="2947">
        <v>550</v>
      </c>
      <c r="G369" s="2960">
        <v>1380</v>
      </c>
    </row>
    <row r="370" spans="1:7" s="2782" customFormat="1">
      <c r="A370" s="2947" t="s">
        <v>3164</v>
      </c>
      <c r="B370" s="2947" t="s">
        <v>221</v>
      </c>
      <c r="C370" s="2947">
        <v>2190</v>
      </c>
      <c r="D370" s="2947">
        <v>2170</v>
      </c>
      <c r="E370" s="2947">
        <v>2130</v>
      </c>
      <c r="F370" s="2947">
        <v>530</v>
      </c>
      <c r="G370" s="2960">
        <v>1310</v>
      </c>
    </row>
    <row r="371" spans="1:7" s="2782" customFormat="1">
      <c r="A371" s="2947" t="s">
        <v>3164</v>
      </c>
      <c r="B371" s="2947" t="s">
        <v>229</v>
      </c>
      <c r="C371" s="2947">
        <v>2460</v>
      </c>
      <c r="D371" s="2947">
        <v>2420</v>
      </c>
      <c r="E371" s="2947">
        <v>2370</v>
      </c>
      <c r="F371" s="2947">
        <v>560</v>
      </c>
      <c r="G371" s="2960">
        <v>1470</v>
      </c>
    </row>
    <row r="372" spans="1:7" s="2782" customFormat="1">
      <c r="A372" s="2947" t="s">
        <v>3164</v>
      </c>
      <c r="B372" s="2947" t="s">
        <v>3172</v>
      </c>
      <c r="C372" s="2947">
        <v>2250</v>
      </c>
      <c r="D372" s="2947">
        <v>2210</v>
      </c>
      <c r="E372" s="2947">
        <v>2180</v>
      </c>
      <c r="F372" s="2947">
        <v>550</v>
      </c>
      <c r="G372" s="2960">
        <v>1340</v>
      </c>
    </row>
    <row r="373" spans="1:7" s="2782" customFormat="1">
      <c r="A373" s="2947" t="s">
        <v>3164</v>
      </c>
      <c r="B373" s="2947" t="s">
        <v>258</v>
      </c>
      <c r="C373" s="2947">
        <v>2210</v>
      </c>
      <c r="D373" s="2947">
        <v>2190</v>
      </c>
      <c r="E373" s="2947">
        <v>2150</v>
      </c>
      <c r="F373" s="2947">
        <v>530</v>
      </c>
      <c r="G373" s="2960">
        <v>1320</v>
      </c>
    </row>
    <row r="374" spans="1:7" s="2782" customFormat="1">
      <c r="A374" s="2947" t="s">
        <v>3164</v>
      </c>
      <c r="B374" s="2947" t="s">
        <v>266</v>
      </c>
      <c r="C374" s="2947">
        <v>2320</v>
      </c>
      <c r="D374" s="2947">
        <v>2280</v>
      </c>
      <c r="E374" s="2947">
        <v>2230</v>
      </c>
      <c r="F374" s="2947">
        <v>580</v>
      </c>
      <c r="G374" s="2960">
        <v>1380</v>
      </c>
    </row>
    <row r="375" spans="1:7" s="2782" customFormat="1">
      <c r="A375" s="2947" t="s">
        <v>3164</v>
      </c>
      <c r="B375" s="2947" t="s">
        <v>3173</v>
      </c>
      <c r="C375" s="2947">
        <v>2090</v>
      </c>
      <c r="D375" s="2947">
        <v>2050</v>
      </c>
      <c r="E375" s="2947">
        <v>2020</v>
      </c>
      <c r="F375" s="2947">
        <v>520</v>
      </c>
      <c r="G375" s="2960">
        <v>1240</v>
      </c>
    </row>
    <row r="376" spans="1:7" s="2782" customFormat="1">
      <c r="A376" s="2947" t="s">
        <v>3164</v>
      </c>
      <c r="B376" s="2947" t="s">
        <v>277</v>
      </c>
      <c r="C376" s="2947">
        <v>2010</v>
      </c>
      <c r="D376" s="2947">
        <v>1980</v>
      </c>
      <c r="E376" s="2947">
        <v>1940</v>
      </c>
      <c r="F376" s="2947">
        <v>540</v>
      </c>
      <c r="G376" s="2960">
        <v>1190</v>
      </c>
    </row>
    <row r="377" spans="1:7" s="2782" customFormat="1" ht="12" thickBot="1">
      <c r="A377" s="2955" t="s">
        <v>3164</v>
      </c>
      <c r="B377" s="2958" t="s">
        <v>2926</v>
      </c>
      <c r="C377" s="2958">
        <v>1930</v>
      </c>
      <c r="D377" s="2958">
        <v>1890</v>
      </c>
      <c r="E377" s="2958">
        <v>1860</v>
      </c>
      <c r="F377" s="2958">
        <v>530</v>
      </c>
      <c r="G377" s="2963">
        <v>1150</v>
      </c>
    </row>
    <row r="378" spans="1:7" s="2782" customFormat="1">
      <c r="A378" s="2964" t="s">
        <v>3174</v>
      </c>
      <c r="B378" s="2943" t="s">
        <v>3175</v>
      </c>
      <c r="C378" s="2943">
        <v>1520</v>
      </c>
      <c r="D378" s="2943">
        <v>1490</v>
      </c>
      <c r="E378" s="2943">
        <v>1460</v>
      </c>
      <c r="F378" s="2943">
        <v>460</v>
      </c>
      <c r="G378" s="2959">
        <v>940</v>
      </c>
    </row>
    <row r="379" spans="1:7" s="2782" customFormat="1">
      <c r="A379" s="2965" t="s">
        <v>3174</v>
      </c>
      <c r="B379" s="2947" t="s">
        <v>3176</v>
      </c>
      <c r="C379" s="2947">
        <v>1500</v>
      </c>
      <c r="D379" s="2947">
        <v>1470</v>
      </c>
      <c r="E379" s="2947">
        <v>1430</v>
      </c>
      <c r="F379" s="2947">
        <v>460</v>
      </c>
      <c r="G379" s="2960">
        <v>920</v>
      </c>
    </row>
    <row r="380" spans="1:7" s="2782" customFormat="1">
      <c r="A380" s="2965" t="s">
        <v>3174</v>
      </c>
      <c r="B380" s="2947" t="s">
        <v>3177</v>
      </c>
      <c r="C380" s="2947">
        <v>1620</v>
      </c>
      <c r="D380" s="2947">
        <v>1590</v>
      </c>
      <c r="E380" s="2947">
        <v>1560</v>
      </c>
      <c r="F380" s="2947">
        <v>480</v>
      </c>
      <c r="G380" s="2960">
        <v>1000</v>
      </c>
    </row>
    <row r="381" spans="1:7" s="2782" customFormat="1">
      <c r="A381" s="2965" t="s">
        <v>3174</v>
      </c>
      <c r="B381" s="2947" t="s">
        <v>3178</v>
      </c>
      <c r="C381" s="2947">
        <v>1460</v>
      </c>
      <c r="D381" s="2947">
        <v>1430</v>
      </c>
      <c r="E381" s="2947">
        <v>1390</v>
      </c>
      <c r="F381" s="2947">
        <v>450</v>
      </c>
      <c r="G381" s="2960">
        <v>900</v>
      </c>
    </row>
    <row r="382" spans="1:7" s="2782" customFormat="1">
      <c r="A382" s="2965" t="s">
        <v>3174</v>
      </c>
      <c r="B382" s="2947" t="s">
        <v>3179</v>
      </c>
      <c r="C382" s="2947">
        <v>1310</v>
      </c>
      <c r="D382" s="2947">
        <v>1280</v>
      </c>
      <c r="E382" s="2947">
        <v>1250</v>
      </c>
      <c r="F382" s="2947">
        <v>440</v>
      </c>
      <c r="G382" s="2960">
        <v>800</v>
      </c>
    </row>
    <row r="383" spans="1:7" s="2782" customFormat="1">
      <c r="A383" s="2965" t="s">
        <v>3174</v>
      </c>
      <c r="B383" s="2947" t="s">
        <v>3180</v>
      </c>
      <c r="C383" s="2947">
        <v>1260</v>
      </c>
      <c r="D383" s="2947">
        <v>1230</v>
      </c>
      <c r="E383" s="2947">
        <v>1200</v>
      </c>
      <c r="F383" s="2947">
        <v>420</v>
      </c>
      <c r="G383" s="2960">
        <v>770</v>
      </c>
    </row>
    <row r="384" spans="1:7" s="2782" customFormat="1" ht="12" thickBot="1">
      <c r="A384" s="2966" t="s">
        <v>3174</v>
      </c>
      <c r="B384" s="2954" t="s">
        <v>3181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22" t="s">
        <v>3182</v>
      </c>
      <c r="B1" s="3622"/>
    </row>
    <row r="2" spans="1:7" ht="14.25" thickBot="1">
      <c r="A2" s="2968"/>
      <c r="B2" s="2968"/>
    </row>
    <row r="3" spans="1:7" ht="14.25" thickBot="1">
      <c r="A3" s="2968"/>
      <c r="B3" s="2968"/>
      <c r="C3" s="2969" t="s">
        <v>2812</v>
      </c>
      <c r="D3" s="2969" t="s">
        <v>2868</v>
      </c>
      <c r="E3" s="2969" t="s">
        <v>2814</v>
      </c>
      <c r="F3" s="2969" t="s">
        <v>2869</v>
      </c>
      <c r="G3" s="2969" t="s">
        <v>2632</v>
      </c>
    </row>
    <row r="4" spans="1:7" ht="14.25" thickBot="1">
      <c r="A4" s="2970" t="s">
        <v>2867</v>
      </c>
      <c r="B4" s="2971" t="s">
        <v>2873</v>
      </c>
      <c r="C4" s="2969"/>
      <c r="D4" s="2969"/>
      <c r="E4" s="2969"/>
      <c r="F4" s="2969"/>
      <c r="G4" s="2969"/>
    </row>
    <row r="5" spans="1:7">
      <c r="A5" s="2972" t="s">
        <v>2841</v>
      </c>
      <c r="B5" s="2973" t="s">
        <v>2855</v>
      </c>
      <c r="C5" s="2974">
        <v>9.8000000000000004E-2</v>
      </c>
      <c r="D5" s="2974">
        <v>8.6999999999999994E-2</v>
      </c>
      <c r="E5" s="2974">
        <v>8.6999999999999994E-2</v>
      </c>
      <c r="F5" s="2974">
        <v>9.8000000000000004E-2</v>
      </c>
      <c r="G5" s="2975">
        <v>9.5000000000000001E-2</v>
      </c>
    </row>
    <row r="6" spans="1:7">
      <c r="A6" s="2976" t="s">
        <v>144</v>
      </c>
      <c r="B6" s="2977" t="s">
        <v>2870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2924</v>
      </c>
      <c r="C29" s="2986"/>
      <c r="D29" s="2982">
        <v>5.1999999999999998E-2</v>
      </c>
      <c r="E29" s="2982">
        <v>7.0000000000000007E-2</v>
      </c>
      <c r="F29" s="2986"/>
      <c r="G29" s="2984">
        <v>7.0999999999999994E-2</v>
      </c>
    </row>
    <row r="30" spans="1:7">
      <c r="A30" s="2987" t="s">
        <v>296</v>
      </c>
      <c r="B30" s="2973" t="s">
        <v>2857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2927</v>
      </c>
      <c r="C50" s="2978">
        <v>9.8000000000000004E-2</v>
      </c>
      <c r="D50" s="2978">
        <v>7.2999999999999995E-2</v>
      </c>
      <c r="E50" s="2978">
        <v>7.0999999999999994E-2</v>
      </c>
      <c r="F50" s="2989"/>
      <c r="G50" s="2979">
        <v>7.2999999999999995E-2</v>
      </c>
    </row>
    <row r="51" spans="1:7">
      <c r="A51" s="2988" t="s">
        <v>296</v>
      </c>
      <c r="B51" s="2977" t="s">
        <v>2929</v>
      </c>
      <c r="C51" s="2978">
        <v>9.9000000000000005E-2</v>
      </c>
      <c r="D51" s="2978">
        <v>8.5000000000000006E-2</v>
      </c>
      <c r="E51" s="2978">
        <v>6.3E-2</v>
      </c>
      <c r="F51" s="2989"/>
      <c r="G51" s="2979">
        <v>9.6000000000000002E-2</v>
      </c>
    </row>
    <row r="52" spans="1:7">
      <c r="A52" s="2988" t="s">
        <v>296</v>
      </c>
      <c r="B52" s="2977" t="s">
        <v>2933</v>
      </c>
      <c r="C52" s="2978">
        <v>7.3999999999999996E-2</v>
      </c>
      <c r="D52" s="2978">
        <v>9.6000000000000002E-2</v>
      </c>
      <c r="E52" s="2978">
        <v>0.05</v>
      </c>
      <c r="F52" s="2989"/>
      <c r="G52" s="2979">
        <v>9.8000000000000004E-2</v>
      </c>
    </row>
    <row r="53" spans="1:7">
      <c r="A53" s="2988" t="s">
        <v>296</v>
      </c>
      <c r="B53" s="2977" t="s">
        <v>2938</v>
      </c>
      <c r="C53" s="2978">
        <v>8.5999999999999993E-2</v>
      </c>
      <c r="D53" s="2989"/>
      <c r="E53" s="2978">
        <v>9.1999999999999998E-2</v>
      </c>
      <c r="F53" s="2989"/>
      <c r="G53" s="2990"/>
    </row>
    <row r="54" spans="1:7" ht="14.25" thickBot="1">
      <c r="A54" s="2991" t="s">
        <v>296</v>
      </c>
      <c r="B54" s="2981" t="s">
        <v>2941</v>
      </c>
      <c r="C54" s="2982">
        <v>9.6000000000000002E-2</v>
      </c>
      <c r="D54" s="2983"/>
      <c r="E54" s="2992"/>
      <c r="F54" s="2983"/>
      <c r="G54" s="2993"/>
    </row>
    <row r="55" spans="1:7">
      <c r="A55" s="2987" t="s">
        <v>110</v>
      </c>
      <c r="B55" s="2973" t="s">
        <v>2858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2939</v>
      </c>
      <c r="C78" s="2978">
        <v>0.1</v>
      </c>
      <c r="D78" s="2978">
        <v>8.5000000000000006E-2</v>
      </c>
      <c r="E78" s="2978">
        <v>9.6000000000000002E-2</v>
      </c>
      <c r="F78" s="2989"/>
      <c r="G78" s="2979">
        <v>9.6000000000000002E-2</v>
      </c>
    </row>
    <row r="79" spans="1:7">
      <c r="A79" s="2988" t="s">
        <v>110</v>
      </c>
      <c r="B79" s="2977" t="s">
        <v>2942</v>
      </c>
      <c r="C79" s="2978">
        <v>0.05</v>
      </c>
      <c r="D79" s="2978">
        <v>9.6000000000000002E-2</v>
      </c>
      <c r="E79" s="2978">
        <v>9.5000000000000001E-2</v>
      </c>
      <c r="F79" s="2989"/>
      <c r="G79" s="2979">
        <v>9.8000000000000004E-2</v>
      </c>
    </row>
    <row r="80" spans="1:7">
      <c r="A80" s="2988" t="s">
        <v>110</v>
      </c>
      <c r="B80" s="2977" t="s">
        <v>2946</v>
      </c>
      <c r="C80" s="2978">
        <v>8.5999999999999993E-2</v>
      </c>
      <c r="D80" s="2994"/>
      <c r="E80" s="2978">
        <v>0.1</v>
      </c>
      <c r="F80" s="2989"/>
      <c r="G80" s="2990"/>
    </row>
    <row r="81" spans="1:7">
      <c r="A81" s="2988" t="s">
        <v>110</v>
      </c>
      <c r="B81" s="2977" t="s">
        <v>2951</v>
      </c>
      <c r="C81" s="2978">
        <v>9.6000000000000002E-2</v>
      </c>
      <c r="D81" s="2989"/>
      <c r="E81" s="2978">
        <v>9.8000000000000004E-2</v>
      </c>
      <c r="F81" s="2989"/>
      <c r="G81" s="2990"/>
    </row>
    <row r="82" spans="1:7">
      <c r="A82" s="2988" t="s">
        <v>110</v>
      </c>
      <c r="B82" s="2977" t="s">
        <v>2958</v>
      </c>
      <c r="C82" s="2994"/>
      <c r="D82" s="2989"/>
      <c r="E82" s="2978">
        <v>7.6999999999999999E-2</v>
      </c>
      <c r="F82" s="2989"/>
      <c r="G82" s="2990"/>
    </row>
    <row r="83" spans="1:7">
      <c r="A83" s="2988" t="s">
        <v>110</v>
      </c>
      <c r="B83" s="2977" t="s">
        <v>2964</v>
      </c>
      <c r="C83" s="2989"/>
      <c r="D83" s="2989"/>
      <c r="E83" s="2989"/>
      <c r="F83" s="2978">
        <v>0.1</v>
      </c>
      <c r="G83" s="2995"/>
    </row>
    <row r="84" spans="1:7">
      <c r="A84" s="2988" t="s">
        <v>110</v>
      </c>
      <c r="B84" s="2977" t="s">
        <v>2971</v>
      </c>
      <c r="C84" s="2989"/>
      <c r="D84" s="2989"/>
      <c r="E84" s="2989"/>
      <c r="F84" s="2978">
        <v>0.1</v>
      </c>
      <c r="G84" s="2995"/>
    </row>
    <row r="85" spans="1:7">
      <c r="A85" s="2988" t="s">
        <v>110</v>
      </c>
      <c r="B85" s="2977" t="s">
        <v>2978</v>
      </c>
      <c r="C85" s="2989"/>
      <c r="D85" s="2989"/>
      <c r="E85" s="2989"/>
      <c r="F85" s="2978">
        <v>0.1</v>
      </c>
      <c r="G85" s="2995"/>
    </row>
    <row r="86" spans="1:7" ht="14.25" thickBot="1">
      <c r="A86" s="2991" t="s">
        <v>110</v>
      </c>
      <c r="B86" s="2981" t="s">
        <v>2983</v>
      </c>
      <c r="C86" s="2982">
        <v>9.8000000000000004E-2</v>
      </c>
      <c r="D86" s="2982">
        <v>9.8000000000000004E-2</v>
      </c>
      <c r="E86" s="2982">
        <v>9.6000000000000002E-2</v>
      </c>
      <c r="F86" s="2992"/>
      <c r="G86" s="2984">
        <v>0.1</v>
      </c>
    </row>
    <row r="87" spans="1:7">
      <c r="A87" s="2987" t="s">
        <v>303</v>
      </c>
      <c r="B87" s="2973" t="s">
        <v>2859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2952</v>
      </c>
      <c r="C113" s="2978">
        <v>0.1</v>
      </c>
      <c r="D113" s="2978">
        <v>0.1</v>
      </c>
      <c r="E113" s="2989"/>
      <c r="F113" s="2989"/>
      <c r="G113" s="2979">
        <v>0.1</v>
      </c>
    </row>
    <row r="114" spans="1:7">
      <c r="A114" s="2988" t="s">
        <v>303</v>
      </c>
      <c r="B114" s="2977" t="s">
        <v>2959</v>
      </c>
      <c r="C114" s="2978">
        <v>9.7000000000000003E-2</v>
      </c>
      <c r="D114" s="2978">
        <v>9.7000000000000003E-2</v>
      </c>
      <c r="E114" s="2989"/>
      <c r="F114" s="2989"/>
      <c r="G114" s="2979">
        <v>9.9000000000000005E-2</v>
      </c>
    </row>
    <row r="115" spans="1:7">
      <c r="A115" s="2988" t="s">
        <v>303</v>
      </c>
      <c r="B115" s="2977" t="s">
        <v>2965</v>
      </c>
      <c r="C115" s="2978">
        <v>0.1</v>
      </c>
      <c r="D115" s="2978">
        <v>0.1</v>
      </c>
      <c r="E115" s="2989"/>
      <c r="F115" s="2989"/>
      <c r="G115" s="2979">
        <v>0.1</v>
      </c>
    </row>
    <row r="116" spans="1:7">
      <c r="A116" s="2988" t="s">
        <v>303</v>
      </c>
      <c r="B116" s="2977" t="s">
        <v>2972</v>
      </c>
      <c r="C116" s="2978">
        <v>0.1</v>
      </c>
      <c r="D116" s="2978">
        <v>0.1</v>
      </c>
      <c r="E116" s="2989"/>
      <c r="F116" s="2989"/>
      <c r="G116" s="2979">
        <v>0.1</v>
      </c>
    </row>
    <row r="117" spans="1:7">
      <c r="A117" s="2988" t="s">
        <v>303</v>
      </c>
      <c r="B117" s="2977" t="s">
        <v>2979</v>
      </c>
      <c r="C117" s="2978">
        <v>9.7000000000000003E-2</v>
      </c>
      <c r="D117" s="2978">
        <v>9.7000000000000003E-2</v>
      </c>
      <c r="E117" s="2989"/>
      <c r="F117" s="2989"/>
      <c r="G117" s="2979">
        <v>9.7000000000000003E-2</v>
      </c>
    </row>
    <row r="118" spans="1:7">
      <c r="A118" s="2988" t="s">
        <v>303</v>
      </c>
      <c r="B118" s="2977" t="s">
        <v>2984</v>
      </c>
      <c r="C118" s="2978">
        <v>0.1</v>
      </c>
      <c r="D118" s="2978">
        <v>0.1</v>
      </c>
      <c r="E118" s="2989"/>
      <c r="F118" s="2989"/>
      <c r="G118" s="2979">
        <v>0.1</v>
      </c>
    </row>
    <row r="119" spans="1:7">
      <c r="A119" s="2988" t="s">
        <v>303</v>
      </c>
      <c r="B119" s="2977" t="s">
        <v>2988</v>
      </c>
      <c r="C119" s="2978">
        <v>5.0999999999999997E-2</v>
      </c>
      <c r="D119" s="2978">
        <v>5.1999999999999998E-2</v>
      </c>
      <c r="E119" s="2989"/>
      <c r="F119" s="2994"/>
      <c r="G119" s="2979">
        <v>0.06</v>
      </c>
    </row>
    <row r="120" spans="1:7">
      <c r="A120" s="2988" t="s">
        <v>303</v>
      </c>
      <c r="B120" s="2977" t="s">
        <v>2992</v>
      </c>
      <c r="C120" s="2989"/>
      <c r="D120" s="2989"/>
      <c r="E120" s="2989"/>
      <c r="F120" s="2978">
        <v>0.1</v>
      </c>
      <c r="G120" s="2995"/>
    </row>
    <row r="121" spans="1:7">
      <c r="A121" s="2988" t="s">
        <v>303</v>
      </c>
      <c r="B121" s="2977" t="s">
        <v>2997</v>
      </c>
      <c r="C121" s="2989"/>
      <c r="D121" s="2989"/>
      <c r="E121" s="2989"/>
      <c r="F121" s="2978">
        <v>0.1</v>
      </c>
      <c r="G121" s="2995"/>
    </row>
    <row r="122" spans="1:7">
      <c r="A122" s="2988" t="s">
        <v>303</v>
      </c>
      <c r="B122" s="2977" t="s">
        <v>3002</v>
      </c>
      <c r="C122" s="2978">
        <v>0.1</v>
      </c>
      <c r="D122" s="2978">
        <v>0.1</v>
      </c>
      <c r="E122" s="2978">
        <v>9.8000000000000004E-2</v>
      </c>
      <c r="F122" s="2978">
        <v>0.1</v>
      </c>
      <c r="G122" s="2979">
        <v>0.1</v>
      </c>
    </row>
    <row r="123" spans="1:7">
      <c r="A123" s="2988" t="s">
        <v>303</v>
      </c>
      <c r="B123" s="2977" t="s">
        <v>3007</v>
      </c>
      <c r="C123" s="2978">
        <v>0.1</v>
      </c>
      <c r="D123" s="2978">
        <v>0.1</v>
      </c>
      <c r="E123" s="2978">
        <v>9.8000000000000004E-2</v>
      </c>
      <c r="F123" s="2978">
        <v>0.1</v>
      </c>
      <c r="G123" s="2979">
        <v>0.1</v>
      </c>
    </row>
    <row r="124" spans="1:7">
      <c r="A124" s="2988" t="s">
        <v>303</v>
      </c>
      <c r="B124" s="2977" t="s">
        <v>3012</v>
      </c>
      <c r="C124" s="2978">
        <v>0.1</v>
      </c>
      <c r="D124" s="2978">
        <v>0.1</v>
      </c>
      <c r="E124" s="2978">
        <v>9.8000000000000004E-2</v>
      </c>
      <c r="F124" s="2994"/>
      <c r="G124" s="2979">
        <v>0.1</v>
      </c>
    </row>
    <row r="125" spans="1:7">
      <c r="A125" s="2988" t="s">
        <v>303</v>
      </c>
      <c r="B125" s="2977" t="s">
        <v>3017</v>
      </c>
      <c r="C125" s="2978">
        <v>9.8000000000000004E-2</v>
      </c>
      <c r="D125" s="2978">
        <v>9.8000000000000004E-2</v>
      </c>
      <c r="E125" s="2978">
        <v>9.6000000000000002E-2</v>
      </c>
      <c r="F125" s="2994"/>
      <c r="G125" s="2979">
        <v>0.1</v>
      </c>
    </row>
    <row r="126" spans="1:7" ht="14.25" thickBot="1">
      <c r="A126" s="2991" t="s">
        <v>303</v>
      </c>
      <c r="B126" s="2981" t="s">
        <v>3183</v>
      </c>
      <c r="C126" s="2982">
        <v>0.1</v>
      </c>
      <c r="D126" s="2982">
        <v>0.1</v>
      </c>
      <c r="E126" s="2982">
        <v>9.8000000000000004E-2</v>
      </c>
      <c r="F126" s="2982">
        <v>0.1</v>
      </c>
      <c r="G126" s="2984">
        <v>0.1</v>
      </c>
    </row>
    <row r="127" spans="1:7">
      <c r="A127" s="2987" t="s">
        <v>29</v>
      </c>
      <c r="B127" s="2973" t="s">
        <v>2860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2930</v>
      </c>
      <c r="C148" s="2978">
        <v>0.13</v>
      </c>
      <c r="D148" s="2978">
        <v>0.13</v>
      </c>
      <c r="E148" s="2978">
        <v>0.13</v>
      </c>
      <c r="F148" s="2989"/>
      <c r="G148" s="2979">
        <v>0.13</v>
      </c>
    </row>
    <row r="149" spans="1:7">
      <c r="A149" s="2988" t="s">
        <v>29</v>
      </c>
      <c r="B149" s="2977" t="s">
        <v>2934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2953</v>
      </c>
      <c r="C153" s="2978">
        <v>0.13</v>
      </c>
      <c r="D153" s="2978">
        <v>0.13</v>
      </c>
      <c r="E153" s="2978">
        <v>0.13</v>
      </c>
      <c r="F153" s="2978">
        <v>0.13</v>
      </c>
      <c r="G153" s="2979">
        <v>0.13</v>
      </c>
    </row>
    <row r="154" spans="1:7">
      <c r="A154" s="2988" t="s">
        <v>29</v>
      </c>
      <c r="B154" s="2977" t="s">
        <v>2960</v>
      </c>
      <c r="C154" s="2978">
        <v>0.121</v>
      </c>
      <c r="D154" s="2978">
        <v>0.121</v>
      </c>
      <c r="E154" s="2978">
        <v>0.105</v>
      </c>
      <c r="F154" s="2978">
        <v>0.121</v>
      </c>
      <c r="G154" s="2979">
        <v>0.123</v>
      </c>
    </row>
    <row r="155" spans="1:7">
      <c r="A155" s="2988" t="s">
        <v>29</v>
      </c>
      <c r="B155" s="2977" t="s">
        <v>2966</v>
      </c>
      <c r="C155" s="2978">
        <v>0.1</v>
      </c>
      <c r="D155" s="2978">
        <v>0.1</v>
      </c>
      <c r="E155" s="2978">
        <v>0.1</v>
      </c>
      <c r="F155" s="2978">
        <v>0.1</v>
      </c>
      <c r="G155" s="2979">
        <v>0.1</v>
      </c>
    </row>
    <row r="156" spans="1:7">
      <c r="A156" s="2988" t="s">
        <v>29</v>
      </c>
      <c r="B156" s="2977" t="s">
        <v>2973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2993</v>
      </c>
      <c r="C160" s="2978">
        <v>0.13</v>
      </c>
      <c r="D160" s="2978">
        <v>0.13</v>
      </c>
      <c r="E160" s="2978">
        <v>0.124</v>
      </c>
      <c r="F160" s="2978">
        <v>0.126</v>
      </c>
      <c r="G160" s="2979">
        <v>0.13</v>
      </c>
    </row>
    <row r="161" spans="1:7">
      <c r="A161" s="2988" t="s">
        <v>29</v>
      </c>
      <c r="B161" s="2977" t="s">
        <v>2998</v>
      </c>
      <c r="C161" s="2978">
        <v>0.13</v>
      </c>
      <c r="D161" s="2978">
        <v>0.13</v>
      </c>
      <c r="E161" s="2978">
        <v>0.124</v>
      </c>
      <c r="F161" s="2978">
        <v>0.127</v>
      </c>
      <c r="G161" s="2979">
        <v>0.13</v>
      </c>
    </row>
    <row r="162" spans="1:7">
      <c r="A162" s="2988" t="s">
        <v>29</v>
      </c>
      <c r="B162" s="2977" t="s">
        <v>3003</v>
      </c>
      <c r="C162" s="2978">
        <v>0.1</v>
      </c>
      <c r="D162" s="2978">
        <v>0.1</v>
      </c>
      <c r="E162" s="2978">
        <v>0.1</v>
      </c>
      <c r="F162" s="2978">
        <v>0.121</v>
      </c>
      <c r="G162" s="2979">
        <v>0.105</v>
      </c>
    </row>
    <row r="163" spans="1:7">
      <c r="A163" s="2988" t="s">
        <v>29</v>
      </c>
      <c r="B163" s="2977" t="s">
        <v>3008</v>
      </c>
      <c r="C163" s="2978">
        <v>0.1</v>
      </c>
      <c r="D163" s="2978">
        <v>0.1</v>
      </c>
      <c r="E163" s="2978">
        <v>0.1</v>
      </c>
      <c r="F163" s="2978">
        <v>0.1</v>
      </c>
      <c r="G163" s="2979">
        <v>0.1</v>
      </c>
    </row>
    <row r="164" spans="1:7">
      <c r="A164" s="2988" t="s">
        <v>29</v>
      </c>
      <c r="B164" s="2977" t="s">
        <v>3013</v>
      </c>
      <c r="C164" s="2994"/>
      <c r="D164" s="2994"/>
      <c r="E164" s="2994"/>
      <c r="F164" s="2978">
        <v>0.1</v>
      </c>
      <c r="G164" s="2990"/>
    </row>
    <row r="165" spans="1:7">
      <c r="A165" s="2988" t="s">
        <v>29</v>
      </c>
      <c r="B165" s="2977" t="s">
        <v>3184</v>
      </c>
      <c r="C165" s="2978">
        <v>0.126</v>
      </c>
      <c r="D165" s="2978">
        <v>0.126</v>
      </c>
      <c r="E165" s="2978">
        <v>0.11899999999999999</v>
      </c>
      <c r="F165" s="2978">
        <v>0.13</v>
      </c>
      <c r="G165" s="2979">
        <v>0.128</v>
      </c>
    </row>
    <row r="166" spans="1:7">
      <c r="A166" s="2988" t="s">
        <v>29</v>
      </c>
      <c r="B166" s="2977" t="s">
        <v>3023</v>
      </c>
      <c r="C166" s="2978">
        <v>0.129</v>
      </c>
      <c r="D166" s="2978">
        <v>0.129</v>
      </c>
      <c r="E166" s="2978">
        <v>0.123</v>
      </c>
      <c r="F166" s="2978">
        <v>0.128</v>
      </c>
      <c r="G166" s="2979">
        <v>0.13</v>
      </c>
    </row>
    <row r="167" spans="1:7">
      <c r="A167" s="2988" t="s">
        <v>29</v>
      </c>
      <c r="B167" s="2977" t="s">
        <v>3027</v>
      </c>
      <c r="C167" s="2978">
        <v>0.125</v>
      </c>
      <c r="D167" s="2978">
        <v>0.125</v>
      </c>
      <c r="E167" s="2978">
        <v>0.11700000000000001</v>
      </c>
      <c r="F167" s="2978">
        <v>0.13</v>
      </c>
      <c r="G167" s="2979">
        <v>0.126</v>
      </c>
    </row>
    <row r="168" spans="1:7">
      <c r="A168" s="2988" t="s">
        <v>29</v>
      </c>
      <c r="B168" s="2977" t="s">
        <v>3032</v>
      </c>
      <c r="C168" s="2978">
        <v>0.128</v>
      </c>
      <c r="D168" s="2978">
        <v>0.128</v>
      </c>
      <c r="E168" s="2978">
        <v>0.123</v>
      </c>
      <c r="F168" s="2989"/>
      <c r="G168" s="2979">
        <v>0.13</v>
      </c>
    </row>
    <row r="169" spans="1:7">
      <c r="A169" s="2988" t="s">
        <v>29</v>
      </c>
      <c r="B169" s="2977" t="s">
        <v>3185</v>
      </c>
      <c r="C169" s="2994"/>
      <c r="D169" s="2994"/>
      <c r="E169" s="2994"/>
      <c r="F169" s="2978">
        <v>0.05</v>
      </c>
      <c r="G169" s="2990"/>
    </row>
    <row r="170" spans="1:7">
      <c r="A170" s="2988" t="s">
        <v>29</v>
      </c>
      <c r="B170" s="2977" t="s">
        <v>3186</v>
      </c>
      <c r="C170" s="2994"/>
      <c r="D170" s="2994"/>
      <c r="E170" s="2994"/>
      <c r="F170" s="2978">
        <v>0.05</v>
      </c>
      <c r="G170" s="2990"/>
    </row>
    <row r="171" spans="1:7">
      <c r="A171" s="2988" t="s">
        <v>29</v>
      </c>
      <c r="B171" s="2977" t="s">
        <v>3187</v>
      </c>
      <c r="C171" s="2994"/>
      <c r="D171" s="2994"/>
      <c r="E171" s="2994"/>
      <c r="F171" s="2978">
        <v>0.05</v>
      </c>
      <c r="G171" s="2995"/>
    </row>
    <row r="172" spans="1:7">
      <c r="A172" s="2988" t="s">
        <v>29</v>
      </c>
      <c r="B172" s="2977" t="s">
        <v>3188</v>
      </c>
      <c r="C172" s="2994"/>
      <c r="D172" s="2994"/>
      <c r="E172" s="2994"/>
      <c r="F172" s="2978">
        <v>0.05</v>
      </c>
      <c r="G172" s="2995"/>
    </row>
    <row r="173" spans="1:7">
      <c r="A173" s="2988" t="s">
        <v>29</v>
      </c>
      <c r="B173" s="2977" t="s">
        <v>3189</v>
      </c>
      <c r="C173" s="2994"/>
      <c r="D173" s="2994"/>
      <c r="E173" s="2994"/>
      <c r="F173" s="2978">
        <v>0.05</v>
      </c>
      <c r="G173" s="2990"/>
    </row>
    <row r="174" spans="1:7">
      <c r="A174" s="2988" t="s">
        <v>29</v>
      </c>
      <c r="B174" s="2977" t="s">
        <v>3190</v>
      </c>
      <c r="C174" s="2994"/>
      <c r="D174" s="2994"/>
      <c r="E174" s="2994"/>
      <c r="F174" s="2978">
        <v>0.05</v>
      </c>
      <c r="G174" s="2990"/>
    </row>
    <row r="175" spans="1:7">
      <c r="A175" s="2988" t="s">
        <v>29</v>
      </c>
      <c r="B175" s="2977" t="s">
        <v>3191</v>
      </c>
      <c r="C175" s="2994"/>
      <c r="D175" s="2994"/>
      <c r="E175" s="2994"/>
      <c r="F175" s="2978">
        <v>0.05</v>
      </c>
      <c r="G175" s="2990"/>
    </row>
    <row r="176" spans="1:7">
      <c r="A176" s="2988" t="s">
        <v>29</v>
      </c>
      <c r="B176" s="2977" t="s">
        <v>3192</v>
      </c>
      <c r="C176" s="2994"/>
      <c r="D176" s="2994"/>
      <c r="E176" s="2994"/>
      <c r="F176" s="2978">
        <v>0.05</v>
      </c>
      <c r="G176" s="2990"/>
    </row>
    <row r="177" spans="1:7">
      <c r="A177" s="2988" t="s">
        <v>29</v>
      </c>
      <c r="B177" s="2977" t="s">
        <v>3193</v>
      </c>
      <c r="C177" s="2989"/>
      <c r="D177" s="2989"/>
      <c r="E177" s="2989"/>
      <c r="F177" s="2978">
        <v>0.05</v>
      </c>
      <c r="G177" s="2995"/>
    </row>
    <row r="178" spans="1:7">
      <c r="A178" s="2988" t="s">
        <v>29</v>
      </c>
      <c r="B178" s="2977" t="s">
        <v>3194</v>
      </c>
      <c r="C178" s="2989"/>
      <c r="D178" s="2989"/>
      <c r="E178" s="2989"/>
      <c r="F178" s="2978">
        <v>0.05</v>
      </c>
      <c r="G178" s="2995"/>
    </row>
    <row r="179" spans="1:7">
      <c r="A179" s="2988" t="s">
        <v>29</v>
      </c>
      <c r="B179" s="2977" t="s">
        <v>3195</v>
      </c>
      <c r="C179" s="2989"/>
      <c r="D179" s="2989"/>
      <c r="E179" s="2989"/>
      <c r="F179" s="2978">
        <v>0.05</v>
      </c>
      <c r="G179" s="2995"/>
    </row>
    <row r="180" spans="1:7">
      <c r="A180" s="2988" t="s">
        <v>29</v>
      </c>
      <c r="B180" s="2977" t="s">
        <v>3196</v>
      </c>
      <c r="C180" s="2989"/>
      <c r="D180" s="2989"/>
      <c r="E180" s="2989"/>
      <c r="F180" s="2978">
        <v>0.05</v>
      </c>
      <c r="G180" s="2995"/>
    </row>
    <row r="181" spans="1:7">
      <c r="A181" s="2988" t="s">
        <v>29</v>
      </c>
      <c r="B181" s="2977" t="s">
        <v>3197</v>
      </c>
      <c r="C181" s="2989"/>
      <c r="D181" s="2989"/>
      <c r="E181" s="2989"/>
      <c r="F181" s="2978">
        <v>0.05</v>
      </c>
      <c r="G181" s="2995"/>
    </row>
    <row r="182" spans="1:7">
      <c r="A182" s="2988" t="s">
        <v>29</v>
      </c>
      <c r="B182" s="2977" t="s">
        <v>3198</v>
      </c>
      <c r="C182" s="2989"/>
      <c r="D182" s="2989"/>
      <c r="E182" s="2989"/>
      <c r="F182" s="2978">
        <v>0.05</v>
      </c>
      <c r="G182" s="2995"/>
    </row>
    <row r="183" spans="1:7">
      <c r="A183" s="2988" t="s">
        <v>29</v>
      </c>
      <c r="B183" s="2977" t="s">
        <v>3199</v>
      </c>
      <c r="C183" s="2989"/>
      <c r="D183" s="2989"/>
      <c r="E183" s="2989"/>
      <c r="F183" s="2978">
        <v>0.05</v>
      </c>
      <c r="G183" s="2995"/>
    </row>
    <row r="184" spans="1:7">
      <c r="A184" s="2988" t="s">
        <v>29</v>
      </c>
      <c r="B184" s="2977" t="s">
        <v>3200</v>
      </c>
      <c r="C184" s="2989"/>
      <c r="D184" s="2989"/>
      <c r="E184" s="2989"/>
      <c r="F184" s="2978">
        <v>0.05</v>
      </c>
      <c r="G184" s="2995"/>
    </row>
    <row r="185" spans="1:7">
      <c r="A185" s="2988" t="s">
        <v>29</v>
      </c>
      <c r="B185" s="2977" t="s">
        <v>3201</v>
      </c>
      <c r="C185" s="2989"/>
      <c r="D185" s="2989"/>
      <c r="E185" s="2989"/>
      <c r="F185" s="2978">
        <v>0.05</v>
      </c>
      <c r="G185" s="2995"/>
    </row>
    <row r="186" spans="1:7">
      <c r="A186" s="2988" t="s">
        <v>29</v>
      </c>
      <c r="B186" s="2977" t="s">
        <v>3202</v>
      </c>
      <c r="C186" s="2989"/>
      <c r="D186" s="2989"/>
      <c r="E186" s="2989"/>
      <c r="F186" s="2978">
        <v>0.05</v>
      </c>
      <c r="G186" s="2995"/>
    </row>
    <row r="187" spans="1:7">
      <c r="A187" s="2988" t="s">
        <v>29</v>
      </c>
      <c r="B187" s="2977" t="s">
        <v>3203</v>
      </c>
      <c r="C187" s="2989"/>
      <c r="D187" s="2989"/>
      <c r="E187" s="2989"/>
      <c r="F187" s="2978">
        <v>0.05</v>
      </c>
      <c r="G187" s="2995"/>
    </row>
    <row r="188" spans="1:7">
      <c r="A188" s="2988" t="s">
        <v>29</v>
      </c>
      <c r="B188" s="2977" t="s">
        <v>3204</v>
      </c>
      <c r="C188" s="2989"/>
      <c r="D188" s="2989"/>
      <c r="E188" s="2989"/>
      <c r="F188" s="2978">
        <v>0.05</v>
      </c>
      <c r="G188" s="2995"/>
    </row>
    <row r="189" spans="1:7" ht="14.25" thickBot="1">
      <c r="A189" s="2991" t="s">
        <v>29</v>
      </c>
      <c r="B189" s="2981" t="s">
        <v>3205</v>
      </c>
      <c r="C189" s="2983"/>
      <c r="D189" s="2983"/>
      <c r="E189" s="2983"/>
      <c r="F189" s="2982">
        <v>0.05</v>
      </c>
      <c r="G189" s="2996"/>
    </row>
    <row r="190" spans="1:7">
      <c r="A190" s="2987" t="s">
        <v>304</v>
      </c>
      <c r="B190" s="2973" t="s">
        <v>2861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2897</v>
      </c>
      <c r="C199" s="2978">
        <v>0.13</v>
      </c>
      <c r="D199" s="2978">
        <v>0.13</v>
      </c>
      <c r="E199" s="2978">
        <v>0.13</v>
      </c>
      <c r="F199" s="2978">
        <v>0.13</v>
      </c>
      <c r="G199" s="2979">
        <v>0.13</v>
      </c>
    </row>
    <row r="200" spans="1:7">
      <c r="A200" s="2988" t="s">
        <v>304</v>
      </c>
      <c r="B200" s="2977" t="s">
        <v>2900</v>
      </c>
      <c r="C200" s="2994"/>
      <c r="D200" s="2994"/>
      <c r="E200" s="2994"/>
      <c r="F200" s="2978">
        <v>0.13</v>
      </c>
      <c r="G200" s="2990"/>
    </row>
    <row r="201" spans="1:7">
      <c r="A201" s="2988" t="s">
        <v>304</v>
      </c>
      <c r="B201" s="2977" t="s">
        <v>2905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2908</v>
      </c>
      <c r="C203" s="2978">
        <v>0.129</v>
      </c>
      <c r="D203" s="2978">
        <v>0.129</v>
      </c>
      <c r="E203" s="2978">
        <v>0.13</v>
      </c>
      <c r="F203" s="2978">
        <v>0.13</v>
      </c>
      <c r="G203" s="2979">
        <v>0.13</v>
      </c>
    </row>
    <row r="204" spans="1:7">
      <c r="A204" s="2988" t="s">
        <v>304</v>
      </c>
      <c r="B204" s="2977" t="s">
        <v>2911</v>
      </c>
      <c r="C204" s="2978">
        <v>0.129</v>
      </c>
      <c r="D204" s="2978">
        <v>0.129</v>
      </c>
      <c r="E204" s="2978">
        <v>0.123</v>
      </c>
      <c r="F204" s="2978">
        <v>0.13</v>
      </c>
      <c r="G204" s="2979">
        <v>0.13</v>
      </c>
    </row>
    <row r="205" spans="1:7">
      <c r="A205" s="2988" t="s">
        <v>304</v>
      </c>
      <c r="B205" s="2977" t="s">
        <v>2913</v>
      </c>
      <c r="C205" s="2978">
        <v>0.13</v>
      </c>
      <c r="D205" s="2978">
        <v>0.13</v>
      </c>
      <c r="E205" s="2978">
        <v>0.13</v>
      </c>
      <c r="F205" s="2978">
        <v>0.13</v>
      </c>
      <c r="G205" s="2979">
        <v>0.13</v>
      </c>
    </row>
    <row r="206" spans="1:7">
      <c r="A206" s="2988" t="s">
        <v>304</v>
      </c>
      <c r="B206" s="2977" t="s">
        <v>2916</v>
      </c>
      <c r="C206" s="2978">
        <v>0.13</v>
      </c>
      <c r="D206" s="2978">
        <v>0.13</v>
      </c>
      <c r="E206" s="2978">
        <v>0.13</v>
      </c>
      <c r="F206" s="2978">
        <v>0.128</v>
      </c>
      <c r="G206" s="2979">
        <v>0.13</v>
      </c>
    </row>
    <row r="207" spans="1:7">
      <c r="A207" s="2988" t="s">
        <v>304</v>
      </c>
      <c r="B207" s="2977" t="s">
        <v>2918</v>
      </c>
      <c r="C207" s="2978">
        <v>0.13</v>
      </c>
      <c r="D207" s="2978">
        <v>0.13</v>
      </c>
      <c r="E207" s="2978">
        <v>0.13</v>
      </c>
      <c r="F207" s="2978">
        <v>0.13</v>
      </c>
      <c r="G207" s="2979">
        <v>0.13</v>
      </c>
    </row>
    <row r="208" spans="1:7">
      <c r="A208" s="2988" t="s">
        <v>304</v>
      </c>
      <c r="B208" s="2977" t="s">
        <v>2921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2928</v>
      </c>
      <c r="C210" s="2978">
        <v>0.121</v>
      </c>
      <c r="D210" s="2978">
        <v>0.121</v>
      </c>
      <c r="E210" s="2978">
        <v>0.125</v>
      </c>
      <c r="F210" s="2978">
        <v>0.13</v>
      </c>
      <c r="G210" s="2979">
        <v>0.123</v>
      </c>
    </row>
    <row r="211" spans="1:7">
      <c r="A211" s="2988" t="s">
        <v>304</v>
      </c>
      <c r="B211" s="2977" t="s">
        <v>2931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2943</v>
      </c>
      <c r="C214" s="2978">
        <v>0.128</v>
      </c>
      <c r="D214" s="2978">
        <v>0.128</v>
      </c>
      <c r="E214" s="2978">
        <v>0.13</v>
      </c>
      <c r="F214" s="2978">
        <v>0.13</v>
      </c>
      <c r="G214" s="2979">
        <v>0.13</v>
      </c>
    </row>
    <row r="215" spans="1:7">
      <c r="A215" s="2988" t="s">
        <v>304</v>
      </c>
      <c r="B215" s="2977" t="s">
        <v>2947</v>
      </c>
      <c r="C215" s="2978">
        <v>0.13</v>
      </c>
      <c r="D215" s="2978">
        <v>0.13</v>
      </c>
      <c r="E215" s="2978">
        <v>0.13</v>
      </c>
      <c r="F215" s="2978">
        <v>0.129</v>
      </c>
      <c r="G215" s="2979">
        <v>0.13</v>
      </c>
    </row>
    <row r="216" spans="1:7">
      <c r="A216" s="2988" t="s">
        <v>304</v>
      </c>
      <c r="B216" s="2977" t="s">
        <v>2954</v>
      </c>
      <c r="C216" s="2978">
        <v>0.13</v>
      </c>
      <c r="D216" s="2978">
        <v>0.13</v>
      </c>
      <c r="E216" s="2978">
        <v>0.13</v>
      </c>
      <c r="F216" s="2978">
        <v>0.13</v>
      </c>
      <c r="G216" s="2979">
        <v>0.13</v>
      </c>
    </row>
    <row r="217" spans="1:7">
      <c r="A217" s="2988" t="s">
        <v>304</v>
      </c>
      <c r="B217" s="2977" t="s">
        <v>2961</v>
      </c>
      <c r="C217" s="2978">
        <v>0.129</v>
      </c>
      <c r="D217" s="2978">
        <v>0.129</v>
      </c>
      <c r="E217" s="2978">
        <v>0.13</v>
      </c>
      <c r="F217" s="2978">
        <v>0.13</v>
      </c>
      <c r="G217" s="2979">
        <v>0.13</v>
      </c>
    </row>
    <row r="218" spans="1:7">
      <c r="A218" s="2988" t="s">
        <v>304</v>
      </c>
      <c r="B218" s="2977" t="s">
        <v>2967</v>
      </c>
      <c r="C218" s="2989"/>
      <c r="D218" s="2989"/>
      <c r="E218" s="2989"/>
      <c r="F218" s="2978">
        <v>0.05</v>
      </c>
      <c r="G218" s="2995"/>
    </row>
    <row r="219" spans="1:7">
      <c r="A219" s="2988" t="s">
        <v>304</v>
      </c>
      <c r="B219" s="2977" t="s">
        <v>2974</v>
      </c>
      <c r="C219" s="2989"/>
      <c r="D219" s="2989"/>
      <c r="E219" s="2989"/>
      <c r="F219" s="2978">
        <v>0.05</v>
      </c>
      <c r="G219" s="2995"/>
    </row>
    <row r="220" spans="1:7">
      <c r="A220" s="2988" t="s">
        <v>304</v>
      </c>
      <c r="B220" s="2977" t="s">
        <v>2980</v>
      </c>
      <c r="C220" s="2989"/>
      <c r="D220" s="2989"/>
      <c r="E220" s="2989"/>
      <c r="F220" s="2978">
        <v>0.05</v>
      </c>
      <c r="G220" s="2995"/>
    </row>
    <row r="221" spans="1:7">
      <c r="A221" s="2988" t="s">
        <v>304</v>
      </c>
      <c r="B221" s="2977" t="s">
        <v>2985</v>
      </c>
      <c r="C221" s="2989"/>
      <c r="D221" s="2989"/>
      <c r="E221" s="2989"/>
      <c r="F221" s="2978">
        <v>0.05</v>
      </c>
      <c r="G221" s="2995"/>
    </row>
    <row r="222" spans="1:7">
      <c r="A222" s="2988" t="s">
        <v>304</v>
      </c>
      <c r="B222" s="2977" t="s">
        <v>2989</v>
      </c>
      <c r="C222" s="2989"/>
      <c r="D222" s="2989"/>
      <c r="E222" s="2989"/>
      <c r="F222" s="2978">
        <v>0.05</v>
      </c>
      <c r="G222" s="2995"/>
    </row>
    <row r="223" spans="1:7">
      <c r="A223" s="2988" t="s">
        <v>304</v>
      </c>
      <c r="B223" s="2977" t="s">
        <v>2994</v>
      </c>
      <c r="C223" s="2989"/>
      <c r="D223" s="2989"/>
      <c r="E223" s="2989"/>
      <c r="F223" s="2978">
        <v>0.05</v>
      </c>
      <c r="G223" s="2995"/>
    </row>
    <row r="224" spans="1:7">
      <c r="A224" s="2988" t="s">
        <v>304</v>
      </c>
      <c r="B224" s="2977" t="s">
        <v>2999</v>
      </c>
      <c r="C224" s="2989"/>
      <c r="D224" s="2989"/>
      <c r="E224" s="2989"/>
      <c r="F224" s="2978">
        <v>0.05</v>
      </c>
      <c r="G224" s="2995"/>
    </row>
    <row r="225" spans="1:7">
      <c r="A225" s="2988" t="s">
        <v>304</v>
      </c>
      <c r="B225" s="2977" t="s">
        <v>3004</v>
      </c>
      <c r="C225" s="2989"/>
      <c r="D225" s="2989"/>
      <c r="E225" s="2989"/>
      <c r="F225" s="2978">
        <v>0.05</v>
      </c>
      <c r="G225" s="2995"/>
    </row>
    <row r="226" spans="1:7">
      <c r="A226" s="2988" t="s">
        <v>304</v>
      </c>
      <c r="B226" s="2977" t="s">
        <v>3206</v>
      </c>
      <c r="C226" s="2989"/>
      <c r="D226" s="2989"/>
      <c r="E226" s="2989"/>
      <c r="F226" s="2978">
        <v>0.05</v>
      </c>
      <c r="G226" s="2995"/>
    </row>
    <row r="227" spans="1:7">
      <c r="A227" s="2988" t="s">
        <v>304</v>
      </c>
      <c r="B227" s="2977" t="s">
        <v>3207</v>
      </c>
      <c r="C227" s="2989"/>
      <c r="D227" s="2989"/>
      <c r="E227" s="2989"/>
      <c r="F227" s="2978">
        <v>0.05</v>
      </c>
      <c r="G227" s="2995"/>
    </row>
    <row r="228" spans="1:7">
      <c r="A228" s="2988" t="s">
        <v>304</v>
      </c>
      <c r="B228" s="2977" t="s">
        <v>3208</v>
      </c>
      <c r="C228" s="2989"/>
      <c r="D228" s="2989"/>
      <c r="E228" s="2989"/>
      <c r="F228" s="2978">
        <v>0.05</v>
      </c>
      <c r="G228" s="2995"/>
    </row>
    <row r="229" spans="1:7">
      <c r="A229" s="2988" t="s">
        <v>304</v>
      </c>
      <c r="B229" s="2977" t="s">
        <v>3209</v>
      </c>
      <c r="C229" s="2989"/>
      <c r="D229" s="2989"/>
      <c r="E229" s="2989"/>
      <c r="F229" s="2978">
        <v>0.05</v>
      </c>
      <c r="G229" s="2995"/>
    </row>
    <row r="230" spans="1:7">
      <c r="A230" s="2988" t="s">
        <v>304</v>
      </c>
      <c r="B230" s="2977" t="s">
        <v>3210</v>
      </c>
      <c r="C230" s="2989"/>
      <c r="D230" s="2989"/>
      <c r="E230" s="2989"/>
      <c r="F230" s="2978">
        <v>0.05</v>
      </c>
      <c r="G230" s="2995"/>
    </row>
    <row r="231" spans="1:7">
      <c r="A231" s="2988" t="s">
        <v>304</v>
      </c>
      <c r="B231" s="2977" t="s">
        <v>3211</v>
      </c>
      <c r="C231" s="2989"/>
      <c r="D231" s="2989"/>
      <c r="E231" s="2989"/>
      <c r="F231" s="2978">
        <v>0.05</v>
      </c>
      <c r="G231" s="2995"/>
    </row>
    <row r="232" spans="1:7">
      <c r="A232" s="2988" t="s">
        <v>304</v>
      </c>
      <c r="B232" s="2977" t="s">
        <v>3212</v>
      </c>
      <c r="C232" s="2989"/>
      <c r="D232" s="2989"/>
      <c r="E232" s="2989"/>
      <c r="F232" s="2978">
        <v>0.05</v>
      </c>
      <c r="G232" s="2995"/>
    </row>
    <row r="233" spans="1:7" ht="14.25" thickBot="1">
      <c r="A233" s="2991" t="s">
        <v>304</v>
      </c>
      <c r="B233" s="2981" t="s">
        <v>3213</v>
      </c>
      <c r="C233" s="2983"/>
      <c r="D233" s="2983"/>
      <c r="E233" s="2983"/>
      <c r="F233" s="2982">
        <v>0.05</v>
      </c>
      <c r="G233" s="2996"/>
    </row>
    <row r="234" spans="1:7">
      <c r="A234" s="2987" t="s">
        <v>305</v>
      </c>
      <c r="B234" s="2973" t="s">
        <v>2862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2882</v>
      </c>
      <c r="C238" s="2978">
        <v>0.14899999999999999</v>
      </c>
      <c r="D238" s="2978">
        <v>0.14899999999999999</v>
      </c>
      <c r="E238" s="2978">
        <v>0.15</v>
      </c>
      <c r="F238" s="2978">
        <v>0.15</v>
      </c>
      <c r="G238" s="2979">
        <v>0.15</v>
      </c>
    </row>
    <row r="239" spans="1:7">
      <c r="A239" s="2988" t="s">
        <v>305</v>
      </c>
      <c r="B239" s="2977" t="s">
        <v>2886</v>
      </c>
      <c r="C239" s="2978">
        <v>0.15</v>
      </c>
      <c r="D239" s="2978">
        <v>0.15</v>
      </c>
      <c r="E239" s="2978">
        <v>0.15</v>
      </c>
      <c r="F239" s="2978">
        <v>0.15</v>
      </c>
      <c r="G239" s="2979">
        <v>0.15</v>
      </c>
    </row>
    <row r="240" spans="1:7">
      <c r="A240" s="2988" t="s">
        <v>305</v>
      </c>
      <c r="B240" s="2977" t="s">
        <v>2891</v>
      </c>
      <c r="C240" s="2978">
        <v>0.15</v>
      </c>
      <c r="D240" s="2978">
        <v>0.15</v>
      </c>
      <c r="E240" s="2978">
        <v>0.15</v>
      </c>
      <c r="F240" s="2978">
        <v>0.15</v>
      </c>
      <c r="G240" s="2979">
        <v>0.15</v>
      </c>
    </row>
    <row r="241" spans="1:7">
      <c r="A241" s="2988" t="s">
        <v>305</v>
      </c>
      <c r="B241" s="2977" t="s">
        <v>2895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2944</v>
      </c>
      <c r="C258" s="2978">
        <v>0.14299999999999999</v>
      </c>
      <c r="D258" s="2978">
        <v>0.14299999999999999</v>
      </c>
      <c r="E258" s="2978">
        <v>0.15</v>
      </c>
      <c r="F258" s="2978">
        <v>0.14799999999999999</v>
      </c>
      <c r="G258" s="2979">
        <v>0.14599999999999999</v>
      </c>
    </row>
    <row r="259" spans="1:7">
      <c r="A259" s="2988" t="s">
        <v>305</v>
      </c>
      <c r="B259" s="2977" t="s">
        <v>2948</v>
      </c>
      <c r="C259" s="2978">
        <v>0.14399999999999999</v>
      </c>
      <c r="D259" s="2978">
        <v>0.14399999999999999</v>
      </c>
      <c r="E259" s="2978">
        <v>0.14899999999999999</v>
      </c>
      <c r="F259" s="2978">
        <v>0.14699999999999999</v>
      </c>
      <c r="G259" s="2979">
        <v>0.14599999999999999</v>
      </c>
    </row>
    <row r="260" spans="1:7">
      <c r="A260" s="2988" t="s">
        <v>305</v>
      </c>
      <c r="B260" s="2977" t="s">
        <v>2955</v>
      </c>
      <c r="C260" s="2978">
        <v>0.109</v>
      </c>
      <c r="D260" s="2978">
        <v>0.111</v>
      </c>
      <c r="E260" s="2978">
        <v>0.13100000000000001</v>
      </c>
      <c r="F260" s="2978">
        <v>0.126</v>
      </c>
      <c r="G260" s="2979">
        <v>0.11899999999999999</v>
      </c>
    </row>
    <row r="261" spans="1:7">
      <c r="A261" s="2988" t="s">
        <v>305</v>
      </c>
      <c r="B261" s="2977" t="s">
        <v>2962</v>
      </c>
      <c r="C261" s="2978">
        <v>0.1</v>
      </c>
      <c r="D261" s="2978">
        <v>0.1</v>
      </c>
      <c r="E261" s="2978">
        <v>0.11799999999999999</v>
      </c>
      <c r="F261" s="2978">
        <v>0.108</v>
      </c>
      <c r="G261" s="2979">
        <v>0.107</v>
      </c>
    </row>
    <row r="262" spans="1:7">
      <c r="A262" s="2988" t="s">
        <v>305</v>
      </c>
      <c r="B262" s="2977" t="s">
        <v>2968</v>
      </c>
      <c r="C262" s="2978">
        <v>0.1</v>
      </c>
      <c r="D262" s="2978">
        <v>0.1</v>
      </c>
      <c r="E262" s="2978">
        <v>0.1</v>
      </c>
      <c r="F262" s="2978">
        <v>0.14099999999999999</v>
      </c>
      <c r="G262" s="2979">
        <v>0.1</v>
      </c>
    </row>
    <row r="263" spans="1:7">
      <c r="A263" s="2988" t="s">
        <v>305</v>
      </c>
      <c r="B263" s="2977" t="s">
        <v>2975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2986</v>
      </c>
      <c r="C265" s="2989"/>
      <c r="D265" s="2989"/>
      <c r="E265" s="2989"/>
      <c r="F265" s="2978">
        <v>0.05</v>
      </c>
      <c r="G265" s="2995"/>
    </row>
    <row r="266" spans="1:7">
      <c r="A266" s="2988" t="s">
        <v>305</v>
      </c>
      <c r="B266" s="2977" t="s">
        <v>2990</v>
      </c>
      <c r="C266" s="2989"/>
      <c r="D266" s="2989"/>
      <c r="E266" s="2989"/>
      <c r="F266" s="2978">
        <v>0.05</v>
      </c>
      <c r="G266" s="2995"/>
    </row>
    <row r="267" spans="1:7">
      <c r="A267" s="2988" t="s">
        <v>305</v>
      </c>
      <c r="B267" s="2977" t="s">
        <v>2995</v>
      </c>
      <c r="C267" s="2989"/>
      <c r="D267" s="2989"/>
      <c r="E267" s="2989"/>
      <c r="F267" s="2978">
        <v>0.05</v>
      </c>
      <c r="G267" s="2995"/>
    </row>
    <row r="268" spans="1:7">
      <c r="A268" s="2988" t="s">
        <v>305</v>
      </c>
      <c r="B268" s="2977" t="s">
        <v>3000</v>
      </c>
      <c r="C268" s="2989"/>
      <c r="D268" s="2989"/>
      <c r="E268" s="2989"/>
      <c r="F268" s="2978">
        <v>0.05</v>
      </c>
      <c r="G268" s="2995"/>
    </row>
    <row r="269" spans="1:7">
      <c r="A269" s="2988" t="s">
        <v>305</v>
      </c>
      <c r="B269" s="2977" t="s">
        <v>3005</v>
      </c>
      <c r="C269" s="2989"/>
      <c r="D269" s="2989"/>
      <c r="E269" s="2989"/>
      <c r="F269" s="2978">
        <v>0.05</v>
      </c>
      <c r="G269" s="2995"/>
    </row>
    <row r="270" spans="1:7">
      <c r="A270" s="2988" t="s">
        <v>305</v>
      </c>
      <c r="B270" s="2977" t="s">
        <v>3010</v>
      </c>
      <c r="C270" s="2989"/>
      <c r="D270" s="2989"/>
      <c r="E270" s="2989"/>
      <c r="F270" s="2978">
        <v>0.05</v>
      </c>
      <c r="G270" s="2995"/>
    </row>
    <row r="271" spans="1:7">
      <c r="A271" s="2988" t="s">
        <v>305</v>
      </c>
      <c r="B271" s="2977" t="s">
        <v>3214</v>
      </c>
      <c r="C271" s="2989"/>
      <c r="D271" s="2989"/>
      <c r="E271" s="2989"/>
      <c r="F271" s="2978">
        <v>0.05</v>
      </c>
      <c r="G271" s="2995"/>
    </row>
    <row r="272" spans="1:7">
      <c r="A272" s="2988" t="s">
        <v>305</v>
      </c>
      <c r="B272" s="2977" t="s">
        <v>3215</v>
      </c>
      <c r="C272" s="2989"/>
      <c r="D272" s="2989"/>
      <c r="E272" s="2989"/>
      <c r="F272" s="2978">
        <v>0.05</v>
      </c>
      <c r="G272" s="2995"/>
    </row>
    <row r="273" spans="1:7">
      <c r="A273" s="2988" t="s">
        <v>305</v>
      </c>
      <c r="B273" s="2977" t="s">
        <v>3216</v>
      </c>
      <c r="C273" s="2989"/>
      <c r="D273" s="2989"/>
      <c r="E273" s="2989"/>
      <c r="F273" s="2978">
        <v>0.05</v>
      </c>
      <c r="G273" s="2995"/>
    </row>
    <row r="274" spans="1:7">
      <c r="A274" s="2988" t="s">
        <v>305</v>
      </c>
      <c r="B274" s="2977" t="s">
        <v>3217</v>
      </c>
      <c r="C274" s="2989"/>
      <c r="D274" s="2989"/>
      <c r="E274" s="2989"/>
      <c r="F274" s="2978">
        <v>0.05</v>
      </c>
      <c r="G274" s="2995"/>
    </row>
    <row r="275" spans="1:7">
      <c r="A275" s="2988" t="s">
        <v>305</v>
      </c>
      <c r="B275" s="2977" t="s">
        <v>3218</v>
      </c>
      <c r="C275" s="2989"/>
      <c r="D275" s="2989"/>
      <c r="E275" s="2989"/>
      <c r="F275" s="2978">
        <v>0.05</v>
      </c>
      <c r="G275" s="2995"/>
    </row>
    <row r="276" spans="1:7" ht="14.25" thickBot="1">
      <c r="A276" s="2991" t="s">
        <v>305</v>
      </c>
      <c r="B276" s="2981" t="s">
        <v>3219</v>
      </c>
      <c r="C276" s="2983"/>
      <c r="D276" s="2983"/>
      <c r="E276" s="2983"/>
      <c r="F276" s="2982">
        <v>0.05</v>
      </c>
      <c r="G276" s="2996"/>
    </row>
    <row r="277" spans="1:7">
      <c r="A277" s="2987" t="s">
        <v>306</v>
      </c>
      <c r="B277" s="2973" t="s">
        <v>2863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2875</v>
      </c>
      <c r="C279" s="2978">
        <v>0.15</v>
      </c>
      <c r="D279" s="2978">
        <v>0.15</v>
      </c>
      <c r="E279" s="2978">
        <v>0.15</v>
      </c>
      <c r="F279" s="2978">
        <v>0.15</v>
      </c>
      <c r="G279" s="2979">
        <v>0.15</v>
      </c>
    </row>
    <row r="280" spans="1:7">
      <c r="A280" s="2988" t="s">
        <v>306</v>
      </c>
      <c r="B280" s="2977" t="s">
        <v>2879</v>
      </c>
      <c r="C280" s="2978">
        <v>0.15</v>
      </c>
      <c r="D280" s="2978">
        <v>0.15</v>
      </c>
      <c r="E280" s="2978">
        <v>0.15</v>
      </c>
      <c r="F280" s="2978">
        <v>0.15</v>
      </c>
      <c r="G280" s="2979">
        <v>0.15</v>
      </c>
    </row>
    <row r="281" spans="1:7">
      <c r="A281" s="2988" t="s">
        <v>306</v>
      </c>
      <c r="B281" s="2977" t="s">
        <v>2883</v>
      </c>
      <c r="C281" s="2978">
        <v>0.15</v>
      </c>
      <c r="D281" s="2978">
        <v>0.15</v>
      </c>
      <c r="E281" s="2978">
        <v>0.15</v>
      </c>
      <c r="F281" s="2978">
        <v>0.15</v>
      </c>
      <c r="G281" s="2979">
        <v>0.15</v>
      </c>
    </row>
    <row r="282" spans="1:7">
      <c r="A282" s="2988" t="s">
        <v>306</v>
      </c>
      <c r="B282" s="2977" t="s">
        <v>2887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2917</v>
      </c>
      <c r="C293" s="2978">
        <v>0.15</v>
      </c>
      <c r="D293" s="2978">
        <v>0.15</v>
      </c>
      <c r="E293" s="2978">
        <v>0.15</v>
      </c>
      <c r="F293" s="2978">
        <v>0.14499999999999999</v>
      </c>
      <c r="G293" s="2979">
        <v>0.15</v>
      </c>
    </row>
    <row r="294" spans="1:7">
      <c r="A294" s="2988" t="s">
        <v>306</v>
      </c>
      <c r="B294" s="2977" t="s">
        <v>2919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2949</v>
      </c>
      <c r="C302" s="2978">
        <v>0.15</v>
      </c>
      <c r="D302" s="2978">
        <v>0.15</v>
      </c>
      <c r="E302" s="2978">
        <v>0.15</v>
      </c>
      <c r="F302" s="2978">
        <v>0.14699999999999999</v>
      </c>
      <c r="G302" s="2979">
        <v>0.15</v>
      </c>
    </row>
    <row r="303" spans="1:7">
      <c r="A303" s="2988" t="s">
        <v>306</v>
      </c>
      <c r="B303" s="2977" t="s">
        <v>2956</v>
      </c>
      <c r="C303" s="2978">
        <v>0.15</v>
      </c>
      <c r="D303" s="2978">
        <v>0.15</v>
      </c>
      <c r="E303" s="2978">
        <v>0.15</v>
      </c>
      <c r="F303" s="2978">
        <v>0.14199999999999999</v>
      </c>
      <c r="G303" s="2979">
        <v>0.15</v>
      </c>
    </row>
    <row r="304" spans="1:7">
      <c r="A304" s="2988" t="s">
        <v>306</v>
      </c>
      <c r="B304" s="2977" t="s">
        <v>2963</v>
      </c>
      <c r="C304" s="2978">
        <v>0.15</v>
      </c>
      <c r="D304" s="2978">
        <v>0.15</v>
      </c>
      <c r="E304" s="2978">
        <v>0.15</v>
      </c>
      <c r="F304" s="2978">
        <v>0.14499999999999999</v>
      </c>
      <c r="G304" s="2979">
        <v>0.15</v>
      </c>
    </row>
    <row r="305" spans="1:7">
      <c r="A305" s="2988" t="s">
        <v>306</v>
      </c>
      <c r="B305" s="2977" t="s">
        <v>2969</v>
      </c>
      <c r="C305" s="2978">
        <v>0.15</v>
      </c>
      <c r="D305" s="2978">
        <v>0.15</v>
      </c>
      <c r="E305" s="2978">
        <v>0.15</v>
      </c>
      <c r="F305" s="2978">
        <v>0.111</v>
      </c>
      <c r="G305" s="2979">
        <v>0.15</v>
      </c>
    </row>
    <row r="306" spans="1:7">
      <c r="A306" s="2988" t="s">
        <v>306</v>
      </c>
      <c r="B306" s="2977" t="s">
        <v>2976</v>
      </c>
      <c r="C306" s="2978">
        <v>0.15</v>
      </c>
      <c r="D306" s="2978">
        <v>0.15</v>
      </c>
      <c r="E306" s="2978">
        <v>0.15</v>
      </c>
      <c r="F306" s="2978">
        <v>0.126</v>
      </c>
      <c r="G306" s="2979">
        <v>0.15</v>
      </c>
    </row>
    <row r="307" spans="1:7">
      <c r="A307" s="2988" t="s">
        <v>306</v>
      </c>
      <c r="B307" s="2977" t="s">
        <v>2981</v>
      </c>
      <c r="C307" s="2978">
        <v>0.15</v>
      </c>
      <c r="D307" s="2978">
        <v>0.15</v>
      </c>
      <c r="E307" s="2978">
        <v>0.15</v>
      </c>
      <c r="F307" s="2978">
        <v>0.12</v>
      </c>
      <c r="G307" s="2979">
        <v>0.15</v>
      </c>
    </row>
    <row r="308" spans="1:7">
      <c r="A308" s="2988" t="s">
        <v>306</v>
      </c>
      <c r="B308" s="2977" t="s">
        <v>2987</v>
      </c>
      <c r="C308" s="2978">
        <v>0.15</v>
      </c>
      <c r="D308" s="2978">
        <v>0.15</v>
      </c>
      <c r="E308" s="2978">
        <v>0.15</v>
      </c>
      <c r="F308" s="2978">
        <v>0.13</v>
      </c>
      <c r="G308" s="2979">
        <v>0.15</v>
      </c>
    </row>
    <row r="309" spans="1:7">
      <c r="A309" s="2988" t="s">
        <v>306</v>
      </c>
      <c r="B309" s="2977" t="s">
        <v>2991</v>
      </c>
      <c r="C309" s="2978">
        <v>0.15</v>
      </c>
      <c r="D309" s="2978">
        <v>0.15</v>
      </c>
      <c r="E309" s="2978">
        <v>0.15</v>
      </c>
      <c r="F309" s="2978">
        <v>0.14099999999999999</v>
      </c>
      <c r="G309" s="2979">
        <v>0.15</v>
      </c>
    </row>
    <row r="310" spans="1:7">
      <c r="A310" s="2988" t="s">
        <v>306</v>
      </c>
      <c r="B310" s="2977" t="s">
        <v>2996</v>
      </c>
      <c r="C310" s="2978">
        <v>0.15</v>
      </c>
      <c r="D310" s="2978">
        <v>0.15</v>
      </c>
      <c r="E310" s="2978">
        <v>0.15</v>
      </c>
      <c r="F310" s="2978">
        <v>0.15</v>
      </c>
      <c r="G310" s="2979">
        <v>0.15</v>
      </c>
    </row>
    <row r="311" spans="1:7">
      <c r="A311" s="2988" t="s">
        <v>306</v>
      </c>
      <c r="B311" s="2977" t="s">
        <v>3001</v>
      </c>
      <c r="C311" s="2978">
        <v>0.13200000000000001</v>
      </c>
      <c r="D311" s="2978">
        <v>0.13300000000000001</v>
      </c>
      <c r="E311" s="2978">
        <v>0.14499999999999999</v>
      </c>
      <c r="F311" s="2978">
        <v>0.14199999999999999</v>
      </c>
      <c r="G311" s="2979">
        <v>0.14000000000000001</v>
      </c>
    </row>
    <row r="312" spans="1:7">
      <c r="A312" s="2988" t="s">
        <v>306</v>
      </c>
      <c r="B312" s="2977" t="s">
        <v>3006</v>
      </c>
      <c r="C312" s="2978">
        <v>0.13800000000000001</v>
      </c>
      <c r="D312" s="2978">
        <v>0.14000000000000001</v>
      </c>
      <c r="E312" s="2978">
        <v>0.14599999999999999</v>
      </c>
      <c r="F312" s="2978">
        <v>0.14899999999999999</v>
      </c>
      <c r="G312" s="2979">
        <v>0.14199999999999999</v>
      </c>
    </row>
    <row r="313" spans="1:7">
      <c r="A313" s="2988" t="s">
        <v>306</v>
      </c>
      <c r="B313" s="2977" t="s">
        <v>3011</v>
      </c>
      <c r="C313" s="2978">
        <v>0.125</v>
      </c>
      <c r="D313" s="2978">
        <v>0.127</v>
      </c>
      <c r="E313" s="2978">
        <v>0.14399999999999999</v>
      </c>
      <c r="F313" s="2978">
        <v>0.115</v>
      </c>
      <c r="G313" s="2979">
        <v>0.13600000000000001</v>
      </c>
    </row>
    <row r="314" spans="1:7">
      <c r="A314" s="2988" t="s">
        <v>306</v>
      </c>
      <c r="B314" s="2977" t="s">
        <v>3220</v>
      </c>
      <c r="C314" s="2994"/>
      <c r="D314" s="2994"/>
      <c r="E314" s="2994"/>
      <c r="F314" s="2978">
        <v>0.05</v>
      </c>
      <c r="G314" s="2995"/>
    </row>
    <row r="315" spans="1:7">
      <c r="A315" s="2988" t="s">
        <v>306</v>
      </c>
      <c r="B315" s="2977" t="s">
        <v>3221</v>
      </c>
      <c r="C315" s="2994"/>
      <c r="D315" s="2994"/>
      <c r="E315" s="2994"/>
      <c r="F315" s="2978">
        <v>0.05</v>
      </c>
      <c r="G315" s="2995"/>
    </row>
    <row r="316" spans="1:7">
      <c r="A316" s="2988" t="s">
        <v>306</v>
      </c>
      <c r="B316" s="2977" t="s">
        <v>3222</v>
      </c>
      <c r="C316" s="2989"/>
      <c r="D316" s="2989"/>
      <c r="E316" s="2989"/>
      <c r="F316" s="2978">
        <v>0.05</v>
      </c>
      <c r="G316" s="2995"/>
    </row>
    <row r="317" spans="1:7">
      <c r="A317" s="2988" t="s">
        <v>306</v>
      </c>
      <c r="B317" s="2977" t="s">
        <v>3223</v>
      </c>
      <c r="C317" s="2989"/>
      <c r="D317" s="2989"/>
      <c r="E317" s="2989"/>
      <c r="F317" s="2978">
        <v>0.05</v>
      </c>
      <c r="G317" s="2995"/>
    </row>
    <row r="318" spans="1:7">
      <c r="A318" s="2988" t="s">
        <v>306</v>
      </c>
      <c r="B318" s="2977" t="s">
        <v>3224</v>
      </c>
      <c r="C318" s="2989"/>
      <c r="D318" s="2989"/>
      <c r="E318" s="2989"/>
      <c r="F318" s="2978">
        <v>0.05</v>
      </c>
      <c r="G318" s="2995"/>
    </row>
    <row r="319" spans="1:7">
      <c r="A319" s="2988" t="s">
        <v>306</v>
      </c>
      <c r="B319" s="2977" t="s">
        <v>3225</v>
      </c>
      <c r="C319" s="2989"/>
      <c r="D319" s="2989"/>
      <c r="E319" s="2989"/>
      <c r="F319" s="2978">
        <v>0.05</v>
      </c>
      <c r="G319" s="2995"/>
    </row>
    <row r="320" spans="1:7">
      <c r="A320" s="2988" t="s">
        <v>306</v>
      </c>
      <c r="B320" s="2977" t="s">
        <v>3226</v>
      </c>
      <c r="C320" s="2989"/>
      <c r="D320" s="2989"/>
      <c r="E320" s="2989"/>
      <c r="F320" s="2978">
        <v>0.05</v>
      </c>
      <c r="G320" s="2995"/>
    </row>
    <row r="321" spans="1:7">
      <c r="A321" s="2988" t="s">
        <v>306</v>
      </c>
      <c r="B321" s="2977" t="s">
        <v>3227</v>
      </c>
      <c r="C321" s="2989"/>
      <c r="D321" s="2989"/>
      <c r="E321" s="2989"/>
      <c r="F321" s="2978">
        <v>0.05</v>
      </c>
      <c r="G321" s="2995"/>
    </row>
    <row r="322" spans="1:7">
      <c r="A322" s="2988" t="s">
        <v>306</v>
      </c>
      <c r="B322" s="2977" t="s">
        <v>3228</v>
      </c>
      <c r="C322" s="2989"/>
      <c r="D322" s="2989"/>
      <c r="E322" s="2989"/>
      <c r="F322" s="2978">
        <v>0.05</v>
      </c>
      <c r="G322" s="2995"/>
    </row>
    <row r="323" spans="1:7">
      <c r="A323" s="2988" t="s">
        <v>306</v>
      </c>
      <c r="B323" s="2977" t="s">
        <v>3229</v>
      </c>
      <c r="C323" s="2989"/>
      <c r="D323" s="2989"/>
      <c r="E323" s="2989"/>
      <c r="F323" s="2978">
        <v>0.05</v>
      </c>
      <c r="G323" s="2995"/>
    </row>
    <row r="324" spans="1:7">
      <c r="A324" s="2988" t="s">
        <v>306</v>
      </c>
      <c r="B324" s="2977" t="s">
        <v>3230</v>
      </c>
      <c r="C324" s="2989"/>
      <c r="D324" s="2989"/>
      <c r="E324" s="2989"/>
      <c r="F324" s="2978">
        <v>0.05</v>
      </c>
      <c r="G324" s="2995"/>
    </row>
    <row r="325" spans="1:7">
      <c r="A325" s="2988" t="s">
        <v>306</v>
      </c>
      <c r="B325" s="2977" t="s">
        <v>3231</v>
      </c>
      <c r="C325" s="2989"/>
      <c r="D325" s="2989"/>
      <c r="E325" s="2989"/>
      <c r="F325" s="2978">
        <v>0.05</v>
      </c>
      <c r="G325" s="2995"/>
    </row>
    <row r="326" spans="1:7" ht="14.25" thickBot="1">
      <c r="A326" s="2991" t="s">
        <v>306</v>
      </c>
      <c r="B326" s="2981" t="s">
        <v>3232</v>
      </c>
      <c r="C326" s="2983"/>
      <c r="D326" s="2983"/>
      <c r="E326" s="2983"/>
      <c r="F326" s="2982">
        <v>0.05</v>
      </c>
      <c r="G326" s="2996"/>
    </row>
    <row r="327" spans="1:7">
      <c r="A327" s="2987" t="s">
        <v>307</v>
      </c>
      <c r="B327" s="2973" t="s">
        <v>2864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2876</v>
      </c>
      <c r="C329" s="2978">
        <v>0.15</v>
      </c>
      <c r="D329" s="2978">
        <v>0.15</v>
      </c>
      <c r="E329" s="2978">
        <v>0.15</v>
      </c>
      <c r="F329" s="2978">
        <v>0.15</v>
      </c>
      <c r="G329" s="2979">
        <v>0.15</v>
      </c>
    </row>
    <row r="330" spans="1:7">
      <c r="A330" s="2988" t="s">
        <v>307</v>
      </c>
      <c r="B330" s="2977" t="s">
        <v>2880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2888</v>
      </c>
      <c r="C332" s="2978">
        <v>0.15</v>
      </c>
      <c r="D332" s="2978">
        <v>0.15</v>
      </c>
      <c r="E332" s="2978">
        <v>0.15</v>
      </c>
      <c r="F332" s="2978">
        <v>0.15</v>
      </c>
      <c r="G332" s="2979">
        <v>0.15</v>
      </c>
    </row>
    <row r="333" spans="1:7">
      <c r="A333" s="2988" t="s">
        <v>307</v>
      </c>
      <c r="B333" s="2977" t="s">
        <v>2892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2898</v>
      </c>
      <c r="C336" s="2978">
        <v>0.15</v>
      </c>
      <c r="D336" s="2978">
        <v>0.15</v>
      </c>
      <c r="E336" s="2978">
        <v>0.15</v>
      </c>
      <c r="F336" s="2978">
        <v>0.14199999999999999</v>
      </c>
      <c r="G336" s="2979">
        <v>0.15</v>
      </c>
    </row>
    <row r="337" spans="1:7">
      <c r="A337" s="2988" t="s">
        <v>307</v>
      </c>
      <c r="B337" s="2977" t="s">
        <v>2903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2923</v>
      </c>
      <c r="C345" s="2978">
        <v>0.15</v>
      </c>
      <c r="D345" s="2978">
        <v>0.15</v>
      </c>
      <c r="E345" s="2978">
        <v>0.15</v>
      </c>
      <c r="F345" s="2978">
        <v>0.13800000000000001</v>
      </c>
      <c r="G345" s="2979">
        <v>0.15</v>
      </c>
    </row>
    <row r="346" spans="1:7">
      <c r="A346" s="2988" t="s">
        <v>307</v>
      </c>
      <c r="B346" s="2977" t="s">
        <v>2925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2932</v>
      </c>
      <c r="C348" s="2978">
        <v>0.15</v>
      </c>
      <c r="D348" s="2978">
        <v>0.15</v>
      </c>
      <c r="E348" s="2978">
        <v>0.15</v>
      </c>
      <c r="F348" s="2978">
        <v>0.14399999999999999</v>
      </c>
      <c r="G348" s="2979">
        <v>0.15</v>
      </c>
    </row>
    <row r="349" spans="1:7">
      <c r="A349" s="2988" t="s">
        <v>307</v>
      </c>
      <c r="B349" s="2977" t="s">
        <v>2937</v>
      </c>
      <c r="C349" s="2978">
        <v>0.15</v>
      </c>
      <c r="D349" s="2978">
        <v>0.15</v>
      </c>
      <c r="E349" s="2978">
        <v>0.15</v>
      </c>
      <c r="F349" s="2978">
        <v>0.15</v>
      </c>
      <c r="G349" s="2979">
        <v>0.15</v>
      </c>
    </row>
    <row r="350" spans="1:7">
      <c r="A350" s="2988" t="s">
        <v>307</v>
      </c>
      <c r="B350" s="2977" t="s">
        <v>2940</v>
      </c>
      <c r="C350" s="2978">
        <v>0.15</v>
      </c>
      <c r="D350" s="2978">
        <v>0.15</v>
      </c>
      <c r="E350" s="2978">
        <v>0.15</v>
      </c>
      <c r="F350" s="2978">
        <v>0.14699999999999999</v>
      </c>
      <c r="G350" s="2979">
        <v>0.15</v>
      </c>
    </row>
    <row r="351" spans="1:7">
      <c r="A351" s="2988" t="s">
        <v>307</v>
      </c>
      <c r="B351" s="2977" t="s">
        <v>2945</v>
      </c>
      <c r="C351" s="2978">
        <v>0.15</v>
      </c>
      <c r="D351" s="2978">
        <v>0.15</v>
      </c>
      <c r="E351" s="2978">
        <v>0.15</v>
      </c>
      <c r="F351" s="2978">
        <v>0.13</v>
      </c>
      <c r="G351" s="2979">
        <v>0.15</v>
      </c>
    </row>
    <row r="352" spans="1:7">
      <c r="A352" s="2988" t="s">
        <v>307</v>
      </c>
      <c r="B352" s="2977" t="s">
        <v>2950</v>
      </c>
      <c r="C352" s="2978">
        <v>0.15</v>
      </c>
      <c r="D352" s="2978">
        <v>0.15</v>
      </c>
      <c r="E352" s="2978">
        <v>0.15</v>
      </c>
      <c r="F352" s="2978">
        <v>0.14599999999999999</v>
      </c>
      <c r="G352" s="2979">
        <v>0.15</v>
      </c>
    </row>
    <row r="353" spans="1:7">
      <c r="A353" s="2988" t="s">
        <v>307</v>
      </c>
      <c r="B353" s="2977" t="s">
        <v>2957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2970</v>
      </c>
      <c r="C355" s="2978">
        <v>0.15</v>
      </c>
      <c r="D355" s="2978">
        <v>0.15</v>
      </c>
      <c r="E355" s="2978">
        <v>0.15</v>
      </c>
      <c r="F355" s="2978">
        <v>0.15</v>
      </c>
      <c r="G355" s="2979">
        <v>0.15</v>
      </c>
    </row>
    <row r="356" spans="1:7">
      <c r="A356" s="2988" t="s">
        <v>307</v>
      </c>
      <c r="B356" s="2977" t="s">
        <v>2977</v>
      </c>
      <c r="C356" s="2978">
        <v>0.15</v>
      </c>
      <c r="D356" s="2978">
        <v>0.15</v>
      </c>
      <c r="E356" s="2978">
        <v>0.15</v>
      </c>
      <c r="F356" s="2978">
        <v>0.15</v>
      </c>
      <c r="G356" s="2979">
        <v>0.15</v>
      </c>
    </row>
    <row r="357" spans="1:7" ht="14.25" thickBot="1">
      <c r="A357" s="2991" t="s">
        <v>307</v>
      </c>
      <c r="B357" s="2981" t="s">
        <v>2982</v>
      </c>
      <c r="C357" s="2982">
        <v>0.126</v>
      </c>
      <c r="D357" s="2982">
        <v>0.127</v>
      </c>
      <c r="E357" s="2982">
        <v>0.14299999999999999</v>
      </c>
      <c r="F357" s="2982">
        <v>0.125</v>
      </c>
      <c r="G357" s="2984">
        <v>0.129</v>
      </c>
    </row>
    <row r="358" spans="1:7">
      <c r="A358" s="2987" t="s">
        <v>2851</v>
      </c>
      <c r="B358" s="2973" t="s">
        <v>2865</v>
      </c>
      <c r="C358" s="2974">
        <v>0.15</v>
      </c>
      <c r="D358" s="2974">
        <v>0.15</v>
      </c>
      <c r="E358" s="2974">
        <v>0.15</v>
      </c>
      <c r="F358" s="2974">
        <v>0.15</v>
      </c>
      <c r="G358" s="2975">
        <v>0.15</v>
      </c>
    </row>
    <row r="359" spans="1:7">
      <c r="A359" s="2988" t="s">
        <v>2851</v>
      </c>
      <c r="B359" s="2977" t="s">
        <v>2871</v>
      </c>
      <c r="C359" s="2978">
        <v>0.1</v>
      </c>
      <c r="D359" s="2978">
        <v>0.1</v>
      </c>
      <c r="E359" s="2978">
        <v>0.1</v>
      </c>
      <c r="F359" s="2978">
        <v>0.1</v>
      </c>
      <c r="G359" s="2979">
        <v>0.1</v>
      </c>
    </row>
    <row r="360" spans="1:7">
      <c r="A360" s="2988" t="s">
        <v>2851</v>
      </c>
      <c r="B360" s="2977" t="s">
        <v>2877</v>
      </c>
      <c r="C360" s="2978">
        <v>0.15</v>
      </c>
      <c r="D360" s="2978">
        <v>0.15</v>
      </c>
      <c r="E360" s="2978">
        <v>0.15</v>
      </c>
      <c r="F360" s="2978">
        <v>0.14899999999999999</v>
      </c>
      <c r="G360" s="2979">
        <v>0.15</v>
      </c>
    </row>
    <row r="361" spans="1:7">
      <c r="A361" s="2988" t="s">
        <v>2851</v>
      </c>
      <c r="B361" s="2977" t="s">
        <v>153</v>
      </c>
      <c r="C361" s="2978">
        <v>0.15</v>
      </c>
      <c r="D361" s="2978">
        <v>0.15</v>
      </c>
      <c r="E361" s="2978">
        <v>0.15</v>
      </c>
      <c r="F361" s="2978">
        <v>0.115</v>
      </c>
      <c r="G361" s="2979">
        <v>0.15</v>
      </c>
    </row>
    <row r="362" spans="1:7">
      <c r="A362" s="2988" t="s">
        <v>2851</v>
      </c>
      <c r="B362" s="2977" t="s">
        <v>2884</v>
      </c>
      <c r="C362" s="2978">
        <v>0.15</v>
      </c>
      <c r="D362" s="2978">
        <v>0.15</v>
      </c>
      <c r="E362" s="2978">
        <v>0.15</v>
      </c>
      <c r="F362" s="2978">
        <v>0.106</v>
      </c>
      <c r="G362" s="2979">
        <v>0.15</v>
      </c>
    </row>
    <row r="363" spans="1:7">
      <c r="A363" s="2988" t="s">
        <v>2851</v>
      </c>
      <c r="B363" s="2977" t="s">
        <v>2889</v>
      </c>
      <c r="C363" s="2978">
        <v>0.15</v>
      </c>
      <c r="D363" s="2978">
        <v>0.15</v>
      </c>
      <c r="E363" s="2978">
        <v>0.15</v>
      </c>
      <c r="F363" s="2978">
        <v>0.14699999999999999</v>
      </c>
      <c r="G363" s="2979">
        <v>0.15</v>
      </c>
    </row>
    <row r="364" spans="1:7">
      <c r="A364" s="2988" t="s">
        <v>2851</v>
      </c>
      <c r="B364" s="2977" t="s">
        <v>2893</v>
      </c>
      <c r="C364" s="2978">
        <v>0.15</v>
      </c>
      <c r="D364" s="2978">
        <v>0.15</v>
      </c>
      <c r="E364" s="2978">
        <v>0.15</v>
      </c>
      <c r="F364" s="2978">
        <v>0.14799999999999999</v>
      </c>
      <c r="G364" s="2979">
        <v>0.15</v>
      </c>
    </row>
    <row r="365" spans="1:7">
      <c r="A365" s="2988" t="s">
        <v>2851</v>
      </c>
      <c r="B365" s="2977" t="s">
        <v>200</v>
      </c>
      <c r="C365" s="2978">
        <v>0.15</v>
      </c>
      <c r="D365" s="2978">
        <v>0.15</v>
      </c>
      <c r="E365" s="2978">
        <v>0.15</v>
      </c>
      <c r="F365" s="2978">
        <v>0.15</v>
      </c>
      <c r="G365" s="2979">
        <v>0.15</v>
      </c>
    </row>
    <row r="366" spans="1:7">
      <c r="A366" s="2988" t="s">
        <v>2851</v>
      </c>
      <c r="B366" s="2977" t="s">
        <v>2896</v>
      </c>
      <c r="C366" s="2978">
        <v>0.15</v>
      </c>
      <c r="D366" s="2978">
        <v>0.15</v>
      </c>
      <c r="E366" s="2978">
        <v>0.15</v>
      </c>
      <c r="F366" s="2978">
        <v>0.15</v>
      </c>
      <c r="G366" s="2979">
        <v>0.15</v>
      </c>
    </row>
    <row r="367" spans="1:7">
      <c r="A367" s="2988" t="s">
        <v>2851</v>
      </c>
      <c r="B367" s="2977" t="s">
        <v>2899</v>
      </c>
      <c r="C367" s="2978">
        <v>0.15</v>
      </c>
      <c r="D367" s="2978">
        <v>0.15</v>
      </c>
      <c r="E367" s="2978">
        <v>0.15</v>
      </c>
      <c r="F367" s="2978">
        <v>0.14699999999999999</v>
      </c>
      <c r="G367" s="2979">
        <v>0.15</v>
      </c>
    </row>
    <row r="368" spans="1:7">
      <c r="A368" s="2988" t="s">
        <v>2851</v>
      </c>
      <c r="B368" s="2977" t="s">
        <v>2904</v>
      </c>
      <c r="C368" s="2978">
        <v>0.15</v>
      </c>
      <c r="D368" s="2978">
        <v>0.15</v>
      </c>
      <c r="E368" s="2978">
        <v>0.15</v>
      </c>
      <c r="F368" s="2978">
        <v>0.13600000000000001</v>
      </c>
      <c r="G368" s="2979">
        <v>0.15</v>
      </c>
    </row>
    <row r="369" spans="1:7">
      <c r="A369" s="2988" t="s">
        <v>2851</v>
      </c>
      <c r="B369" s="2977" t="s">
        <v>214</v>
      </c>
      <c r="C369" s="2978">
        <v>0.15</v>
      </c>
      <c r="D369" s="2978">
        <v>0.15</v>
      </c>
      <c r="E369" s="2978">
        <v>0.15</v>
      </c>
      <c r="F369" s="2978">
        <v>0.14399999999999999</v>
      </c>
      <c r="G369" s="2979">
        <v>0.15</v>
      </c>
    </row>
    <row r="370" spans="1:7">
      <c r="A370" s="2988" t="s">
        <v>2851</v>
      </c>
      <c r="B370" s="2977" t="s">
        <v>221</v>
      </c>
      <c r="C370" s="2978">
        <v>0.15</v>
      </c>
      <c r="D370" s="2978">
        <v>0.15</v>
      </c>
      <c r="E370" s="2978">
        <v>0.15</v>
      </c>
      <c r="F370" s="2978">
        <v>0.14599999999999999</v>
      </c>
      <c r="G370" s="2979">
        <v>0.15</v>
      </c>
    </row>
    <row r="371" spans="1:7">
      <c r="A371" s="2988" t="s">
        <v>2851</v>
      </c>
      <c r="B371" s="2977" t="s">
        <v>229</v>
      </c>
      <c r="C371" s="2978">
        <v>0.15</v>
      </c>
      <c r="D371" s="2978">
        <v>0.15</v>
      </c>
      <c r="E371" s="2978">
        <v>0.15</v>
      </c>
      <c r="F371" s="2978">
        <v>0.12</v>
      </c>
      <c r="G371" s="2979">
        <v>0.15</v>
      </c>
    </row>
    <row r="372" spans="1:7">
      <c r="A372" s="2988" t="s">
        <v>2851</v>
      </c>
      <c r="B372" s="2977" t="s">
        <v>2912</v>
      </c>
      <c r="C372" s="2978">
        <v>0.15</v>
      </c>
      <c r="D372" s="2978">
        <v>0.15</v>
      </c>
      <c r="E372" s="2978">
        <v>0.15</v>
      </c>
      <c r="F372" s="2978">
        <v>0.14299999999999999</v>
      </c>
      <c r="G372" s="2979">
        <v>0.15</v>
      </c>
    </row>
    <row r="373" spans="1:7">
      <c r="A373" s="2988" t="s">
        <v>2851</v>
      </c>
      <c r="B373" s="2977" t="s">
        <v>258</v>
      </c>
      <c r="C373" s="2978">
        <v>0.15</v>
      </c>
      <c r="D373" s="2978">
        <v>0.15</v>
      </c>
      <c r="E373" s="2978">
        <v>0.15</v>
      </c>
      <c r="F373" s="2978">
        <v>0.14599999999999999</v>
      </c>
      <c r="G373" s="2979">
        <v>0.15</v>
      </c>
    </row>
    <row r="374" spans="1:7">
      <c r="A374" s="2988" t="s">
        <v>2851</v>
      </c>
      <c r="B374" s="2977" t="s">
        <v>266</v>
      </c>
      <c r="C374" s="2978">
        <v>0.15</v>
      </c>
      <c r="D374" s="2978">
        <v>0.15</v>
      </c>
      <c r="E374" s="2978">
        <v>0.15</v>
      </c>
      <c r="F374" s="2978">
        <v>0.14399999999999999</v>
      </c>
      <c r="G374" s="2979">
        <v>0.15</v>
      </c>
    </row>
    <row r="375" spans="1:7">
      <c r="A375" s="2988" t="s">
        <v>2851</v>
      </c>
      <c r="B375" s="2977" t="s">
        <v>2920</v>
      </c>
      <c r="C375" s="2978">
        <v>0.15</v>
      </c>
      <c r="D375" s="2978">
        <v>0.15</v>
      </c>
      <c r="E375" s="2978">
        <v>0.15</v>
      </c>
      <c r="F375" s="2978">
        <v>0.13</v>
      </c>
      <c r="G375" s="2979">
        <v>0.15</v>
      </c>
    </row>
    <row r="376" spans="1:7">
      <c r="A376" s="2988" t="s">
        <v>2851</v>
      </c>
      <c r="B376" s="2977" t="s">
        <v>277</v>
      </c>
      <c r="C376" s="2978">
        <v>0.15</v>
      </c>
      <c r="D376" s="2978">
        <v>0.15</v>
      </c>
      <c r="E376" s="2978">
        <v>0.15</v>
      </c>
      <c r="F376" s="2978">
        <v>0.14199999999999999</v>
      </c>
      <c r="G376" s="2979">
        <v>0.15</v>
      </c>
    </row>
    <row r="377" spans="1:7" ht="14.25" thickBot="1">
      <c r="A377" s="2991" t="s">
        <v>2851</v>
      </c>
      <c r="B377" s="2981" t="s">
        <v>2926</v>
      </c>
      <c r="C377" s="2982">
        <v>0.15</v>
      </c>
      <c r="D377" s="2982">
        <v>0.15</v>
      </c>
      <c r="E377" s="2982">
        <v>0.15</v>
      </c>
      <c r="F377" s="2982">
        <v>0.14000000000000001</v>
      </c>
      <c r="G377" s="2984">
        <v>0.15</v>
      </c>
    </row>
    <row r="378" spans="1:7">
      <c r="A378" s="2987" t="s">
        <v>2852</v>
      </c>
      <c r="B378" s="2973" t="s">
        <v>2866</v>
      </c>
      <c r="C378" s="2974">
        <v>0.15</v>
      </c>
      <c r="D378" s="2974">
        <v>0.15</v>
      </c>
      <c r="E378" s="2974">
        <v>0.15</v>
      </c>
      <c r="F378" s="2974">
        <v>0.107</v>
      </c>
      <c r="G378" s="2975">
        <v>0.15</v>
      </c>
    </row>
    <row r="379" spans="1:7">
      <c r="A379" s="2988" t="s">
        <v>2852</v>
      </c>
      <c r="B379" s="2977" t="s">
        <v>2872</v>
      </c>
      <c r="C379" s="2978">
        <v>0.15</v>
      </c>
      <c r="D379" s="2978">
        <v>0.15</v>
      </c>
      <c r="E379" s="2978">
        <v>0.15</v>
      </c>
      <c r="F379" s="2978">
        <v>0.115</v>
      </c>
      <c r="G379" s="2979">
        <v>0.14899999999999999</v>
      </c>
    </row>
    <row r="380" spans="1:7">
      <c r="A380" s="2988" t="s">
        <v>2852</v>
      </c>
      <c r="B380" s="2977" t="s">
        <v>2878</v>
      </c>
      <c r="C380" s="2978">
        <v>0.15</v>
      </c>
      <c r="D380" s="2978">
        <v>0.15</v>
      </c>
      <c r="E380" s="2978">
        <v>0.15</v>
      </c>
      <c r="F380" s="2978">
        <v>0.1</v>
      </c>
      <c r="G380" s="2979">
        <v>0.14799999999999999</v>
      </c>
    </row>
    <row r="381" spans="1:7">
      <c r="A381" s="2988" t="s">
        <v>2852</v>
      </c>
      <c r="B381" s="2977" t="s">
        <v>2881</v>
      </c>
      <c r="C381" s="2978">
        <v>0.15</v>
      </c>
      <c r="D381" s="2978">
        <v>0.15</v>
      </c>
      <c r="E381" s="2978">
        <v>0.15</v>
      </c>
      <c r="F381" s="2978">
        <v>0.126</v>
      </c>
      <c r="G381" s="2979">
        <v>0.15</v>
      </c>
    </row>
    <row r="382" spans="1:7">
      <c r="A382" s="2988" t="s">
        <v>2852</v>
      </c>
      <c r="B382" s="2977" t="s">
        <v>2885</v>
      </c>
      <c r="C382" s="2978">
        <v>0.15</v>
      </c>
      <c r="D382" s="2978">
        <v>0.15</v>
      </c>
      <c r="E382" s="2978">
        <v>0.15</v>
      </c>
      <c r="F382" s="2978">
        <v>0.15</v>
      </c>
      <c r="G382" s="2979">
        <v>0.15</v>
      </c>
    </row>
    <row r="383" spans="1:7">
      <c r="A383" s="2988" t="s">
        <v>2852</v>
      </c>
      <c r="B383" s="2977" t="s">
        <v>2890</v>
      </c>
      <c r="C383" s="2978">
        <v>0.15</v>
      </c>
      <c r="D383" s="2978">
        <v>0.15</v>
      </c>
      <c r="E383" s="2978">
        <v>0.15</v>
      </c>
      <c r="F383" s="2978">
        <v>0.14699999999999999</v>
      </c>
      <c r="G383" s="2979">
        <v>0.15</v>
      </c>
    </row>
    <row r="384" spans="1:7" ht="14.25" thickBot="1">
      <c r="A384" s="2998" t="s">
        <v>2852</v>
      </c>
      <c r="B384" s="2999" t="s">
        <v>2894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623" t="s">
        <v>3233</v>
      </c>
      <c r="B1" s="3623"/>
      <c r="C1" s="3623"/>
      <c r="D1" s="3623"/>
      <c r="E1" s="3623"/>
      <c r="F1" s="3624"/>
    </row>
    <row r="2" spans="1:6" ht="14.25">
      <c r="A2" s="3002" t="s">
        <v>3234</v>
      </c>
    </row>
    <row r="3" spans="1:6" ht="14.25">
      <c r="A3" s="3002" t="s">
        <v>3235</v>
      </c>
      <c r="F3" s="3003" t="s">
        <v>3236</v>
      </c>
    </row>
    <row r="4" spans="1:6">
      <c r="A4" s="3004" t="s">
        <v>672</v>
      </c>
      <c r="B4" s="3004" t="s">
        <v>673</v>
      </c>
      <c r="C4" s="3004" t="s">
        <v>21</v>
      </c>
      <c r="D4" s="3004" t="s">
        <v>674</v>
      </c>
      <c r="E4" s="3004" t="s">
        <v>3</v>
      </c>
      <c r="F4" s="3004" t="s">
        <v>3237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67" t="str">
        <f>IF(项目基本情况!B9="房地产市场价值","估价结果一览表","结果表-2")</f>
        <v>估价结果一览表</v>
      </c>
      <c r="B1" s="3267"/>
      <c r="C1" s="3267"/>
      <c r="D1" s="3267"/>
      <c r="E1" s="3267"/>
      <c r="F1" s="3267"/>
      <c r="G1" s="3267"/>
      <c r="H1" s="3267"/>
      <c r="I1" s="3267"/>
    </row>
    <row r="2" spans="1:9" ht="30" customHeight="1" thickTop="1">
      <c r="A2" s="3268" t="s">
        <v>928</v>
      </c>
      <c r="B2" s="3268" t="s">
        <v>929</v>
      </c>
      <c r="C2" s="3268" t="s">
        <v>930</v>
      </c>
      <c r="D2" s="3268" t="str">
        <f>结果表!D116</f>
        <v>出让国有建设用地使用权价值</v>
      </c>
      <c r="E2" s="3268"/>
      <c r="F2" s="3268" t="str">
        <f>结果表!F116</f>
        <v>在建建筑物价值</v>
      </c>
      <c r="G2" s="3268"/>
      <c r="H2" s="3268" t="str">
        <f>IF(项目基本情况!B9="房地产市场价值","房地产市场价值","房地产价值")</f>
        <v>房地产市场价值</v>
      </c>
      <c r="I2" s="3268"/>
    </row>
    <row r="3" spans="1:9" ht="15">
      <c r="A3" s="3269"/>
      <c r="B3" s="3269"/>
      <c r="C3" s="3269"/>
      <c r="D3" s="801" t="s">
        <v>925</v>
      </c>
      <c r="E3" s="801" t="s">
        <v>931</v>
      </c>
      <c r="F3" s="801" t="s">
        <v>925</v>
      </c>
      <c r="G3" s="801" t="s">
        <v>926</v>
      </c>
      <c r="H3" s="801" t="s">
        <v>925</v>
      </c>
      <c r="I3" s="801" t="s">
        <v>926</v>
      </c>
    </row>
    <row r="4" spans="1:9" ht="15">
      <c r="A4" s="1403" t="str">
        <f>项目基本情况!S2</f>
        <v>北京市房地产</v>
      </c>
      <c r="B4" s="801">
        <f>项目基本情况!C17</f>
        <v>278.87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69" t="s">
        <v>927</v>
      </c>
      <c r="B5" s="3269"/>
      <c r="C5" s="3269"/>
      <c r="D5" s="3269" t="e">
        <f ca="1">结果表!D119</f>
        <v>#REF!</v>
      </c>
      <c r="E5" s="3269"/>
      <c r="F5" s="3269" t="e">
        <f ca="1">结果表!F119</f>
        <v>#REF!</v>
      </c>
      <c r="G5" s="3269"/>
      <c r="H5" s="3269" t="e">
        <f ca="1">结果表!H119</f>
        <v>#REF!</v>
      </c>
      <c r="I5" s="3269"/>
    </row>
    <row r="6" spans="1:9" ht="15.75">
      <c r="A6" s="3270" t="str">
        <f>结果表!A120</f>
        <v/>
      </c>
      <c r="B6" s="3270"/>
      <c r="C6" s="3270"/>
      <c r="D6" s="3270">
        <f>结果表!D120</f>
        <v>0</v>
      </c>
      <c r="E6" s="3270"/>
      <c r="F6" s="3270"/>
      <c r="G6" s="3270"/>
      <c r="H6" s="3270"/>
      <c r="I6" s="3270"/>
    </row>
    <row r="7" spans="1:9" ht="15">
      <c r="A7" s="3269" t="s">
        <v>927</v>
      </c>
      <c r="B7" s="3269"/>
      <c r="C7" s="3269"/>
      <c r="D7" s="3271" t="str">
        <f>结果表!D121</f>
        <v>零元整</v>
      </c>
      <c r="E7" s="3272"/>
      <c r="F7" s="3272"/>
      <c r="G7" s="3272"/>
      <c r="H7" s="3272"/>
      <c r="I7" s="3273"/>
    </row>
    <row r="8" spans="1:9" ht="15.75">
      <c r="A8" s="3270" t="str">
        <f>结果表!A122</f>
        <v/>
      </c>
      <c r="B8" s="3270"/>
      <c r="C8" s="3270"/>
      <c r="D8" s="3270" t="e">
        <f ca="1">结果表!D122</f>
        <v>#REF!</v>
      </c>
      <c r="E8" s="3270"/>
      <c r="F8" s="3270"/>
      <c r="G8" s="3270"/>
      <c r="H8" s="3270"/>
      <c r="I8" s="3270"/>
    </row>
    <row r="9" spans="1:9" ht="15">
      <c r="A9" s="3269" t="s">
        <v>927</v>
      </c>
      <c r="B9" s="3269"/>
      <c r="C9" s="3269"/>
      <c r="D9" s="3269" t="e">
        <f ca="1">结果表!D123</f>
        <v>#REF!</v>
      </c>
      <c r="E9" s="3269"/>
      <c r="F9" s="3269"/>
      <c r="G9" s="3269"/>
      <c r="H9" s="3269"/>
      <c r="I9" s="3269"/>
    </row>
    <row r="10" spans="1:9" ht="15.75">
      <c r="A10" s="3270" t="str">
        <f>结果表!A124</f>
        <v/>
      </c>
      <c r="B10" s="3270"/>
      <c r="C10" s="3270"/>
      <c r="D10" s="3270" t="str">
        <f>结果表!D124</f>
        <v>——</v>
      </c>
      <c r="E10" s="3270"/>
      <c r="F10" s="3270"/>
      <c r="G10" s="3270"/>
      <c r="H10" s="3270"/>
      <c r="I10" s="3270"/>
    </row>
    <row r="11" spans="1:9" ht="15">
      <c r="A11" s="3269" t="s">
        <v>927</v>
      </c>
      <c r="B11" s="3269"/>
      <c r="C11" s="3269"/>
      <c r="D11" s="3269" t="e">
        <f>结果表!D125</f>
        <v>#VALUE!</v>
      </c>
      <c r="E11" s="3269"/>
      <c r="F11" s="3269"/>
      <c r="G11" s="3269"/>
      <c r="H11" s="3269"/>
      <c r="I11" s="3269"/>
    </row>
    <row r="12" spans="1:9" ht="15.75">
      <c r="A12" s="3270" t="str">
        <f>结果表!A126</f>
        <v/>
      </c>
      <c r="B12" s="3270"/>
      <c r="C12" s="3270"/>
      <c r="D12" s="3270" t="str">
        <f>结果表!D126</f>
        <v>——</v>
      </c>
      <c r="E12" s="3270"/>
      <c r="F12" s="3270"/>
      <c r="G12" s="3270"/>
      <c r="H12" s="3270"/>
      <c r="I12" s="3270"/>
    </row>
    <row r="13" spans="1:9" ht="15.75" thickBot="1">
      <c r="A13" s="3274" t="s">
        <v>927</v>
      </c>
      <c r="B13" s="3274"/>
      <c r="C13" s="3274"/>
      <c r="D13" s="3274" t="e">
        <f>结果表!D127</f>
        <v>#VALUE!</v>
      </c>
      <c r="E13" s="3274"/>
      <c r="F13" s="3274"/>
      <c r="G13" s="3274"/>
      <c r="H13" s="3274"/>
      <c r="I13" s="3274"/>
    </row>
    <row r="14" spans="1:9" ht="15" thickTop="1">
      <c r="A14" s="3275" t="s">
        <v>932</v>
      </c>
      <c r="B14" s="3275"/>
      <c r="C14" s="3275"/>
      <c r="D14" s="3275"/>
      <c r="E14" s="3275"/>
      <c r="F14" s="3275"/>
      <c r="G14" s="3275"/>
      <c r="H14" s="3275"/>
      <c r="I14" s="327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16" zoomScale="80" zoomScaleNormal="80" workbookViewId="0">
      <selection activeCell="F1" sqref="F1:F1048576"/>
    </sheetView>
  </sheetViews>
  <sheetFormatPr defaultRowHeight="13.5"/>
  <cols>
    <col min="1" max="1" width="13.875" customWidth="1"/>
    <col min="11" max="17" width="0" hidden="1" customWidth="1"/>
    <col min="25" max="30" width="0" hidden="1" customWidth="1"/>
  </cols>
  <sheetData>
    <row r="1" spans="1:30">
      <c r="A1" s="2937">
        <f>'基准地价修正-商业'!G23</f>
        <v>45254</v>
      </c>
      <c r="B1" s="2929" t="s">
        <v>3373</v>
      </c>
      <c r="C1" s="2930"/>
      <c r="D1" s="2930"/>
      <c r="E1" s="2930"/>
      <c r="F1" s="2930"/>
      <c r="G1" s="2930"/>
      <c r="H1" s="2930"/>
      <c r="I1" s="2930"/>
      <c r="J1" s="2896"/>
      <c r="K1" s="2930" t="s">
        <v>454</v>
      </c>
      <c r="L1" s="2930"/>
      <c r="M1" s="2930"/>
      <c r="N1" s="2930"/>
      <c r="O1" s="2930"/>
      <c r="P1" s="2930"/>
      <c r="Q1" s="2896"/>
      <c r="R1" s="3625" t="s">
        <v>456</v>
      </c>
      <c r="S1" s="3626"/>
      <c r="T1" s="3626"/>
      <c r="U1" s="3626"/>
      <c r="V1" s="3626"/>
      <c r="W1" s="3626"/>
      <c r="X1" s="2896"/>
      <c r="Y1" s="3625" t="s">
        <v>457</v>
      </c>
      <c r="Z1" s="3626"/>
      <c r="AA1" s="3626"/>
      <c r="AB1" s="3626"/>
      <c r="AC1" s="3626"/>
      <c r="AD1" s="3626"/>
    </row>
    <row r="2" spans="1:30" s="2010" customFormat="1" ht="14.25" thickBot="1">
      <c r="B2" s="2881"/>
      <c r="C2" s="2882"/>
      <c r="D2" s="2011" t="s">
        <v>2811</v>
      </c>
      <c r="E2" s="2012" t="s">
        <v>2812</v>
      </c>
      <c r="F2" s="2012" t="s">
        <v>2813</v>
      </c>
      <c r="G2" s="2012" t="s">
        <v>2814</v>
      </c>
      <c r="H2" s="2012" t="s">
        <v>2815</v>
      </c>
      <c r="I2" s="2012" t="s">
        <v>2632</v>
      </c>
      <c r="J2" s="2883"/>
      <c r="K2" s="2011" t="s">
        <v>2811</v>
      </c>
      <c r="L2" s="2012" t="s">
        <v>2812</v>
      </c>
      <c r="M2" s="2012" t="s">
        <v>2813</v>
      </c>
      <c r="N2" s="2012" t="s">
        <v>2814</v>
      </c>
      <c r="O2" s="2012" t="s">
        <v>2816</v>
      </c>
      <c r="P2" s="2012" t="s">
        <v>2632</v>
      </c>
      <c r="Q2" s="2883"/>
      <c r="R2" s="2011" t="s">
        <v>2811</v>
      </c>
      <c r="S2" s="2012" t="s">
        <v>2812</v>
      </c>
      <c r="T2" s="2012" t="s">
        <v>2813</v>
      </c>
      <c r="U2" s="2012" t="s">
        <v>2817</v>
      </c>
      <c r="V2" s="2012" t="s">
        <v>2818</v>
      </c>
      <c r="W2" s="2012" t="s">
        <v>2632</v>
      </c>
      <c r="X2" s="2883"/>
      <c r="Y2" s="2011" t="s">
        <v>2811</v>
      </c>
      <c r="Z2" s="2012" t="s">
        <v>2812</v>
      </c>
      <c r="AA2" s="2012" t="s">
        <v>2813</v>
      </c>
      <c r="AB2" s="2012" t="s">
        <v>2819</v>
      </c>
      <c r="AC2" s="2012" t="s">
        <v>2818</v>
      </c>
      <c r="AD2" s="2012" t="s">
        <v>2632</v>
      </c>
    </row>
    <row r="3" spans="1:30" s="2886" customFormat="1" ht="12.75">
      <c r="A3" s="2884" t="s">
        <v>2820</v>
      </c>
      <c r="B3" s="2885"/>
      <c r="D3" s="2886">
        <f>ROUND(AVERAGEIF(D4:D18,"&lt;&gt;0"),2)</f>
        <v>0.78</v>
      </c>
      <c r="E3" s="2886">
        <f t="shared" ref="E3:H3" si="0">ROUND(AVERAGEIF(E4:E18,"&lt;&gt;0"),2)</f>
        <v>0.41</v>
      </c>
      <c r="F3" s="2886">
        <f t="shared" si="0"/>
        <v>0.23</v>
      </c>
      <c r="G3" s="2886">
        <f t="shared" si="0"/>
        <v>0.84</v>
      </c>
      <c r="H3" s="2886">
        <f t="shared" si="0"/>
        <v>0.63</v>
      </c>
      <c r="I3" s="2886">
        <f>F3</f>
        <v>0.23</v>
      </c>
      <c r="J3" s="2887"/>
      <c r="K3" s="2888">
        <f>ROUND(AVERAGEIF(K4:K18,"&lt;&gt;0"),4)</f>
        <v>7.7999999999999996E-3</v>
      </c>
      <c r="L3" s="2889">
        <f t="shared" ref="L3:O3" si="1">ROUND(AVERAGEIF(L4:L18,"&lt;&gt;0"),4)</f>
        <v>4.1000000000000003E-3</v>
      </c>
      <c r="M3" s="2889">
        <f t="shared" si="1"/>
        <v>2.3E-3</v>
      </c>
      <c r="N3" s="2889">
        <f t="shared" si="1"/>
        <v>8.3999999999999995E-3</v>
      </c>
      <c r="O3" s="2889">
        <f t="shared" si="1"/>
        <v>6.3E-3</v>
      </c>
      <c r="P3" s="2889">
        <f>M3</f>
        <v>2.3E-3</v>
      </c>
      <c r="Q3" s="2887"/>
      <c r="R3" s="2890">
        <f>ROUND(SUMPRODUCT(PRODUCT(1+K4:K18)),4)</f>
        <v>1.0888</v>
      </c>
      <c r="S3" s="2891">
        <f t="shared" ref="S3:V3" si="2">ROUND(SUMPRODUCT(PRODUCT(1+L4:L18)),4)</f>
        <v>1.0463</v>
      </c>
      <c r="T3" s="2891">
        <f t="shared" si="2"/>
        <v>1.0257000000000001</v>
      </c>
      <c r="U3" s="2891">
        <f t="shared" si="2"/>
        <v>1.0961000000000001</v>
      </c>
      <c r="V3" s="2891">
        <f t="shared" si="2"/>
        <v>1.0713999999999999</v>
      </c>
      <c r="W3" s="2890">
        <f>T3</f>
        <v>1.0257000000000001</v>
      </c>
      <c r="X3" s="2887"/>
      <c r="Y3" s="2892">
        <f>ROUND(AVERAGEIF(Y5:Y18,"&lt;&gt;0"),4)</f>
        <v>8.6999999999999994E-3</v>
      </c>
      <c r="Z3" s="2893">
        <f t="shared" ref="Z3:AC3" si="3">ROUND(AVERAGEIF(Z5:Z18,"&lt;&gt;0"),4)</f>
        <v>3.5000000000000001E-3</v>
      </c>
      <c r="AA3" s="2894">
        <f t="shared" si="3"/>
        <v>8.9999999999999998E-4</v>
      </c>
      <c r="AB3" s="2892">
        <f t="shared" si="3"/>
        <v>9.4999999999999998E-3</v>
      </c>
      <c r="AC3" s="2895">
        <f t="shared" si="3"/>
        <v>6.1000000000000004E-3</v>
      </c>
      <c r="AD3" s="2892">
        <f>AA3</f>
        <v>8.9999999999999998E-4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040" t="s">
        <v>3377</v>
      </c>
      <c r="B5" s="2031">
        <v>2023</v>
      </c>
      <c r="C5" s="2042">
        <v>4</v>
      </c>
      <c r="D5" s="2007">
        <v>0</v>
      </c>
      <c r="E5" s="2007">
        <v>0</v>
      </c>
      <c r="F5" s="2007">
        <v>0</v>
      </c>
      <c r="G5" s="2007">
        <v>0</v>
      </c>
      <c r="H5" s="2007">
        <v>0</v>
      </c>
      <c r="I5" s="2008">
        <f t="shared" ref="I5:I18" si="4">F5</f>
        <v>0</v>
      </c>
      <c r="J5" s="2906"/>
      <c r="K5" s="2043">
        <f t="shared" ref="K5:O18" si="5">D5/100</f>
        <v>0</v>
      </c>
      <c r="L5" s="2028">
        <f t="shared" si="5"/>
        <v>0</v>
      </c>
      <c r="M5" s="2028">
        <f t="shared" si="5"/>
        <v>0</v>
      </c>
      <c r="N5" s="2028">
        <f t="shared" si="5"/>
        <v>0</v>
      </c>
      <c r="O5" s="2028">
        <f t="shared" si="5"/>
        <v>0</v>
      </c>
      <c r="P5" s="2028">
        <f>M5</f>
        <v>0</v>
      </c>
      <c r="Q5" s="2906"/>
      <c r="R5" s="2027">
        <f>ROUND(IF(项目基本情况!$B$8="出让",SUMPRODUCT(PRODUCT(1+K5:$K$18)),SUMPRODUCT(PRODUCT(1+K5:$K$17))),4)</f>
        <v>1.0783</v>
      </c>
      <c r="S5" s="2027">
        <f>ROUND(IF(项目基本情况!$B$8="出让",SUMPRODUCT(PRODUCT(1+L5:$L$18)),SUMPRODUCT(PRODUCT(1+L5:$L$17))),4)</f>
        <v>1.0447</v>
      </c>
      <c r="T5" s="2027">
        <f>ROUND(IF(项目基本情况!$B$8="出让",SUMPRODUCT(PRODUCT(1+M5:$M$18)),SUMPRODUCT(PRODUCT(1+M5:$M$17))),4)</f>
        <v>1.0282</v>
      </c>
      <c r="U5" s="2027">
        <f>ROUND(IF(项目基本情况!$B$8="出让",SUMPRODUCT(PRODUCT(1+N5:$N$18)),SUMPRODUCT(PRODUCT(1+N5:$N$17))),4)</f>
        <v>1.0841000000000001</v>
      </c>
      <c r="V5" s="2027">
        <f>ROUND(IF(项目基本情况!$B$8="出让",SUMPRODUCT(PRODUCT(1+O5:$O$18)),SUMPRODUCT(PRODUCT(1+O5:$O$17))),4)</f>
        <v>1.0674999999999999</v>
      </c>
      <c r="W5" s="2027">
        <f>T5</f>
        <v>1.0282</v>
      </c>
      <c r="X5" s="2906"/>
      <c r="Y5" s="2028">
        <f>IF(D5=0,0,ROUND(AVERAGE(D5:D18)/100,4))</f>
        <v>0</v>
      </c>
      <c r="Z5" s="2028">
        <f t="shared" ref="Z5:AC5" si="6">IF(E5=0,0,ROUND(AVERAGE(E5:E18)/100,4))</f>
        <v>0</v>
      </c>
      <c r="AA5" s="2028">
        <f t="shared" si="6"/>
        <v>0</v>
      </c>
      <c r="AB5" s="2028">
        <f t="shared" si="6"/>
        <v>0</v>
      </c>
      <c r="AC5" s="2028">
        <f t="shared" si="6"/>
        <v>0</v>
      </c>
      <c r="AD5" s="2028">
        <f t="shared" ref="AD5:AD17" si="7">AA5</f>
        <v>0</v>
      </c>
    </row>
    <row r="6" spans="1:30" s="2045" customFormat="1" ht="12.75">
      <c r="A6" s="2040" t="s">
        <v>3378</v>
      </c>
      <c r="B6" s="2031">
        <v>2023</v>
      </c>
      <c r="C6" s="2042">
        <v>3</v>
      </c>
      <c r="D6" s="2007">
        <v>0</v>
      </c>
      <c r="E6" s="2007">
        <v>0</v>
      </c>
      <c r="F6" s="2007">
        <v>0</v>
      </c>
      <c r="G6" s="2007">
        <v>0</v>
      </c>
      <c r="H6" s="2917">
        <v>0</v>
      </c>
      <c r="I6" s="2008">
        <v>0</v>
      </c>
      <c r="J6" s="2906"/>
      <c r="K6" s="2043">
        <f t="shared" ref="K6" si="8">D6/100</f>
        <v>0</v>
      </c>
      <c r="L6" s="2028">
        <f t="shared" ref="L6" si="9">E6/100</f>
        <v>0</v>
      </c>
      <c r="M6" s="2028">
        <f t="shared" ref="M6" si="10">F6/100</f>
        <v>0</v>
      </c>
      <c r="N6" s="2028">
        <f t="shared" ref="N6" si="11">G6/100</f>
        <v>0</v>
      </c>
      <c r="O6" s="2028">
        <f t="shared" ref="O6" si="12">H6/100</f>
        <v>0</v>
      </c>
      <c r="P6" s="2028">
        <f t="shared" ref="P6" si="13">M6</f>
        <v>0</v>
      </c>
      <c r="Q6" s="2906"/>
      <c r="R6" s="2027">
        <f>ROUND(IF(项目基本情况!$B$8="出让",SUMPRODUCT(PRODUCT(1+K6:$K$18)),SUMPRODUCT(PRODUCT(1+K6:$K$17))),4)</f>
        <v>1.0783</v>
      </c>
      <c r="S6" s="2027">
        <f>ROUND(IF(项目基本情况!$B$8="出让",SUMPRODUCT(PRODUCT(1+L6:$L$18)),SUMPRODUCT(PRODUCT(1+L6:$L$17))),4)</f>
        <v>1.0447</v>
      </c>
      <c r="T6" s="2027">
        <f>ROUND(IF(项目基本情况!$B$8="出让",SUMPRODUCT(PRODUCT(1+M6:$M$18)),SUMPRODUCT(PRODUCT(1+M6:$M$17))),4)</f>
        <v>1.0282</v>
      </c>
      <c r="U6" s="2027">
        <f>ROUND(IF(项目基本情况!$B$8="出让",SUMPRODUCT(PRODUCT(1+N6:$N$18)),SUMPRODUCT(PRODUCT(1+N6:$N$17))),4)</f>
        <v>1.0841000000000001</v>
      </c>
      <c r="V6" s="2027">
        <f>ROUND(IF(项目基本情况!$B$8="出让",SUMPRODUCT(PRODUCT(1+O6:$O$18)),SUMPRODUCT(PRODUCT(1+O6:$O$17))),4)</f>
        <v>1.0674999999999999</v>
      </c>
      <c r="W6" s="2027">
        <f t="shared" ref="W6" si="14">T6</f>
        <v>1.0282</v>
      </c>
      <c r="X6" s="2906"/>
      <c r="Y6" s="2028"/>
      <c r="Z6" s="2028"/>
      <c r="AA6" s="2028"/>
      <c r="AB6" s="2028"/>
      <c r="AC6" s="2028"/>
      <c r="AD6" s="2028"/>
    </row>
    <row r="7" spans="1:30" s="2045" customFormat="1" ht="12.75">
      <c r="A7" s="2040" t="s">
        <v>3379</v>
      </c>
      <c r="B7" s="2031">
        <v>2023</v>
      </c>
      <c r="C7" s="2042">
        <v>3</v>
      </c>
      <c r="D7" s="2007">
        <v>0</v>
      </c>
      <c r="E7" s="2007">
        <v>0</v>
      </c>
      <c r="F7" s="2007">
        <v>0</v>
      </c>
      <c r="G7" s="2007">
        <v>0</v>
      </c>
      <c r="H7" s="2917">
        <v>0</v>
      </c>
      <c r="I7" s="2008">
        <v>0</v>
      </c>
      <c r="J7" s="2906"/>
      <c r="K7" s="2043">
        <f t="shared" si="5"/>
        <v>0</v>
      </c>
      <c r="L7" s="2028">
        <f t="shared" si="5"/>
        <v>0</v>
      </c>
      <c r="M7" s="2028">
        <f t="shared" si="5"/>
        <v>0</v>
      </c>
      <c r="N7" s="2028">
        <f t="shared" si="5"/>
        <v>0</v>
      </c>
      <c r="O7" s="2028">
        <f t="shared" si="5"/>
        <v>0</v>
      </c>
      <c r="P7" s="2028">
        <f t="shared" ref="P7" si="15">M7</f>
        <v>0</v>
      </c>
      <c r="Q7" s="2906"/>
      <c r="R7" s="2027">
        <f>ROUND(IF(项目基本情况!$B$8="出让",SUMPRODUCT(PRODUCT(1+K7:$K$18)),SUMPRODUCT(PRODUCT(1+K7:$K$17))),4)</f>
        <v>1.0783</v>
      </c>
      <c r="S7" s="2027">
        <f>ROUND(IF(项目基本情况!$B$8="出让",SUMPRODUCT(PRODUCT(1+L7:$L$18)),SUMPRODUCT(PRODUCT(1+L7:$L$17))),4)</f>
        <v>1.0447</v>
      </c>
      <c r="T7" s="2027">
        <f>ROUND(IF(项目基本情况!$B$8="出让",SUMPRODUCT(PRODUCT(1+M7:$M$18)),SUMPRODUCT(PRODUCT(1+M7:$M$17))),4)</f>
        <v>1.0282</v>
      </c>
      <c r="U7" s="2027">
        <f>ROUND(IF(项目基本情况!$B$8="出让",SUMPRODUCT(PRODUCT(1+N7:$N$18)),SUMPRODUCT(PRODUCT(1+N7:$N$17))),4)</f>
        <v>1.0841000000000001</v>
      </c>
      <c r="V7" s="2027">
        <f>ROUND(IF(项目基本情况!$B$8="出让",SUMPRODUCT(PRODUCT(1+O7:$O$18)),SUMPRODUCT(PRODUCT(1+O7:$O$17))),4)</f>
        <v>1.0674999999999999</v>
      </c>
      <c r="W7" s="2027">
        <f t="shared" ref="W7" si="16">T7</f>
        <v>1.0282</v>
      </c>
      <c r="X7" s="2906"/>
      <c r="Y7" s="2028"/>
      <c r="Z7" s="2028"/>
      <c r="AA7" s="2028"/>
      <c r="AB7" s="2028"/>
      <c r="AC7" s="2028"/>
      <c r="AD7" s="2028"/>
    </row>
    <row r="8" spans="1:30" s="2916" customFormat="1" ht="12.75">
      <c r="A8" s="2907" t="s">
        <v>3371</v>
      </c>
      <c r="B8" s="2908">
        <v>2023</v>
      </c>
      <c r="C8" s="2909">
        <v>3</v>
      </c>
      <c r="D8" s="2910">
        <v>0.25</v>
      </c>
      <c r="E8" s="2910">
        <v>0.5</v>
      </c>
      <c r="F8" s="2910">
        <v>0.31</v>
      </c>
      <c r="G8" s="2910">
        <v>0.21</v>
      </c>
      <c r="H8" s="2911">
        <v>0.43</v>
      </c>
      <c r="I8" s="2912">
        <f t="shared" si="4"/>
        <v>0.31</v>
      </c>
      <c r="J8" s="2913"/>
      <c r="K8" s="2914">
        <f t="shared" ref="K8:K10" si="17">D8/100</f>
        <v>2.5000000000000001E-3</v>
      </c>
      <c r="L8" s="2915">
        <f t="shared" ref="L8:L10" si="18">E8/100</f>
        <v>5.0000000000000001E-3</v>
      </c>
      <c r="M8" s="2915">
        <f t="shared" ref="M8:M10" si="19">F8/100</f>
        <v>3.0999999999999999E-3</v>
      </c>
      <c r="N8" s="2915">
        <f t="shared" ref="N8:N10" si="20">G8/100</f>
        <v>2.0999999999999999E-3</v>
      </c>
      <c r="O8" s="2915">
        <f t="shared" ref="O8:O10" si="21">H8/100</f>
        <v>4.3E-3</v>
      </c>
      <c r="P8" s="2915">
        <f t="shared" ref="P8:P10" si="22">M8</f>
        <v>3.0999999999999999E-3</v>
      </c>
      <c r="Q8" s="2913"/>
      <c r="R8" s="2913">
        <f>ROUND(IF(项目基本情况!$B$8="出让",SUMPRODUCT(PRODUCT(1+K8:$K$18)),SUMPRODUCT(PRODUCT(1+K8:$K$17))),4)</f>
        <v>1.0783</v>
      </c>
      <c r="S8" s="2913">
        <f>ROUND(IF(项目基本情况!$B$8="出让",SUMPRODUCT(PRODUCT(1+L8:$L$18)),SUMPRODUCT(PRODUCT(1+L8:$L$17))),4)</f>
        <v>1.0447</v>
      </c>
      <c r="T8" s="2913">
        <f>ROUND(IF(项目基本情况!$B$8="出让",SUMPRODUCT(PRODUCT(1+M8:$M$18)),SUMPRODUCT(PRODUCT(1+M8:$M$17))),4)</f>
        <v>1.0282</v>
      </c>
      <c r="U8" s="2913">
        <f>ROUND(IF(项目基本情况!$B$8="出让",SUMPRODUCT(PRODUCT(1+N8:$N$18)),SUMPRODUCT(PRODUCT(1+N8:$N$17))),4)</f>
        <v>1.0841000000000001</v>
      </c>
      <c r="V8" s="2913">
        <f>ROUND(IF(项目基本情况!$B$8="出让",SUMPRODUCT(PRODUCT(1+O8:$O$18)),SUMPRODUCT(PRODUCT(1+O8:$O$17))),4)</f>
        <v>1.0674999999999999</v>
      </c>
      <c r="W8" s="2913">
        <f t="shared" ref="W8:W9" si="23">T8</f>
        <v>1.0282</v>
      </c>
      <c r="X8" s="2913"/>
      <c r="Y8" s="2915"/>
      <c r="Z8" s="2915"/>
      <c r="AA8" s="2915"/>
      <c r="AB8" s="2915"/>
      <c r="AC8" s="2915"/>
      <c r="AD8" s="2915"/>
    </row>
    <row r="9" spans="1:30" s="2045" customFormat="1" ht="12.75">
      <c r="A9" s="2905" t="s">
        <v>3372</v>
      </c>
      <c r="B9" s="2031">
        <v>2023</v>
      </c>
      <c r="C9" s="2042">
        <v>2</v>
      </c>
      <c r="D9" s="2007">
        <v>0.91</v>
      </c>
      <c r="E9" s="2007">
        <v>0.66</v>
      </c>
      <c r="F9" s="2007">
        <v>0.47</v>
      </c>
      <c r="G9" s="2007">
        <v>0.96</v>
      </c>
      <c r="H9" s="2917">
        <v>0.71</v>
      </c>
      <c r="I9" s="2008">
        <f t="shared" si="4"/>
        <v>0.47</v>
      </c>
      <c r="J9" s="2906"/>
      <c r="K9" s="2043">
        <f t="shared" si="17"/>
        <v>9.1000000000000004E-3</v>
      </c>
      <c r="L9" s="2028">
        <f t="shared" si="18"/>
        <v>6.6E-3</v>
      </c>
      <c r="M9" s="2028">
        <f t="shared" si="19"/>
        <v>4.6999999999999993E-3</v>
      </c>
      <c r="N9" s="2028">
        <f t="shared" si="20"/>
        <v>9.5999999999999992E-3</v>
      </c>
      <c r="O9" s="2028">
        <f t="shared" si="21"/>
        <v>7.0999999999999995E-3</v>
      </c>
      <c r="P9" s="2028">
        <f t="shared" si="22"/>
        <v>4.6999999999999993E-3</v>
      </c>
      <c r="Q9" s="2906"/>
      <c r="R9" s="2027">
        <f>ROUND(IF(项目基本情况!$B$8="出让",SUMPRODUCT(PRODUCT(1+K9:$K$18)),SUMPRODUCT(PRODUCT(1+K9:$K$17))),4)</f>
        <v>1.0755999999999999</v>
      </c>
      <c r="S9" s="2027">
        <f>ROUND(IF(项目基本情况!$B$8="出让",SUMPRODUCT(PRODUCT(1+L9:$L$18)),SUMPRODUCT(PRODUCT(1+L9:$L$17))),4)</f>
        <v>1.0395000000000001</v>
      </c>
      <c r="T9" s="2027">
        <f>ROUND(IF(项目基本情况!$B$8="出让",SUMPRODUCT(PRODUCT(1+M9:$M$18)),SUMPRODUCT(PRODUCT(1+M9:$M$17))),4)</f>
        <v>1.0250999999999999</v>
      </c>
      <c r="U9" s="2027">
        <f>ROUND(IF(项目基本情况!$B$8="出让",SUMPRODUCT(PRODUCT(1+N9:$N$18)),SUMPRODUCT(PRODUCT(1+N9:$N$17))),4)</f>
        <v>1.0818000000000001</v>
      </c>
      <c r="V9" s="2027">
        <f>ROUND(IF(项目基本情况!$B$8="出让",SUMPRODUCT(PRODUCT(1+O9:$O$18)),SUMPRODUCT(PRODUCT(1+O9:$O$17))),4)</f>
        <v>1.0629999999999999</v>
      </c>
      <c r="W9" s="2027">
        <f t="shared" si="23"/>
        <v>1.0250999999999999</v>
      </c>
      <c r="X9" s="2906"/>
      <c r="Y9" s="2028"/>
      <c r="Z9" s="2028"/>
      <c r="AA9" s="2028"/>
      <c r="AB9" s="2028"/>
      <c r="AC9" s="2028"/>
      <c r="AD9" s="2028"/>
    </row>
    <row r="10" spans="1:30" s="2045" customFormat="1" ht="12.75">
      <c r="A10" s="2905" t="s">
        <v>3370</v>
      </c>
      <c r="B10" s="2031">
        <v>2023</v>
      </c>
      <c r="C10" s="2042">
        <v>1</v>
      </c>
      <c r="D10" s="2007">
        <v>0.89</v>
      </c>
      <c r="E10" s="2007">
        <v>0.74</v>
      </c>
      <c r="F10" s="2007">
        <v>0.56999999999999995</v>
      </c>
      <c r="G10" s="2007">
        <v>0.92</v>
      </c>
      <c r="H10" s="2917">
        <v>0.5</v>
      </c>
      <c r="I10" s="2008">
        <f t="shared" si="4"/>
        <v>0.56999999999999995</v>
      </c>
      <c r="J10" s="2906"/>
      <c r="K10" s="2043">
        <f t="shared" si="17"/>
        <v>8.8999999999999999E-3</v>
      </c>
      <c r="L10" s="2028">
        <f t="shared" si="18"/>
        <v>7.4000000000000003E-3</v>
      </c>
      <c r="M10" s="2028">
        <f t="shared" si="19"/>
        <v>5.6999999999999993E-3</v>
      </c>
      <c r="N10" s="2028">
        <f t="shared" si="20"/>
        <v>9.1999999999999998E-3</v>
      </c>
      <c r="O10" s="2028">
        <f t="shared" si="21"/>
        <v>5.0000000000000001E-3</v>
      </c>
      <c r="P10" s="2028">
        <f t="shared" si="22"/>
        <v>5.6999999999999993E-3</v>
      </c>
      <c r="Q10" s="2906"/>
      <c r="R10" s="2027">
        <f>ROUND(IF(项目基本情况!$B$8="出让",SUMPRODUCT(PRODUCT(1+K10:$K$18)),SUMPRODUCT(PRODUCT(1+K10:$K$17))),4)</f>
        <v>1.0659000000000001</v>
      </c>
      <c r="S10" s="2027">
        <f>ROUND(IF(项目基本情况!$B$8="出让",SUMPRODUCT(PRODUCT(1+L10:$L$18)),SUMPRODUCT(PRODUCT(1+L10:$L$17))),4)</f>
        <v>1.0326</v>
      </c>
      <c r="T10" s="2027">
        <f>ROUND(IF(项目基本情况!$B$8="出让",SUMPRODUCT(PRODUCT(1+M10:$M$18)),SUMPRODUCT(PRODUCT(1+M10:$M$17))),4)</f>
        <v>1.0203</v>
      </c>
      <c r="U10" s="2027">
        <f>ROUND(IF(项目基本情况!$B$8="出让",SUMPRODUCT(PRODUCT(1+N10:$N$18)),SUMPRODUCT(PRODUCT(1+N10:$N$17))),4)</f>
        <v>1.0714999999999999</v>
      </c>
      <c r="V10" s="2027">
        <f>ROUND(IF(项目基本情况!$B$8="出让",SUMPRODUCT(PRODUCT(1+O10:$O$18)),SUMPRODUCT(PRODUCT(1+O10:$O$17))),4)</f>
        <v>1.0555000000000001</v>
      </c>
      <c r="W10" s="2027">
        <f t="shared" ref="W10:W17" si="24">T10</f>
        <v>1.0203</v>
      </c>
      <c r="X10" s="2906"/>
      <c r="Y10" s="2028"/>
      <c r="Z10" s="2028"/>
      <c r="AA10" s="2028"/>
      <c r="AB10" s="2028"/>
      <c r="AC10" s="2028"/>
      <c r="AD10" s="2028"/>
    </row>
    <row r="11" spans="1:30" s="2045" customFormat="1" ht="12.75">
      <c r="A11" s="2905" t="s">
        <v>3369</v>
      </c>
      <c r="B11" s="2031">
        <v>2022</v>
      </c>
      <c r="C11" s="2042">
        <v>4</v>
      </c>
      <c r="D11" s="2007">
        <v>0.62</v>
      </c>
      <c r="E11" s="2007">
        <v>0.2</v>
      </c>
      <c r="F11" s="2007">
        <v>0.11</v>
      </c>
      <c r="G11" s="2007">
        <v>0.69</v>
      </c>
      <c r="H11" s="2917">
        <v>0.53</v>
      </c>
      <c r="I11" s="2008">
        <f t="shared" si="4"/>
        <v>0.11</v>
      </c>
      <c r="J11" s="2906"/>
      <c r="K11" s="2043">
        <f t="shared" si="5"/>
        <v>6.1999999999999998E-3</v>
      </c>
      <c r="L11" s="2028">
        <f t="shared" si="5"/>
        <v>2E-3</v>
      </c>
      <c r="M11" s="2028">
        <f t="shared" si="5"/>
        <v>1.1000000000000001E-3</v>
      </c>
      <c r="N11" s="2028">
        <f t="shared" si="5"/>
        <v>6.8999999999999999E-3</v>
      </c>
      <c r="O11" s="2028">
        <f t="shared" si="5"/>
        <v>5.3E-3</v>
      </c>
      <c r="P11" s="2028">
        <f t="shared" ref="P11:P18" si="25">M11</f>
        <v>1.1000000000000001E-3</v>
      </c>
      <c r="Q11" s="2906"/>
      <c r="R11" s="2027">
        <f>ROUND(IF(项目基本情况!$B$8="出让",SUMPRODUCT(PRODUCT(1+K11:$K$18)),SUMPRODUCT(PRODUCT(1+K11:$K$17))),4)</f>
        <v>1.0565</v>
      </c>
      <c r="S11" s="2027">
        <f>ROUND(IF(项目基本情况!$B$8="出让",SUMPRODUCT(PRODUCT(1+L11:$L$18)),SUMPRODUCT(PRODUCT(1+L11:$L$17))),4)</f>
        <v>1.0250999999999999</v>
      </c>
      <c r="T11" s="2027">
        <f>ROUND(IF(项目基本情况!$B$8="出让",SUMPRODUCT(PRODUCT(1+M11:$M$18)),SUMPRODUCT(PRODUCT(1+M11:$M$17))),4)</f>
        <v>1.0145</v>
      </c>
      <c r="U11" s="2027">
        <f>ROUND(IF(项目基本情况!$B$8="出让",SUMPRODUCT(PRODUCT(1+N11:$N$18)),SUMPRODUCT(PRODUCT(1+N11:$N$17))),4)</f>
        <v>1.0618000000000001</v>
      </c>
      <c r="V11" s="2027">
        <f>ROUND(IF(项目基本情况!$B$8="出让",SUMPRODUCT(PRODUCT(1+O11:$O$18)),SUMPRODUCT(PRODUCT(1+O11:$O$17))),4)</f>
        <v>1.0502</v>
      </c>
      <c r="W11" s="2027">
        <f t="shared" si="24"/>
        <v>1.0145</v>
      </c>
      <c r="X11" s="2906"/>
      <c r="Y11" s="2028">
        <f>IF(D11=0,0,ROUND(AVERAGE(D11:D19)/100,4))</f>
        <v>8.0999999999999996E-3</v>
      </c>
      <c r="Z11" s="2028">
        <f t="shared" ref="Z11:AC11" si="26">IF(E11=0,0,ROUND(AVERAGE(E11:E18)/100,4))</f>
        <v>3.3E-3</v>
      </c>
      <c r="AA11" s="2028">
        <f t="shared" si="26"/>
        <v>1.5E-3</v>
      </c>
      <c r="AB11" s="2028">
        <f t="shared" si="26"/>
        <v>8.8999999999999999E-3</v>
      </c>
      <c r="AC11" s="2028">
        <f t="shared" si="26"/>
        <v>6.6E-3</v>
      </c>
      <c r="AD11" s="2028">
        <f t="shared" si="7"/>
        <v>1.5E-3</v>
      </c>
    </row>
    <row r="12" spans="1:30" s="2045" customFormat="1" ht="12.75">
      <c r="A12" s="2905" t="s">
        <v>3365</v>
      </c>
      <c r="B12" s="2031">
        <v>2022</v>
      </c>
      <c r="C12" s="2042">
        <v>3</v>
      </c>
      <c r="D12" s="2007">
        <v>0.66</v>
      </c>
      <c r="E12" s="2007">
        <v>0.32</v>
      </c>
      <c r="F12" s="2007">
        <v>0.23</v>
      </c>
      <c r="G12" s="2007">
        <v>0.72</v>
      </c>
      <c r="H12" s="2917">
        <v>0.63</v>
      </c>
      <c r="I12" s="2008">
        <f t="shared" si="4"/>
        <v>0.23</v>
      </c>
      <c r="J12" s="2906"/>
      <c r="K12" s="2043">
        <f t="shared" si="5"/>
        <v>6.6E-3</v>
      </c>
      <c r="L12" s="2028">
        <f t="shared" si="5"/>
        <v>3.2000000000000002E-3</v>
      </c>
      <c r="M12" s="2028">
        <f t="shared" si="5"/>
        <v>2.3E-3</v>
      </c>
      <c r="N12" s="2028">
        <f t="shared" si="5"/>
        <v>7.1999999999999998E-3</v>
      </c>
      <c r="O12" s="2028">
        <f t="shared" si="5"/>
        <v>6.3E-3</v>
      </c>
      <c r="P12" s="2028">
        <f t="shared" si="25"/>
        <v>2.3E-3</v>
      </c>
      <c r="Q12" s="2906"/>
      <c r="R12" s="2027">
        <f>ROUND(IF(项目基本情况!$B$8="出让",SUMPRODUCT(PRODUCT(1+K12:$K$18)),SUMPRODUCT(PRODUCT(1+K12:$K$17))),4)</f>
        <v>1.05</v>
      </c>
      <c r="S12" s="2027">
        <f>ROUND(IF(项目基本情况!$B$8="出让",SUMPRODUCT(PRODUCT(1+L12:$L$18)),SUMPRODUCT(PRODUCT(1+L12:$L$17))),4)</f>
        <v>1.0229999999999999</v>
      </c>
      <c r="T12" s="2027">
        <f>ROUND(IF(项目基本情况!$B$8="出让",SUMPRODUCT(PRODUCT(1+M12:$M$18)),SUMPRODUCT(PRODUCT(1+M12:$M$17))),4)</f>
        <v>1.0134000000000001</v>
      </c>
      <c r="U12" s="2027">
        <f>ROUND(IF(项目基本情况!$B$8="出让",SUMPRODUCT(PRODUCT(1+N12:$N$18)),SUMPRODUCT(PRODUCT(1+N12:$N$17))),4)</f>
        <v>1.0545</v>
      </c>
      <c r="V12" s="2027">
        <f>ROUND(IF(项目基本情况!$B$8="出让",SUMPRODUCT(PRODUCT(1+O12:$O$18)),SUMPRODUCT(PRODUCT(1+O12:$O$17))),4)</f>
        <v>1.0447</v>
      </c>
      <c r="W12" s="2027">
        <f t="shared" si="24"/>
        <v>1.0134000000000001</v>
      </c>
      <c r="X12" s="2906"/>
      <c r="Y12" s="2028">
        <f>IF(D12=0,0,ROUND(AVERAGE(D12:D18)/100,4))</f>
        <v>8.3999999999999995E-3</v>
      </c>
      <c r="Z12" s="2028">
        <f t="shared" ref="Z12:AC12" si="27">IF(E12=0,0,ROUND(AVERAGE(E12:E18)/100,4))</f>
        <v>3.5000000000000001E-3</v>
      </c>
      <c r="AA12" s="2028">
        <f t="shared" si="27"/>
        <v>1.5E-3</v>
      </c>
      <c r="AB12" s="2028">
        <f t="shared" si="27"/>
        <v>9.1999999999999998E-3</v>
      </c>
      <c r="AC12" s="2028">
        <f t="shared" si="27"/>
        <v>6.7999999999999996E-3</v>
      </c>
      <c r="AD12" s="2028">
        <f t="shared" si="7"/>
        <v>1.5E-3</v>
      </c>
    </row>
    <row r="13" spans="1:30" s="2045" customFormat="1" ht="12.75">
      <c r="A13" s="2905" t="s">
        <v>3356</v>
      </c>
      <c r="B13" s="2031">
        <v>2022</v>
      </c>
      <c r="C13" s="2042">
        <v>2</v>
      </c>
      <c r="D13" s="2007">
        <v>0.93</v>
      </c>
      <c r="E13" s="2007">
        <v>0.15</v>
      </c>
      <c r="F13" s="2007">
        <v>0.01</v>
      </c>
      <c r="G13" s="2007">
        <v>1.05</v>
      </c>
      <c r="H13" s="2917">
        <v>1.08</v>
      </c>
      <c r="I13" s="2008">
        <f t="shared" si="4"/>
        <v>0.01</v>
      </c>
      <c r="J13" s="2906"/>
      <c r="K13" s="2043">
        <f t="shared" si="5"/>
        <v>9.300000000000001E-3</v>
      </c>
      <c r="L13" s="2028">
        <f t="shared" si="5"/>
        <v>1.5E-3</v>
      </c>
      <c r="M13" s="2028">
        <f t="shared" si="5"/>
        <v>1E-4</v>
      </c>
      <c r="N13" s="2028">
        <f t="shared" si="5"/>
        <v>1.0500000000000001E-2</v>
      </c>
      <c r="O13" s="2028">
        <f t="shared" si="5"/>
        <v>1.0800000000000001E-2</v>
      </c>
      <c r="P13" s="2028">
        <f t="shared" si="25"/>
        <v>1E-4</v>
      </c>
      <c r="Q13" s="2906"/>
      <c r="R13" s="2027">
        <f>ROUND(IF(项目基本情况!$B$8="出让",SUMPRODUCT(PRODUCT(1+K13:$K$18)),SUMPRODUCT(PRODUCT(1+K13:$K$17))),4)</f>
        <v>1.0430999999999999</v>
      </c>
      <c r="S13" s="2027">
        <f>ROUND(IF(项目基本情况!$B$8="出让",SUMPRODUCT(PRODUCT(1+L13:$L$18)),SUMPRODUCT(PRODUCT(1+L13:$L$17))),4)</f>
        <v>1.0197000000000001</v>
      </c>
      <c r="T13" s="2027">
        <f>ROUND(IF(项目基本情况!$B$8="出让",SUMPRODUCT(PRODUCT(1+M13:$M$18)),SUMPRODUCT(PRODUCT(1+M13:$M$17))),4)</f>
        <v>1.0109999999999999</v>
      </c>
      <c r="U13" s="2027">
        <f>ROUND(IF(项目基本情况!$B$8="出让",SUMPRODUCT(PRODUCT(1+N13:$N$18)),SUMPRODUCT(PRODUCT(1+N13:$N$17))),4)</f>
        <v>1.0468999999999999</v>
      </c>
      <c r="V13" s="2027">
        <f>ROUND(IF(项目基本情况!$B$8="出让",SUMPRODUCT(PRODUCT(1+O13:$O$18)),SUMPRODUCT(PRODUCT(1+O13:$O$17))),4)</f>
        <v>1.0382</v>
      </c>
      <c r="W13" s="2027">
        <f t="shared" si="24"/>
        <v>1.0109999999999999</v>
      </c>
      <c r="X13" s="2906"/>
      <c r="Y13" s="2028">
        <f>IF(D13=0,0,ROUND(AVERAGE(D13:D18)/100,4))</f>
        <v>8.6999999999999994E-3</v>
      </c>
      <c r="Z13" s="2028">
        <f t="shared" ref="Z13:AC13" si="28">IF(E13=0,0,ROUND(AVERAGE(E13:E18)/100,4))</f>
        <v>3.5000000000000001E-3</v>
      </c>
      <c r="AA13" s="2028">
        <f t="shared" si="28"/>
        <v>1.4E-3</v>
      </c>
      <c r="AB13" s="2028">
        <f t="shared" si="28"/>
        <v>9.4999999999999998E-3</v>
      </c>
      <c r="AC13" s="2028">
        <f t="shared" si="28"/>
        <v>6.8999999999999999E-3</v>
      </c>
      <c r="AD13" s="2028">
        <f t="shared" si="7"/>
        <v>1.4E-3</v>
      </c>
    </row>
    <row r="14" spans="1:30" s="2045" customFormat="1" ht="12.75">
      <c r="A14" s="2905" t="s">
        <v>2821</v>
      </c>
      <c r="B14" s="2031">
        <v>2022</v>
      </c>
      <c r="C14" s="2042">
        <v>1</v>
      </c>
      <c r="D14" s="2007">
        <v>0.89</v>
      </c>
      <c r="E14" s="2007">
        <v>0.44</v>
      </c>
      <c r="F14" s="2007">
        <v>0.37</v>
      </c>
      <c r="G14" s="2007">
        <v>0.96</v>
      </c>
      <c r="H14" s="2917">
        <v>0.64</v>
      </c>
      <c r="I14" s="2008">
        <f t="shared" si="4"/>
        <v>0.37</v>
      </c>
      <c r="J14" s="2906"/>
      <c r="K14" s="2043">
        <f t="shared" si="5"/>
        <v>8.8999999999999999E-3</v>
      </c>
      <c r="L14" s="2028">
        <f t="shared" si="5"/>
        <v>4.4000000000000003E-3</v>
      </c>
      <c r="M14" s="2028">
        <f t="shared" si="5"/>
        <v>3.7000000000000002E-3</v>
      </c>
      <c r="N14" s="2028">
        <f t="shared" si="5"/>
        <v>9.5999999999999992E-3</v>
      </c>
      <c r="O14" s="2028">
        <f t="shared" si="5"/>
        <v>6.4000000000000003E-3</v>
      </c>
      <c r="P14" s="2028">
        <f t="shared" si="25"/>
        <v>3.7000000000000002E-3</v>
      </c>
      <c r="Q14" s="2906"/>
      <c r="R14" s="2027">
        <f>ROUND(IF(项目基本情况!$B$8="出让",SUMPRODUCT(PRODUCT(1+K14:$K$18)),SUMPRODUCT(PRODUCT(1+K14:$K$17))),4)</f>
        <v>1.0335000000000001</v>
      </c>
      <c r="S14" s="2027">
        <f>ROUND(IF(项目基本情况!$B$8="出让",SUMPRODUCT(PRODUCT(1+L14:$L$18)),SUMPRODUCT(PRODUCT(1+L14:$L$17))),4)</f>
        <v>1.0182</v>
      </c>
      <c r="T14" s="2027">
        <f>ROUND(IF(项目基本情况!$B$8="出让",SUMPRODUCT(PRODUCT(1+M14:$M$18)),SUMPRODUCT(PRODUCT(1+M14:$M$17))),4)</f>
        <v>1.0108999999999999</v>
      </c>
      <c r="U14" s="2027">
        <f>ROUND(IF(项目基本情况!$B$8="出让",SUMPRODUCT(PRODUCT(1+N14:$N$18)),SUMPRODUCT(PRODUCT(1+N14:$N$17))),4)</f>
        <v>1.0361</v>
      </c>
      <c r="V14" s="2027">
        <f>ROUND(IF(项目基本情况!$B$8="出让",SUMPRODUCT(PRODUCT(1+O14:$O$18)),SUMPRODUCT(PRODUCT(1+O14:$O$17))),4)</f>
        <v>1.0270999999999999</v>
      </c>
      <c r="W14" s="2027">
        <f t="shared" si="24"/>
        <v>1.0108999999999999</v>
      </c>
      <c r="X14" s="2906"/>
      <c r="Y14" s="2028">
        <f>IF(D14=0,0,ROUND(AVERAGE(D14:D18)/100,4))</f>
        <v>8.6E-3</v>
      </c>
      <c r="Z14" s="2028">
        <f t="shared" ref="Z14:AC14" si="29">IF(E14=0,0,ROUND(AVERAGE(E14:E18)/100,4))</f>
        <v>3.8999999999999998E-3</v>
      </c>
      <c r="AA14" s="2028">
        <f t="shared" si="29"/>
        <v>1.6999999999999999E-3</v>
      </c>
      <c r="AB14" s="2028">
        <f t="shared" si="29"/>
        <v>9.2999999999999992E-3</v>
      </c>
      <c r="AC14" s="2028">
        <f t="shared" si="29"/>
        <v>6.1000000000000004E-3</v>
      </c>
      <c r="AD14" s="2028">
        <f t="shared" si="7"/>
        <v>1.6999999999999999E-3</v>
      </c>
    </row>
    <row r="15" spans="1:30" s="2045" customFormat="1" ht="12.75">
      <c r="A15" s="2905" t="s">
        <v>2822</v>
      </c>
      <c r="B15" s="2031">
        <v>2021</v>
      </c>
      <c r="C15" s="2042">
        <v>4</v>
      </c>
      <c r="D15" s="2007">
        <v>1.03</v>
      </c>
      <c r="E15" s="2007">
        <v>0.24</v>
      </c>
      <c r="F15" s="2007">
        <v>7.0000000000000007E-2</v>
      </c>
      <c r="G15" s="2007">
        <v>1.17</v>
      </c>
      <c r="H15" s="2917">
        <v>0.55000000000000004</v>
      </c>
      <c r="I15" s="2008">
        <f t="shared" si="4"/>
        <v>7.0000000000000007E-2</v>
      </c>
      <c r="J15" s="2906"/>
      <c r="K15" s="2043">
        <f t="shared" si="5"/>
        <v>1.03E-2</v>
      </c>
      <c r="L15" s="2028">
        <f t="shared" si="5"/>
        <v>2.3999999999999998E-3</v>
      </c>
      <c r="M15" s="2028">
        <f t="shared" si="5"/>
        <v>7.000000000000001E-4</v>
      </c>
      <c r="N15" s="2028">
        <f t="shared" si="5"/>
        <v>1.1699999999999999E-2</v>
      </c>
      <c r="O15" s="2028">
        <f t="shared" si="5"/>
        <v>5.5000000000000005E-3</v>
      </c>
      <c r="P15" s="2028">
        <f t="shared" si="25"/>
        <v>7.000000000000001E-4</v>
      </c>
      <c r="Q15" s="2906"/>
      <c r="R15" s="2027">
        <f>ROUND(IF(项目基本情况!$B$8="出让",SUMPRODUCT(PRODUCT(1+K15:$K$18)),SUMPRODUCT(PRODUCT(1+K15:$K$17))),4)</f>
        <v>1.0244</v>
      </c>
      <c r="S15" s="2027">
        <f>ROUND(IF(项目基本情况!$B$8="出让",SUMPRODUCT(PRODUCT(1+L15:$L$18)),SUMPRODUCT(PRODUCT(1+L15:$L$17))),4)</f>
        <v>1.0138</v>
      </c>
      <c r="T15" s="2027">
        <f>ROUND(IF(项目基本情况!$B$8="出让",SUMPRODUCT(PRODUCT(1+M15:$M$18)),SUMPRODUCT(PRODUCT(1+M15:$M$17))),4)</f>
        <v>1.0072000000000001</v>
      </c>
      <c r="U15" s="2027">
        <f>ROUND(IF(项目基本情况!$B$8="出让",SUMPRODUCT(PRODUCT(1+N15:$N$18)),SUMPRODUCT(PRODUCT(1+N15:$N$17))),4)</f>
        <v>1.0262</v>
      </c>
      <c r="V15" s="2027">
        <f>ROUND(IF(项目基本情况!$B$8="出让",SUMPRODUCT(PRODUCT(1+O15:$O$18)),SUMPRODUCT(PRODUCT(1+O15:$O$17))),4)</f>
        <v>1.0205</v>
      </c>
      <c r="W15" s="2027">
        <f t="shared" si="24"/>
        <v>1.0072000000000001</v>
      </c>
      <c r="X15" s="2906"/>
      <c r="Y15" s="2028">
        <f>IF(D15=0,0,ROUND(AVERAGE(D15:D18)/100,4))</f>
        <v>8.5000000000000006E-3</v>
      </c>
      <c r="Z15" s="2028">
        <f t="shared" ref="Z15:AC15" si="30">IF(E15=0,0,ROUND(AVERAGE(E15:E18)/100,4))</f>
        <v>3.8E-3</v>
      </c>
      <c r="AA15" s="2028">
        <f t="shared" si="30"/>
        <v>1.1999999999999999E-3</v>
      </c>
      <c r="AB15" s="2028">
        <f t="shared" si="30"/>
        <v>9.2999999999999992E-3</v>
      </c>
      <c r="AC15" s="2028">
        <f t="shared" si="30"/>
        <v>6.0000000000000001E-3</v>
      </c>
      <c r="AD15" s="2028">
        <f t="shared" si="7"/>
        <v>1.1999999999999999E-3</v>
      </c>
    </row>
    <row r="16" spans="1:30" s="2045" customFormat="1" ht="12.75">
      <c r="A16" s="2905" t="s">
        <v>2823</v>
      </c>
      <c r="B16" s="2031">
        <v>2021</v>
      </c>
      <c r="C16" s="2042">
        <v>3</v>
      </c>
      <c r="D16" s="2007">
        <v>0.47</v>
      </c>
      <c r="E16" s="2007">
        <v>0.41</v>
      </c>
      <c r="F16" s="2007">
        <v>0.24</v>
      </c>
      <c r="G16" s="2007">
        <v>0.48</v>
      </c>
      <c r="H16" s="2917">
        <v>0.48</v>
      </c>
      <c r="I16" s="2008">
        <f t="shared" si="4"/>
        <v>0.24</v>
      </c>
      <c r="J16" s="2906"/>
      <c r="K16" s="2043">
        <f t="shared" si="5"/>
        <v>4.6999999999999993E-3</v>
      </c>
      <c r="L16" s="2028">
        <f t="shared" si="5"/>
        <v>4.0999999999999995E-3</v>
      </c>
      <c r="M16" s="2028">
        <f t="shared" si="5"/>
        <v>2.3999999999999998E-3</v>
      </c>
      <c r="N16" s="2028">
        <f t="shared" si="5"/>
        <v>4.7999999999999996E-3</v>
      </c>
      <c r="O16" s="2028">
        <f t="shared" si="5"/>
        <v>4.7999999999999996E-3</v>
      </c>
      <c r="P16" s="2028">
        <f t="shared" si="25"/>
        <v>2.3999999999999998E-3</v>
      </c>
      <c r="Q16" s="2906"/>
      <c r="R16" s="2027">
        <f>ROUND(IF(项目基本情况!$B$8="出让",SUMPRODUCT(PRODUCT(1+K16:$K$18)),SUMPRODUCT(PRODUCT(1+K16:$K$17))),4)</f>
        <v>1.0139</v>
      </c>
      <c r="S16" s="2027">
        <f>ROUND(IF(项目基本情况!$B$8="出让",SUMPRODUCT(PRODUCT(1+L16:$L$18)),SUMPRODUCT(PRODUCT(1+L16:$L$17))),4)</f>
        <v>1.0113000000000001</v>
      </c>
      <c r="T16" s="2027">
        <f>ROUND(IF(项目基本情况!$B$8="出让",SUMPRODUCT(PRODUCT(1+M16:$M$18)),SUMPRODUCT(PRODUCT(1+M16:$M$17))),4)</f>
        <v>1.0065</v>
      </c>
      <c r="U16" s="2027">
        <f>ROUND(IF(项目基本情况!$B$8="出让",SUMPRODUCT(PRODUCT(1+N16:$N$18)),SUMPRODUCT(PRODUCT(1+N16:$N$17))),4)</f>
        <v>1.0143</v>
      </c>
      <c r="V16" s="2027">
        <f>ROUND(IF(项目基本情况!$B$8="出让",SUMPRODUCT(PRODUCT(1+O16:$O$18)),SUMPRODUCT(PRODUCT(1+O16:$O$17))),4)</f>
        <v>1.0148999999999999</v>
      </c>
      <c r="W16" s="2027">
        <f t="shared" si="24"/>
        <v>1.0065</v>
      </c>
      <c r="X16" s="2906"/>
      <c r="Y16" s="2028">
        <f>IF(D16=0,0,ROUND(AVERAGE(D16:D18)/100,4))</f>
        <v>7.9000000000000008E-3</v>
      </c>
      <c r="Z16" s="2028">
        <f>IF(E16=0,0,ROUND(AVERAGE(E16:E18)/100,4))</f>
        <v>4.3E-3</v>
      </c>
      <c r="AA16" s="2028">
        <f>IF(F16=0,0,ROUND(AVERAGE(F16:F18)/100,4))</f>
        <v>1.2999999999999999E-3</v>
      </c>
      <c r="AB16" s="2028">
        <f>IF(G16=0,0,ROUND(AVERAGE(G16:G18)/100,4))</f>
        <v>8.5000000000000006E-3</v>
      </c>
      <c r="AC16" s="2028">
        <f>IF(H16=0,0,ROUND(AVERAGE(H16:H18)/100,4))</f>
        <v>6.1999999999999998E-3</v>
      </c>
      <c r="AD16" s="2028">
        <f t="shared" si="7"/>
        <v>1.2999999999999999E-3</v>
      </c>
    </row>
    <row r="17" spans="1:30" s="2045" customFormat="1" ht="12.75">
      <c r="A17" s="2905" t="s">
        <v>2824</v>
      </c>
      <c r="B17" s="2031">
        <v>2021</v>
      </c>
      <c r="C17" s="2042">
        <v>2</v>
      </c>
      <c r="D17" s="2007">
        <v>0.92</v>
      </c>
      <c r="E17" s="2007">
        <v>0.72</v>
      </c>
      <c r="F17" s="2007">
        <v>0.41</v>
      </c>
      <c r="G17" s="2007">
        <v>0.95</v>
      </c>
      <c r="H17" s="2917">
        <v>1.01</v>
      </c>
      <c r="I17" s="2008">
        <f t="shared" si="4"/>
        <v>0.41</v>
      </c>
      <c r="J17" s="2906"/>
      <c r="K17" s="2043">
        <f t="shared" si="5"/>
        <v>9.1999999999999998E-3</v>
      </c>
      <c r="L17" s="2028">
        <f t="shared" si="5"/>
        <v>7.1999999999999998E-3</v>
      </c>
      <c r="M17" s="2028">
        <f t="shared" si="5"/>
        <v>4.0999999999999995E-3</v>
      </c>
      <c r="N17" s="2028">
        <f t="shared" si="5"/>
        <v>9.4999999999999998E-3</v>
      </c>
      <c r="O17" s="2028">
        <f t="shared" si="5"/>
        <v>1.01E-2</v>
      </c>
      <c r="P17" s="2028">
        <f t="shared" si="25"/>
        <v>4.0999999999999995E-3</v>
      </c>
      <c r="Q17" s="2906"/>
      <c r="R17" s="2027">
        <f>ROUND(IF(项目基本情况!$B$8="出让",SUMPRODUCT(PRODUCT(1+K17:$K$18)),SUMPRODUCT(PRODUCT(1+K17:$K$17))),4)</f>
        <v>1.0092000000000001</v>
      </c>
      <c r="S17" s="2027">
        <f>ROUND(IF(项目基本情况!$B$8="出让",SUMPRODUCT(PRODUCT(1+L17:$L$18)),SUMPRODUCT(PRODUCT(1+L17:$L$17))),4)</f>
        <v>1.0072000000000001</v>
      </c>
      <c r="T17" s="2027">
        <f>ROUND(IF(项目基本情况!$B$8="出让",SUMPRODUCT(PRODUCT(1+M17:$M$18)),SUMPRODUCT(PRODUCT(1+M17:$M$17))),4)</f>
        <v>1.0041</v>
      </c>
      <c r="U17" s="2027">
        <f>ROUND(IF(项目基本情况!$B$8="出让",SUMPRODUCT(PRODUCT(1+N17:$N$18)),SUMPRODUCT(PRODUCT(1+N17:$N$17))),4)</f>
        <v>1.0095000000000001</v>
      </c>
      <c r="V17" s="2027">
        <f>ROUND(IF(项目基本情况!$B$8="出让",SUMPRODUCT(PRODUCT(1+O17:$O$18)),SUMPRODUCT(PRODUCT(1+O17:$O$17))),4)</f>
        <v>1.0101</v>
      </c>
      <c r="W17" s="2027">
        <f t="shared" si="24"/>
        <v>1.0041</v>
      </c>
      <c r="X17" s="2906"/>
      <c r="Y17" s="2028">
        <f>IF(D17=0,0,ROUND(AVERAGE(D17:D18)/100,4))</f>
        <v>9.4999999999999998E-3</v>
      </c>
      <c r="Z17" s="2028">
        <f>IF(E17=0,0,ROUND(AVERAGE(E17:E18)/100,4))</f>
        <v>4.4000000000000003E-3</v>
      </c>
      <c r="AA17" s="2028">
        <f>IF(F17=0,0,ROUND(AVERAGE(F17:F18)/100,4))</f>
        <v>8.0000000000000004E-4</v>
      </c>
      <c r="AB17" s="2028">
        <f>IF(G17=0,0,ROUND(AVERAGE(G17:G18)/100,4))</f>
        <v>1.03E-2</v>
      </c>
      <c r="AC17" s="2028">
        <f>IF(H17=0,0,ROUND(AVERAGE(H17:H18)/100,4))</f>
        <v>6.8999999999999999E-3</v>
      </c>
      <c r="AD17" s="2028">
        <f t="shared" si="7"/>
        <v>8.0000000000000004E-4</v>
      </c>
    </row>
    <row r="18" spans="1:30" s="2928" customFormat="1" thickBot="1">
      <c r="A18" s="2918" t="s">
        <v>2825</v>
      </c>
      <c r="B18" s="2919">
        <v>2021</v>
      </c>
      <c r="C18" s="2920">
        <v>1</v>
      </c>
      <c r="D18" s="2921">
        <v>0.97</v>
      </c>
      <c r="E18" s="2921">
        <v>0.16</v>
      </c>
      <c r="F18" s="2921">
        <v>-0.25</v>
      </c>
      <c r="G18" s="2921">
        <v>1.1100000000000001</v>
      </c>
      <c r="H18" s="2922">
        <v>0.36</v>
      </c>
      <c r="I18" s="2923">
        <f t="shared" si="4"/>
        <v>-0.25</v>
      </c>
      <c r="J18" s="2924"/>
      <c r="K18" s="2925">
        <f t="shared" si="5"/>
        <v>9.7000000000000003E-3</v>
      </c>
      <c r="L18" s="2926">
        <f t="shared" si="5"/>
        <v>1.6000000000000001E-3</v>
      </c>
      <c r="M18" s="2926">
        <f>F18/100</f>
        <v>-2.5000000000000001E-3</v>
      </c>
      <c r="N18" s="2926">
        <f t="shared" si="5"/>
        <v>1.11E-2</v>
      </c>
      <c r="O18" s="2926">
        <f t="shared" si="5"/>
        <v>3.5999999999999999E-3</v>
      </c>
      <c r="P18" s="2926">
        <f t="shared" si="25"/>
        <v>-2.5000000000000001E-3</v>
      </c>
      <c r="Q18" s="2924"/>
      <c r="R18" s="2927">
        <v>1</v>
      </c>
      <c r="S18" s="2927">
        <v>1</v>
      </c>
      <c r="T18" s="2927">
        <v>1</v>
      </c>
      <c r="U18" s="2927">
        <v>1</v>
      </c>
      <c r="V18" s="2927">
        <v>1</v>
      </c>
      <c r="W18" s="2927">
        <f t="shared" ref="W18" si="31">T18</f>
        <v>1</v>
      </c>
      <c r="X18" s="2924"/>
      <c r="Y18" s="2926">
        <f>IF(D18=0,0,ROUND(AVERAGE(D18:D18)/100,4))</f>
        <v>9.7000000000000003E-3</v>
      </c>
      <c r="Z18" s="2926">
        <f>IF(E18=0,0,ROUND(AVERAGE(E18:E18)/100,4))</f>
        <v>1.6000000000000001E-3</v>
      </c>
      <c r="AA18" s="2926">
        <f>IF(F18=0,0,ROUND(AVERAGE(F18:F18)/100,4))</f>
        <v>-2.5000000000000001E-3</v>
      </c>
      <c r="AB18" s="2926">
        <f>IF(G18=0,0,ROUND(AVERAGE(G18:G18)/100,4))</f>
        <v>1.11E-2</v>
      </c>
      <c r="AC18" s="2926">
        <f>IF(H18=0,0,ROUND(AVERAGE(H18:H18)/100,4))</f>
        <v>3.5999999999999999E-3</v>
      </c>
      <c r="AD18" s="2926">
        <f>AA18</f>
        <v>-2.5000000000000001E-3</v>
      </c>
    </row>
    <row r="19" spans="1:30" ht="14.25" thickTop="1"/>
    <row r="20" spans="1:30">
      <c r="A20" s="3143" t="s">
        <v>3367</v>
      </c>
    </row>
    <row r="21" spans="1:30">
      <c r="I21" s="1405" t="s">
        <v>2826</v>
      </c>
    </row>
    <row r="23" spans="1:30" s="2009" customFormat="1" ht="12.75">
      <c r="B23" s="2929" t="s">
        <v>3374</v>
      </c>
      <c r="C23" s="2930"/>
      <c r="D23" s="2930"/>
      <c r="E23" s="2930"/>
      <c r="F23" s="2930"/>
      <c r="G23" s="2930"/>
      <c r="H23" s="2930"/>
      <c r="I23" s="2930"/>
      <c r="J23" s="2896"/>
      <c r="K23" s="2930" t="s">
        <v>2827</v>
      </c>
      <c r="L23" s="2930"/>
      <c r="M23" s="2930"/>
      <c r="N23" s="2930"/>
      <c r="O23" s="2930"/>
      <c r="P23" s="2930"/>
      <c r="Q23" s="2896"/>
      <c r="R23" s="3625" t="s">
        <v>2828</v>
      </c>
      <c r="S23" s="3626"/>
      <c r="T23" s="3626"/>
      <c r="U23" s="3626"/>
      <c r="V23" s="3626"/>
      <c r="W23" s="3626"/>
      <c r="X23" s="2896"/>
      <c r="Y23" s="3625" t="s">
        <v>2829</v>
      </c>
      <c r="Z23" s="3626"/>
      <c r="AA23" s="3626"/>
      <c r="AB23" s="3626"/>
      <c r="AC23" s="3626"/>
      <c r="AD23" s="3626"/>
    </row>
    <row r="24" spans="1:30" s="2010" customFormat="1" ht="14.25" thickBot="1">
      <c r="B24" s="2881"/>
      <c r="C24" s="2882"/>
      <c r="D24" s="2011" t="s">
        <v>2830</v>
      </c>
      <c r="E24" s="2012" t="s">
        <v>2831</v>
      </c>
      <c r="F24" s="2012" t="s">
        <v>2832</v>
      </c>
      <c r="G24" s="2012" t="s">
        <v>2833</v>
      </c>
      <c r="H24" s="2012"/>
      <c r="I24" s="2012" t="s">
        <v>2834</v>
      </c>
      <c r="J24" s="2883"/>
      <c r="K24" s="2011" t="s">
        <v>2830</v>
      </c>
      <c r="L24" s="2012" t="s">
        <v>2831</v>
      </c>
      <c r="M24" s="2012" t="s">
        <v>2832</v>
      </c>
      <c r="N24" s="2012" t="s">
        <v>2833</v>
      </c>
      <c r="O24" s="2012"/>
      <c r="P24" s="2012" t="s">
        <v>2834</v>
      </c>
      <c r="Q24" s="2883"/>
      <c r="R24" s="2011" t="s">
        <v>2830</v>
      </c>
      <c r="S24" s="2012" t="s">
        <v>2831</v>
      </c>
      <c r="T24" s="2012" t="s">
        <v>2832</v>
      </c>
      <c r="U24" s="2012" t="s">
        <v>2833</v>
      </c>
      <c r="V24" s="2012"/>
      <c r="W24" s="2012" t="s">
        <v>2834</v>
      </c>
      <c r="X24" s="2883"/>
      <c r="Y24" s="2011" t="s">
        <v>2830</v>
      </c>
      <c r="Z24" s="2012" t="s">
        <v>2831</v>
      </c>
      <c r="AA24" s="2012" t="s">
        <v>2832</v>
      </c>
      <c r="AB24" s="2012" t="s">
        <v>2833</v>
      </c>
      <c r="AC24" s="2012"/>
      <c r="AD24" s="2012" t="s">
        <v>2834</v>
      </c>
    </row>
    <row r="25" spans="1:30" s="2886" customFormat="1" ht="12.75">
      <c r="A25" s="2884" t="s">
        <v>2835</v>
      </c>
      <c r="B25" s="2885"/>
      <c r="E25" s="2886">
        <f t="shared" ref="E25:G25" si="32">ROUND(AVERAGEIF(E26:E40,"&lt;&gt;0"),2)</f>
        <v>0.42</v>
      </c>
      <c r="F25" s="2886">
        <f t="shared" si="32"/>
        <v>0.3</v>
      </c>
      <c r="G25" s="2886">
        <f t="shared" si="32"/>
        <v>0.73</v>
      </c>
      <c r="I25" s="2886">
        <f>F25</f>
        <v>0.3</v>
      </c>
      <c r="J25" s="2887"/>
      <c r="K25" s="2888"/>
      <c r="L25" s="2889">
        <f t="shared" ref="L25:N25" si="33">ROUND(AVERAGEIF(L26:L40,"&lt;&gt;0"),4)</f>
        <v>4.1999999999999997E-3</v>
      </c>
      <c r="M25" s="2889">
        <f t="shared" si="33"/>
        <v>3.0000000000000001E-3</v>
      </c>
      <c r="N25" s="2889">
        <f t="shared" si="33"/>
        <v>7.3000000000000001E-3</v>
      </c>
      <c r="O25" s="2889"/>
      <c r="P25" s="2889">
        <f>M25</f>
        <v>3.0000000000000001E-3</v>
      </c>
      <c r="Q25" s="2887"/>
      <c r="R25" s="2890"/>
      <c r="S25" s="2891">
        <f>ROUND(SUMPRODUCT(PRODUCT(1+L26:L40)),4)</f>
        <v>1.0468</v>
      </c>
      <c r="T25" s="2891">
        <f t="shared" ref="T25:U25" si="34">ROUND(SUMPRODUCT(PRODUCT(1+M26:M40)),4)</f>
        <v>1.0337000000000001</v>
      </c>
      <c r="U25" s="2891">
        <f t="shared" si="34"/>
        <v>1.0828</v>
      </c>
      <c r="V25" s="2891"/>
      <c r="W25" s="2890">
        <f>T25</f>
        <v>1.0337000000000001</v>
      </c>
      <c r="X25" s="2887"/>
      <c r="Y25" s="2892"/>
      <c r="Z25" s="2893">
        <f t="shared" ref="Z25:AB25" si="35">ROUND(AVERAGEIF(Z26:Z40,"&lt;&gt;0"),4)</f>
        <v>4.3E-3</v>
      </c>
      <c r="AA25" s="2894">
        <f t="shared" si="35"/>
        <v>3.5999999999999999E-3</v>
      </c>
      <c r="AB25" s="2892">
        <f t="shared" si="35"/>
        <v>8.8999999999999999E-3</v>
      </c>
      <c r="AC25" s="2895"/>
      <c r="AD25" s="2892">
        <f>AA25</f>
        <v>3.5999999999999999E-3</v>
      </c>
    </row>
    <row r="26" spans="1:30" s="2009" customFormat="1" ht="12.75">
      <c r="B26" s="2025"/>
      <c r="J26" s="2896"/>
      <c r="K26" s="2897"/>
      <c r="L26" s="2898"/>
      <c r="M26" s="2898"/>
      <c r="N26" s="2898"/>
      <c r="O26" s="2898"/>
      <c r="P26" s="2898"/>
      <c r="Q26" s="2896"/>
      <c r="R26" s="2027"/>
      <c r="S26" s="2899"/>
      <c r="T26" s="2900"/>
      <c r="U26" s="2027"/>
      <c r="V26" s="2901"/>
      <c r="W26" s="2027"/>
      <c r="X26" s="2896"/>
      <c r="Y26" s="2028"/>
      <c r="Z26" s="2902"/>
      <c r="AA26" s="2903"/>
      <c r="AB26" s="2028"/>
      <c r="AC26" s="2904"/>
      <c r="AD26" s="2028"/>
    </row>
    <row r="27" spans="1:30" s="2045" customFormat="1" ht="12.75">
      <c r="A27" s="2040" t="s">
        <v>3377</v>
      </c>
      <c r="B27" s="2031">
        <v>2023</v>
      </c>
      <c r="C27" s="2042">
        <v>4</v>
      </c>
      <c r="D27" s="2007"/>
      <c r="E27" s="2007">
        <v>0</v>
      </c>
      <c r="F27" s="2007">
        <v>0</v>
      </c>
      <c r="G27" s="2007">
        <v>0</v>
      </c>
      <c r="H27" s="2007"/>
      <c r="I27" s="2008">
        <f t="shared" ref="I27:I40" si="36">F27</f>
        <v>0</v>
      </c>
      <c r="J27" s="2906"/>
      <c r="K27" s="2043"/>
      <c r="L27" s="2028">
        <f t="shared" ref="L27:N40" si="37">E27/100</f>
        <v>0</v>
      </c>
      <c r="M27" s="2028">
        <f t="shared" si="37"/>
        <v>0</v>
      </c>
      <c r="N27" s="2028">
        <f t="shared" si="37"/>
        <v>0</v>
      </c>
      <c r="O27" s="2028"/>
      <c r="P27" s="2028">
        <f>M27</f>
        <v>0</v>
      </c>
      <c r="Q27" s="2906"/>
      <c r="R27" s="2027"/>
      <c r="S27" s="2027">
        <f>ROUND(IF(项目基本情况!$B$8="出让",SUMPRODUCT(PRODUCT(1+L27:L$40)),SUMPRODUCT(PRODUCT(1+L27:L$39))),4)</f>
        <v>1.0431999999999999</v>
      </c>
      <c r="T27" s="2027">
        <f>ROUND(IF(项目基本情况!$B$8="出让",SUMPRODUCT(PRODUCT(1+M27:M$40)),SUMPRODUCT(PRODUCT(1+M27:M$39))),4)</f>
        <v>1.0286999999999999</v>
      </c>
      <c r="U27" s="2027">
        <f>ROUND(IF(项目基本情况!$B$8="出让",SUMPRODUCT(PRODUCT(1+N27:N$40)),SUMPRODUCT(PRODUCT(1+N27:N$39))),4)</f>
        <v>1.0723</v>
      </c>
      <c r="V27" s="2027"/>
      <c r="W27" s="2027">
        <f>T27</f>
        <v>1.0286999999999999</v>
      </c>
      <c r="X27" s="2906"/>
      <c r="Y27" s="2028"/>
      <c r="Z27" s="2902">
        <f>IF(E27=0,0,ROUND(AVERAGE(E27:E40)/100,4))</f>
        <v>0</v>
      </c>
      <c r="AA27" s="2902">
        <f>IF(F27=0,0,ROUND(AVERAGE(F27:F40)/100,4))</f>
        <v>0</v>
      </c>
      <c r="AB27" s="2902">
        <f>IF(G27=0,0,ROUND(AVERAGE(G27:G40)/100,4))</f>
        <v>0</v>
      </c>
      <c r="AC27" s="2904"/>
      <c r="AD27" s="2028">
        <f>IF(I27=0,0,ROUND(AVERAGE(I27:I40)/100,4))</f>
        <v>0</v>
      </c>
    </row>
    <row r="28" spans="1:30" s="2045" customFormat="1" ht="12.75">
      <c r="A28" s="2040" t="s">
        <v>3378</v>
      </c>
      <c r="B28" s="2031">
        <v>2023</v>
      </c>
      <c r="C28" s="2042">
        <v>3</v>
      </c>
      <c r="D28" s="2007"/>
      <c r="E28" s="2007">
        <v>0</v>
      </c>
      <c r="F28" s="2007">
        <v>0</v>
      </c>
      <c r="G28" s="2007">
        <v>0</v>
      </c>
      <c r="H28" s="2007"/>
      <c r="I28" s="2008">
        <f t="shared" ref="I28:I29" si="38">F28</f>
        <v>0</v>
      </c>
      <c r="J28" s="2906"/>
      <c r="K28" s="2043"/>
      <c r="L28" s="2028">
        <f t="shared" ref="L28" si="39">E28/100</f>
        <v>0</v>
      </c>
      <c r="M28" s="2028">
        <f t="shared" ref="M28" si="40">F28/100</f>
        <v>0</v>
      </c>
      <c r="N28" s="2028">
        <f t="shared" ref="N28" si="41">G28/100</f>
        <v>0</v>
      </c>
      <c r="O28" s="2028"/>
      <c r="P28" s="2028">
        <f t="shared" ref="P28" si="42">M28</f>
        <v>0</v>
      </c>
      <c r="Q28" s="2906"/>
      <c r="R28" s="2027"/>
      <c r="S28" s="2027">
        <f>ROUND(IF(项目基本情况!$B$8="出让",SUMPRODUCT(PRODUCT(1+L28:L$40)),SUMPRODUCT(PRODUCT(1+L28:L$39))),4)</f>
        <v>1.0431999999999999</v>
      </c>
      <c r="T28" s="2027">
        <f>ROUND(IF(项目基本情况!$B$8="出让",SUMPRODUCT(PRODUCT(1+M28:M$40)),SUMPRODUCT(PRODUCT(1+M28:M$39))),4)</f>
        <v>1.0286999999999999</v>
      </c>
      <c r="U28" s="2027">
        <f>ROUND(IF(项目基本情况!$B$8="出让",SUMPRODUCT(PRODUCT(1+N28:N$40)),SUMPRODUCT(PRODUCT(1+N28:N$39))),4)</f>
        <v>1.0723</v>
      </c>
      <c r="V28" s="2027"/>
      <c r="W28" s="2027">
        <f t="shared" ref="W28" si="43">T28</f>
        <v>1.0286999999999999</v>
      </c>
      <c r="X28" s="2906"/>
      <c r="Y28" s="2028"/>
      <c r="Z28" s="2902"/>
      <c r="AA28" s="2903"/>
      <c r="AB28" s="2028"/>
      <c r="AC28" s="2904"/>
      <c r="AD28" s="2028"/>
    </row>
    <row r="29" spans="1:30" s="2045" customFormat="1" ht="12.75">
      <c r="A29" s="2040" t="s">
        <v>3379</v>
      </c>
      <c r="B29" s="2031">
        <v>2023</v>
      </c>
      <c r="C29" s="2042">
        <v>3</v>
      </c>
      <c r="D29" s="2007"/>
      <c r="E29" s="2007">
        <v>0</v>
      </c>
      <c r="F29" s="2007">
        <v>0</v>
      </c>
      <c r="G29" s="2007">
        <v>0</v>
      </c>
      <c r="H29" s="2007"/>
      <c r="I29" s="2008">
        <f t="shared" si="38"/>
        <v>0</v>
      </c>
      <c r="J29" s="2906"/>
      <c r="K29" s="2043"/>
      <c r="L29" s="2028">
        <f t="shared" si="37"/>
        <v>0</v>
      </c>
      <c r="M29" s="2028">
        <f t="shared" si="37"/>
        <v>0</v>
      </c>
      <c r="N29" s="2028">
        <f t="shared" si="37"/>
        <v>0</v>
      </c>
      <c r="O29" s="2028"/>
      <c r="P29" s="2028">
        <f t="shared" ref="P29" si="44">M29</f>
        <v>0</v>
      </c>
      <c r="Q29" s="2906"/>
      <c r="R29" s="2027"/>
      <c r="S29" s="2027">
        <f>ROUND(IF(项目基本情况!$B$8="出让",SUMPRODUCT(PRODUCT(1+L29:L$40)),SUMPRODUCT(PRODUCT(1+L29:L$39))),4)</f>
        <v>1.0431999999999999</v>
      </c>
      <c r="T29" s="2027">
        <f>ROUND(IF(项目基本情况!$B$8="出让",SUMPRODUCT(PRODUCT(1+M29:M$40)),SUMPRODUCT(PRODUCT(1+M29:M$39))),4)</f>
        <v>1.0286999999999999</v>
      </c>
      <c r="U29" s="2027">
        <f>ROUND(IF(项目基本情况!$B$8="出让",SUMPRODUCT(PRODUCT(1+N29:N$40)),SUMPRODUCT(PRODUCT(1+N29:N$39))),4)</f>
        <v>1.0723</v>
      </c>
      <c r="V29" s="2027"/>
      <c r="W29" s="2027">
        <f t="shared" ref="W29" si="45">T29</f>
        <v>1.0286999999999999</v>
      </c>
      <c r="X29" s="2906"/>
      <c r="Y29" s="2028"/>
      <c r="Z29" s="2902"/>
      <c r="AA29" s="2903"/>
      <c r="AB29" s="2028"/>
      <c r="AC29" s="2904"/>
      <c r="AD29" s="2028"/>
    </row>
    <row r="30" spans="1:30" s="2916" customFormat="1" ht="12.75">
      <c r="A30" s="2907" t="s">
        <v>3375</v>
      </c>
      <c r="B30" s="2908">
        <v>2023</v>
      </c>
      <c r="C30" s="2909">
        <v>3</v>
      </c>
      <c r="D30" s="2910"/>
      <c r="E30" s="2910">
        <v>0.35</v>
      </c>
      <c r="F30" s="2910">
        <v>0.17</v>
      </c>
      <c r="G30" s="2910">
        <v>0.52</v>
      </c>
      <c r="H30" s="2911"/>
      <c r="I30" s="2912">
        <f t="shared" si="36"/>
        <v>0.17</v>
      </c>
      <c r="J30" s="2913"/>
      <c r="K30" s="2914"/>
      <c r="L30" s="2915">
        <f t="shared" ref="L30:L32" si="46">E30/100</f>
        <v>3.4999999999999996E-3</v>
      </c>
      <c r="M30" s="2915">
        <f t="shared" ref="M30:M32" si="47">F30/100</f>
        <v>1.7000000000000001E-3</v>
      </c>
      <c r="N30" s="2915">
        <f t="shared" ref="N30:N32" si="48">G30/100</f>
        <v>5.1999999999999998E-3</v>
      </c>
      <c r="O30" s="2915"/>
      <c r="P30" s="2915">
        <f t="shared" ref="P30:P32" si="49">M30</f>
        <v>1.7000000000000001E-3</v>
      </c>
      <c r="Q30" s="2913"/>
      <c r="R30" s="2913"/>
      <c r="S30" s="2913">
        <f>ROUND(IF(项目基本情况!$B$8="出让",SUMPRODUCT(PRODUCT(1+L30:L$40)),SUMPRODUCT(PRODUCT(1+L30:L$39))),4)</f>
        <v>1.0431999999999999</v>
      </c>
      <c r="T30" s="2913">
        <f>ROUND(IF(项目基本情况!$B$8="出让",SUMPRODUCT(PRODUCT(1+M30:M$40)),SUMPRODUCT(PRODUCT(1+M30:M$39))),4)</f>
        <v>1.0286999999999999</v>
      </c>
      <c r="U30" s="2913">
        <f>ROUND(IF(项目基本情况!$B$8="出让",SUMPRODUCT(PRODUCT(1+N30:N$40)),SUMPRODUCT(PRODUCT(1+N30:N$39))),4)</f>
        <v>1.0723</v>
      </c>
      <c r="V30" s="2913"/>
      <c r="W30" s="2913">
        <f t="shared" ref="W30:W32" si="50">T30</f>
        <v>1.0286999999999999</v>
      </c>
      <c r="X30" s="2913"/>
      <c r="Y30" s="2915"/>
      <c r="Z30" s="2931"/>
      <c r="AA30" s="2932"/>
      <c r="AB30" s="2915"/>
      <c r="AC30" s="2933"/>
      <c r="AD30" s="2915"/>
    </row>
    <row r="31" spans="1:30" s="2045" customFormat="1" ht="12.75">
      <c r="A31" s="2905" t="s">
        <v>3376</v>
      </c>
      <c r="B31" s="2031">
        <v>2023</v>
      </c>
      <c r="C31" s="2042">
        <v>2</v>
      </c>
      <c r="D31" s="2007"/>
      <c r="E31" s="2007">
        <v>0.5</v>
      </c>
      <c r="F31" s="2007">
        <v>0.45</v>
      </c>
      <c r="G31" s="2007">
        <v>0.89</v>
      </c>
      <c r="H31" s="2917"/>
      <c r="I31" s="2008">
        <f t="shared" si="36"/>
        <v>0.45</v>
      </c>
      <c r="J31" s="2906"/>
      <c r="K31" s="2043"/>
      <c r="L31" s="2028">
        <f t="shared" si="46"/>
        <v>5.0000000000000001E-3</v>
      </c>
      <c r="M31" s="2028">
        <f t="shared" si="47"/>
        <v>4.5000000000000005E-3</v>
      </c>
      <c r="N31" s="2028">
        <f t="shared" si="48"/>
        <v>8.8999999999999999E-3</v>
      </c>
      <c r="O31" s="2028"/>
      <c r="P31" s="2028">
        <f t="shared" si="49"/>
        <v>4.5000000000000005E-3</v>
      </c>
      <c r="Q31" s="2906"/>
      <c r="R31" s="2027"/>
      <c r="S31" s="2027">
        <f>ROUND(IF(项目基本情况!$B$8="出让",SUMPRODUCT(PRODUCT(1+L31:L$40)),SUMPRODUCT(PRODUCT(1+L31:L$39))),4)</f>
        <v>1.0396000000000001</v>
      </c>
      <c r="T31" s="2027">
        <f>ROUND(IF(项目基本情况!$B$8="出让",SUMPRODUCT(PRODUCT(1+M31:M$40)),SUMPRODUCT(PRODUCT(1+M31:M$39))),4)</f>
        <v>1.0269999999999999</v>
      </c>
      <c r="U31" s="2027">
        <f>ROUND(IF(项目基本情况!$B$8="出让",SUMPRODUCT(PRODUCT(1+N31:N$40)),SUMPRODUCT(PRODUCT(1+N31:N$39))),4)</f>
        <v>1.0668</v>
      </c>
      <c r="V31" s="2027"/>
      <c r="W31" s="2027">
        <f t="shared" si="50"/>
        <v>1.0269999999999999</v>
      </c>
      <c r="X31" s="2906"/>
      <c r="Y31" s="2028"/>
      <c r="Z31" s="2902"/>
      <c r="AA31" s="2903"/>
      <c r="AB31" s="2028"/>
      <c r="AC31" s="2904"/>
      <c r="AD31" s="2028"/>
    </row>
    <row r="32" spans="1:30" s="2045" customFormat="1" ht="12.75">
      <c r="A32" s="2905" t="s">
        <v>3370</v>
      </c>
      <c r="B32" s="2031">
        <v>2023</v>
      </c>
      <c r="C32" s="2042">
        <v>1</v>
      </c>
      <c r="D32" s="2007"/>
      <c r="E32" s="2007">
        <v>0.55000000000000004</v>
      </c>
      <c r="F32" s="2007">
        <v>0.59</v>
      </c>
      <c r="G32" s="2007">
        <v>0.64</v>
      </c>
      <c r="H32" s="2917"/>
      <c r="I32" s="2008">
        <f t="shared" si="36"/>
        <v>0.59</v>
      </c>
      <c r="J32" s="2906"/>
      <c r="K32" s="2043"/>
      <c r="L32" s="2028">
        <f t="shared" si="46"/>
        <v>5.5000000000000005E-3</v>
      </c>
      <c r="M32" s="2028">
        <f t="shared" si="47"/>
        <v>5.8999999999999999E-3</v>
      </c>
      <c r="N32" s="2028">
        <f t="shared" si="48"/>
        <v>6.4000000000000003E-3</v>
      </c>
      <c r="O32" s="2028"/>
      <c r="P32" s="2028">
        <f t="shared" si="49"/>
        <v>5.8999999999999999E-3</v>
      </c>
      <c r="Q32" s="2906"/>
      <c r="R32" s="2027"/>
      <c r="S32" s="2027">
        <f>ROUND(IF(项目基本情况!$B$8="出让",SUMPRODUCT(PRODUCT(1+L32:L$40)),SUMPRODUCT(PRODUCT(1+L32:L$39))),4)</f>
        <v>1.0344</v>
      </c>
      <c r="T32" s="2027">
        <f>ROUND(IF(项目基本情况!$B$8="出让",SUMPRODUCT(PRODUCT(1+M32:M$40)),SUMPRODUCT(PRODUCT(1+M32:M$39))),4)</f>
        <v>1.0224</v>
      </c>
      <c r="U32" s="2027">
        <f>ROUND(IF(项目基本情况!$B$8="出让",SUMPRODUCT(PRODUCT(1+N32:N$40)),SUMPRODUCT(PRODUCT(1+N32:N$39))),4)</f>
        <v>1.0573999999999999</v>
      </c>
      <c r="V32" s="2027"/>
      <c r="W32" s="2027">
        <f t="shared" si="50"/>
        <v>1.0224</v>
      </c>
      <c r="X32" s="2906"/>
      <c r="Y32" s="2028"/>
      <c r="Z32" s="2902"/>
      <c r="AA32" s="2903"/>
      <c r="AB32" s="2028"/>
      <c r="AC32" s="2904"/>
      <c r="AD32" s="2028"/>
    </row>
    <row r="33" spans="1:30" s="2045" customFormat="1" ht="12.75">
      <c r="A33" s="2905" t="s">
        <v>3369</v>
      </c>
      <c r="B33" s="2031">
        <v>2022</v>
      </c>
      <c r="C33" s="2042">
        <v>4</v>
      </c>
      <c r="D33" s="2007"/>
      <c r="E33" s="2007">
        <v>0.45</v>
      </c>
      <c r="F33" s="2007">
        <v>0.2</v>
      </c>
      <c r="G33" s="2007">
        <v>0.38</v>
      </c>
      <c r="H33" s="2917"/>
      <c r="I33" s="2008">
        <f t="shared" si="36"/>
        <v>0.2</v>
      </c>
      <c r="J33" s="2906"/>
      <c r="K33" s="2043"/>
      <c r="L33" s="2028">
        <f t="shared" si="37"/>
        <v>4.5000000000000005E-3</v>
      </c>
      <c r="M33" s="2028">
        <f t="shared" si="37"/>
        <v>2E-3</v>
      </c>
      <c r="N33" s="2028">
        <f t="shared" si="37"/>
        <v>3.8E-3</v>
      </c>
      <c r="O33" s="2028"/>
      <c r="P33" s="2028">
        <f t="shared" ref="P33:P40" si="51">M33</f>
        <v>2E-3</v>
      </c>
      <c r="Q33" s="2906"/>
      <c r="R33" s="2027"/>
      <c r="S33" s="2027">
        <f>ROUND(IF(项目基本情况!$B$8="出让",SUMPRODUCT(PRODUCT(1+L33:L$40)),SUMPRODUCT(PRODUCT(1+L33:L$39))),4)</f>
        <v>1.0286999999999999</v>
      </c>
      <c r="T33" s="2027">
        <f>ROUND(IF(项目基本情况!$B$8="出让",SUMPRODUCT(PRODUCT(1+M33:M$40)),SUMPRODUCT(PRODUCT(1+M33:M$39))),4)</f>
        <v>1.0164</v>
      </c>
      <c r="U33" s="2027">
        <f>ROUND(IF(项目基本情况!$B$8="出让",SUMPRODUCT(PRODUCT(1+N33:N$40)),SUMPRODUCT(PRODUCT(1+N33:N$39))),4)</f>
        <v>1.0506</v>
      </c>
      <c r="V33" s="2027"/>
      <c r="W33" s="2027">
        <f t="shared" ref="W33:W40" si="52">T33</f>
        <v>1.0164</v>
      </c>
      <c r="X33" s="2906"/>
      <c r="Y33" s="2028"/>
      <c r="Z33" s="2902">
        <f t="shared" ref="Z33:AD40" si="53">IF(E33=0,0,ROUND(AVERAGE(E33:E41)/100,4))</f>
        <v>4.0000000000000001E-3</v>
      </c>
      <c r="AA33" s="2903">
        <f t="shared" si="53"/>
        <v>2.5999999999999999E-3</v>
      </c>
      <c r="AB33" s="2028">
        <f t="shared" si="53"/>
        <v>7.4000000000000003E-3</v>
      </c>
      <c r="AC33" s="2904"/>
      <c r="AD33" s="2028">
        <f t="shared" si="53"/>
        <v>2.5999999999999999E-3</v>
      </c>
    </row>
    <row r="34" spans="1:30" s="2045" customFormat="1" ht="12.75">
      <c r="A34" s="2905" t="s">
        <v>3366</v>
      </c>
      <c r="B34" s="2031">
        <v>2022</v>
      </c>
      <c r="C34" s="2042">
        <v>3</v>
      </c>
      <c r="D34" s="2007"/>
      <c r="E34" s="2007">
        <v>0.3</v>
      </c>
      <c r="F34" s="2007">
        <v>0.28999999999999998</v>
      </c>
      <c r="G34" s="2007">
        <v>0.83</v>
      </c>
      <c r="H34" s="2917"/>
      <c r="I34" s="2008">
        <f t="shared" si="36"/>
        <v>0.28999999999999998</v>
      </c>
      <c r="J34" s="2906"/>
      <c r="K34" s="2043"/>
      <c r="L34" s="2028">
        <f t="shared" si="37"/>
        <v>3.0000000000000001E-3</v>
      </c>
      <c r="M34" s="2028">
        <f t="shared" si="37"/>
        <v>2.8999999999999998E-3</v>
      </c>
      <c r="N34" s="2028">
        <f t="shared" si="37"/>
        <v>8.3000000000000001E-3</v>
      </c>
      <c r="O34" s="2028"/>
      <c r="P34" s="2028">
        <f t="shared" si="51"/>
        <v>2.8999999999999998E-3</v>
      </c>
      <c r="Q34" s="2906"/>
      <c r="R34" s="2027"/>
      <c r="S34" s="2027">
        <f>ROUND(IF(项目基本情况!$B$8="出让",SUMPRODUCT(PRODUCT(1+L34:L$40)),SUMPRODUCT(PRODUCT(1+L34:L$39))),4)</f>
        <v>1.0241</v>
      </c>
      <c r="T34" s="2027">
        <f>ROUND(IF(项目基本情况!$B$8="出让",SUMPRODUCT(PRODUCT(1+M34:M$40)),SUMPRODUCT(PRODUCT(1+M34:M$39))),4)</f>
        <v>1.0144</v>
      </c>
      <c r="U34" s="2027">
        <f>ROUND(IF(项目基本情况!$B$8="出让",SUMPRODUCT(PRODUCT(1+N34:N$40)),SUMPRODUCT(PRODUCT(1+N34:N$39))),4)</f>
        <v>1.0467</v>
      </c>
      <c r="V34" s="2027"/>
      <c r="W34" s="2027">
        <f t="shared" si="52"/>
        <v>1.0144</v>
      </c>
      <c r="X34" s="2906"/>
      <c r="Y34" s="2028"/>
      <c r="Z34" s="2902">
        <f t="shared" si="53"/>
        <v>3.8999999999999998E-3</v>
      </c>
      <c r="AA34" s="2903">
        <f t="shared" si="53"/>
        <v>2.7000000000000001E-3</v>
      </c>
      <c r="AB34" s="2028">
        <f t="shared" si="53"/>
        <v>7.9000000000000008E-3</v>
      </c>
      <c r="AC34" s="2904"/>
      <c r="AD34" s="2028">
        <f t="shared" si="53"/>
        <v>2.7000000000000001E-3</v>
      </c>
    </row>
    <row r="35" spans="1:30" s="2045" customFormat="1" ht="12.75">
      <c r="A35" s="2905" t="s">
        <v>3356</v>
      </c>
      <c r="B35" s="2031">
        <v>2022</v>
      </c>
      <c r="C35" s="2042">
        <v>2</v>
      </c>
      <c r="D35" s="2007"/>
      <c r="E35" s="2007">
        <v>-0.11</v>
      </c>
      <c r="F35" s="2007">
        <v>-0.13</v>
      </c>
      <c r="G35" s="2007">
        <v>0.53</v>
      </c>
      <c r="H35" s="2917"/>
      <c r="I35" s="2008">
        <f t="shared" si="36"/>
        <v>-0.13</v>
      </c>
      <c r="J35" s="2906"/>
      <c r="K35" s="2043"/>
      <c r="L35" s="2028">
        <f t="shared" si="37"/>
        <v>-1.1000000000000001E-3</v>
      </c>
      <c r="M35" s="2028">
        <f t="shared" si="37"/>
        <v>-1.2999999999999999E-3</v>
      </c>
      <c r="N35" s="2028">
        <f t="shared" si="37"/>
        <v>5.3E-3</v>
      </c>
      <c r="O35" s="2028"/>
      <c r="P35" s="2028">
        <f t="shared" si="51"/>
        <v>-1.2999999999999999E-3</v>
      </c>
      <c r="Q35" s="2906"/>
      <c r="R35" s="2027"/>
      <c r="S35" s="2027">
        <f>ROUND(IF(项目基本情况!$B$8="出让",SUMPRODUCT(PRODUCT(1+L35:L$40)),SUMPRODUCT(PRODUCT(1+L35:L$39))),4)</f>
        <v>1.0210999999999999</v>
      </c>
      <c r="T35" s="2027">
        <f>ROUND(IF(项目基本情况!$B$8="出让",SUMPRODUCT(PRODUCT(1+M35:M$40)),SUMPRODUCT(PRODUCT(1+M35:M$39))),4)</f>
        <v>1.0114000000000001</v>
      </c>
      <c r="U35" s="2027">
        <f>ROUND(IF(项目基本情况!$B$8="出让",SUMPRODUCT(PRODUCT(1+N35:N$40)),SUMPRODUCT(PRODUCT(1+N35:N$39))),4)</f>
        <v>1.0381</v>
      </c>
      <c r="V35" s="2027"/>
      <c r="W35" s="2027">
        <f t="shared" si="52"/>
        <v>1.0114000000000001</v>
      </c>
      <c r="X35" s="2906"/>
      <c r="Y35" s="2028"/>
      <c r="Z35" s="2902">
        <f t="shared" si="53"/>
        <v>4.1000000000000003E-3</v>
      </c>
      <c r="AA35" s="2903">
        <f t="shared" si="53"/>
        <v>2.7000000000000001E-3</v>
      </c>
      <c r="AB35" s="2028">
        <f t="shared" si="53"/>
        <v>7.9000000000000008E-3</v>
      </c>
      <c r="AC35" s="2904"/>
      <c r="AD35" s="2028">
        <f t="shared" si="53"/>
        <v>2.7000000000000001E-3</v>
      </c>
    </row>
    <row r="36" spans="1:30" s="2045" customFormat="1" ht="12.75">
      <c r="A36" s="2905" t="s">
        <v>2836</v>
      </c>
      <c r="B36" s="2031">
        <v>2022</v>
      </c>
      <c r="C36" s="2042">
        <v>1</v>
      </c>
      <c r="D36" s="2007"/>
      <c r="E36" s="2007">
        <v>0.6</v>
      </c>
      <c r="F36" s="2007">
        <v>0.45</v>
      </c>
      <c r="G36" s="2007">
        <v>0.53</v>
      </c>
      <c r="H36" s="2917"/>
      <c r="I36" s="2008">
        <f t="shared" si="36"/>
        <v>0.45</v>
      </c>
      <c r="J36" s="2906"/>
      <c r="K36" s="2043"/>
      <c r="L36" s="2028">
        <f t="shared" si="37"/>
        <v>6.0000000000000001E-3</v>
      </c>
      <c r="M36" s="2028">
        <f t="shared" si="37"/>
        <v>4.5000000000000005E-3</v>
      </c>
      <c r="N36" s="2028">
        <f t="shared" si="37"/>
        <v>5.3E-3</v>
      </c>
      <c r="O36" s="2028"/>
      <c r="P36" s="2028">
        <f t="shared" si="51"/>
        <v>4.5000000000000005E-3</v>
      </c>
      <c r="Q36" s="2906"/>
      <c r="R36" s="2027"/>
      <c r="S36" s="2027">
        <f>ROUND(IF(项目基本情况!$B$8="出让",SUMPRODUCT(PRODUCT(1+L36:L$40)),SUMPRODUCT(PRODUCT(1+L36:L$39))),4)</f>
        <v>1.0222</v>
      </c>
      <c r="T36" s="2027">
        <f>ROUND(IF(项目基本情况!$B$8="出让",SUMPRODUCT(PRODUCT(1+M36:M$40)),SUMPRODUCT(PRODUCT(1+M36:M$39))),4)</f>
        <v>1.0127999999999999</v>
      </c>
      <c r="U36" s="2027">
        <f>ROUND(IF(项目基本情况!$B$8="出让",SUMPRODUCT(PRODUCT(1+N36:N$40)),SUMPRODUCT(PRODUCT(1+N36:N$39))),4)</f>
        <v>1.0326</v>
      </c>
      <c r="V36" s="2027"/>
      <c r="W36" s="2027">
        <f t="shared" si="52"/>
        <v>1.0127999999999999</v>
      </c>
      <c r="X36" s="2906"/>
      <c r="Y36" s="2028"/>
      <c r="Z36" s="2902">
        <f t="shared" si="53"/>
        <v>5.1000000000000004E-3</v>
      </c>
      <c r="AA36" s="2903">
        <f t="shared" si="53"/>
        <v>3.5000000000000001E-3</v>
      </c>
      <c r="AB36" s="2028">
        <f t="shared" si="53"/>
        <v>8.3999999999999995E-3</v>
      </c>
      <c r="AC36" s="2904"/>
      <c r="AD36" s="2028">
        <f t="shared" si="53"/>
        <v>3.5000000000000001E-3</v>
      </c>
    </row>
    <row r="37" spans="1:30" s="2045" customFormat="1" ht="12.75">
      <c r="A37" s="2905" t="s">
        <v>2837</v>
      </c>
      <c r="B37" s="2031">
        <v>2021</v>
      </c>
      <c r="C37" s="2042">
        <v>4</v>
      </c>
      <c r="D37" s="2007"/>
      <c r="E37" s="2007">
        <v>0.57999999999999996</v>
      </c>
      <c r="F37" s="2007">
        <v>0.08</v>
      </c>
      <c r="G37" s="2007">
        <v>0.68</v>
      </c>
      <c r="H37" s="2917"/>
      <c r="I37" s="2008">
        <f t="shared" si="36"/>
        <v>0.08</v>
      </c>
      <c r="J37" s="2906"/>
      <c r="K37" s="2043"/>
      <c r="L37" s="2028">
        <f t="shared" si="37"/>
        <v>5.7999999999999996E-3</v>
      </c>
      <c r="M37" s="2028">
        <f t="shared" si="37"/>
        <v>8.0000000000000004E-4</v>
      </c>
      <c r="N37" s="2028">
        <f t="shared" si="37"/>
        <v>6.8000000000000005E-3</v>
      </c>
      <c r="O37" s="2028"/>
      <c r="P37" s="2028">
        <f t="shared" si="51"/>
        <v>8.0000000000000004E-4</v>
      </c>
      <c r="Q37" s="2906"/>
      <c r="R37" s="2027"/>
      <c r="S37" s="2027">
        <f>ROUND(IF(项目基本情况!$B$8="出让",SUMPRODUCT(PRODUCT(1+L37:L$40)),SUMPRODUCT(PRODUCT(1+L37:L$39))),4)</f>
        <v>1.0161</v>
      </c>
      <c r="T37" s="2027">
        <f>ROUND(IF(项目基本情况!$B$8="出让",SUMPRODUCT(PRODUCT(1+M37:M$40)),SUMPRODUCT(PRODUCT(1+M37:M$39))),4)</f>
        <v>1.0082</v>
      </c>
      <c r="U37" s="2027">
        <f>ROUND(IF(项目基本情况!$B$8="出让",SUMPRODUCT(PRODUCT(1+N37:N$40)),SUMPRODUCT(PRODUCT(1+N37:N$39))),4)</f>
        <v>1.0270999999999999</v>
      </c>
      <c r="V37" s="2027"/>
      <c r="W37" s="2027">
        <f t="shared" si="52"/>
        <v>1.0082</v>
      </c>
      <c r="X37" s="2906"/>
      <c r="Y37" s="2028"/>
      <c r="Z37" s="2902">
        <f t="shared" si="53"/>
        <v>4.8999999999999998E-3</v>
      </c>
      <c r="AA37" s="2903">
        <f t="shared" si="53"/>
        <v>3.3E-3</v>
      </c>
      <c r="AB37" s="2028">
        <f t="shared" si="53"/>
        <v>9.1999999999999998E-3</v>
      </c>
      <c r="AC37" s="2904"/>
      <c r="AD37" s="2028">
        <f t="shared" si="53"/>
        <v>3.3E-3</v>
      </c>
    </row>
    <row r="38" spans="1:30" s="2045" customFormat="1" ht="12.75">
      <c r="A38" s="2905" t="s">
        <v>2838</v>
      </c>
      <c r="B38" s="2031">
        <v>2021</v>
      </c>
      <c r="C38" s="2042">
        <v>3</v>
      </c>
      <c r="D38" s="2007"/>
      <c r="E38" s="2007">
        <v>0.47</v>
      </c>
      <c r="F38" s="2007">
        <v>0.28000000000000003</v>
      </c>
      <c r="G38" s="2007">
        <v>0.91</v>
      </c>
      <c r="H38" s="2917"/>
      <c r="I38" s="2008">
        <f t="shared" si="36"/>
        <v>0.28000000000000003</v>
      </c>
      <c r="J38" s="2906"/>
      <c r="K38" s="2043"/>
      <c r="L38" s="2028">
        <f t="shared" si="37"/>
        <v>4.6999999999999993E-3</v>
      </c>
      <c r="M38" s="2028">
        <f t="shared" si="37"/>
        <v>2.8000000000000004E-3</v>
      </c>
      <c r="N38" s="2028">
        <f t="shared" si="37"/>
        <v>9.1000000000000004E-3</v>
      </c>
      <c r="O38" s="2028"/>
      <c r="P38" s="2028">
        <f t="shared" si="51"/>
        <v>2.8000000000000004E-3</v>
      </c>
      <c r="Q38" s="2906"/>
      <c r="R38" s="2027"/>
      <c r="S38" s="2027">
        <f>ROUND(IF(项目基本情况!$B$8="出让",SUMPRODUCT(PRODUCT(1+L38:L$40)),SUMPRODUCT(PRODUCT(1+L38:L$39))),4)</f>
        <v>1.0102</v>
      </c>
      <c r="T38" s="2027">
        <f>ROUND(IF(项目基本情况!$B$8="出让",SUMPRODUCT(PRODUCT(1+M38:M$40)),SUMPRODUCT(PRODUCT(1+M38:M$39))),4)</f>
        <v>1.0074000000000001</v>
      </c>
      <c r="U38" s="2027">
        <f>ROUND(IF(项目基本情况!$B$8="出让",SUMPRODUCT(PRODUCT(1+N38:N$40)),SUMPRODUCT(PRODUCT(1+N38:N$39))),4)</f>
        <v>1.0202</v>
      </c>
      <c r="V38" s="2027"/>
      <c r="W38" s="2027">
        <f t="shared" si="52"/>
        <v>1.0074000000000001</v>
      </c>
      <c r="X38" s="2906"/>
      <c r="Y38" s="2028"/>
      <c r="Z38" s="2902">
        <f t="shared" si="53"/>
        <v>4.5999999999999999E-3</v>
      </c>
      <c r="AA38" s="2903">
        <f t="shared" si="53"/>
        <v>4.1000000000000003E-3</v>
      </c>
      <c r="AB38" s="2028">
        <f t="shared" si="53"/>
        <v>0.01</v>
      </c>
      <c r="AC38" s="2904"/>
      <c r="AD38" s="2028">
        <f t="shared" si="53"/>
        <v>4.1000000000000003E-3</v>
      </c>
    </row>
    <row r="39" spans="1:30" s="2045" customFormat="1" ht="12.75">
      <c r="A39" s="2905" t="s">
        <v>2839</v>
      </c>
      <c r="B39" s="2031">
        <v>2021</v>
      </c>
      <c r="C39" s="2042">
        <v>2</v>
      </c>
      <c r="D39" s="2007"/>
      <c r="E39" s="2007">
        <v>0.55000000000000004</v>
      </c>
      <c r="F39" s="2007">
        <v>0.46</v>
      </c>
      <c r="G39" s="2007">
        <v>1.1000000000000001</v>
      </c>
      <c r="H39" s="2917"/>
      <c r="I39" s="2008">
        <f t="shared" si="36"/>
        <v>0.46</v>
      </c>
      <c r="J39" s="2906"/>
      <c r="K39" s="2043"/>
      <c r="L39" s="2028">
        <f t="shared" si="37"/>
        <v>5.5000000000000005E-3</v>
      </c>
      <c r="M39" s="2028">
        <f t="shared" si="37"/>
        <v>4.5999999999999999E-3</v>
      </c>
      <c r="N39" s="2028">
        <f t="shared" si="37"/>
        <v>1.1000000000000001E-2</v>
      </c>
      <c r="O39" s="2028"/>
      <c r="P39" s="2028">
        <f t="shared" si="51"/>
        <v>4.5999999999999999E-3</v>
      </c>
      <c r="Q39" s="2906"/>
      <c r="R39" s="2027"/>
      <c r="S39" s="2027">
        <f>ROUND(IF(项目基本情况!$B$8="出让",SUMPRODUCT(PRODUCT(1+L39:L$40)),SUMPRODUCT(PRODUCT(1+L39:L$39))),4)</f>
        <v>1.0055000000000001</v>
      </c>
      <c r="T39" s="2027">
        <f>ROUND(IF(项目基本情况!$B$8="出让",SUMPRODUCT(PRODUCT(1+M39:M$40)),SUMPRODUCT(PRODUCT(1+M39:M$39))),4)</f>
        <v>1.0045999999999999</v>
      </c>
      <c r="U39" s="2027">
        <f>ROUND(IF(项目基本情况!$B$8="出让",SUMPRODUCT(PRODUCT(1+N39:N$40)),SUMPRODUCT(PRODUCT(1+N39:N$39))),4)</f>
        <v>1.0109999999999999</v>
      </c>
      <c r="V39" s="2027"/>
      <c r="W39" s="2027">
        <f t="shared" si="52"/>
        <v>1.0045999999999999</v>
      </c>
      <c r="X39" s="2906"/>
      <c r="Y39" s="2028"/>
      <c r="Z39" s="2902">
        <f t="shared" si="53"/>
        <v>4.4999999999999997E-3</v>
      </c>
      <c r="AA39" s="2903">
        <f t="shared" si="53"/>
        <v>4.7000000000000002E-3</v>
      </c>
      <c r="AB39" s="2028">
        <f t="shared" si="53"/>
        <v>1.04E-2</v>
      </c>
      <c r="AC39" s="2904"/>
      <c r="AD39" s="2028">
        <f t="shared" si="53"/>
        <v>4.7000000000000002E-3</v>
      </c>
    </row>
    <row r="40" spans="1:30" s="2928" customFormat="1" thickBot="1">
      <c r="A40" s="2918" t="s">
        <v>2825</v>
      </c>
      <c r="B40" s="2919">
        <v>2021</v>
      </c>
      <c r="C40" s="2920">
        <v>1</v>
      </c>
      <c r="D40" s="2921"/>
      <c r="E40" s="2921">
        <v>0.35</v>
      </c>
      <c r="F40" s="2921">
        <v>0.48</v>
      </c>
      <c r="G40" s="2921">
        <v>0.98</v>
      </c>
      <c r="H40" s="2922"/>
      <c r="I40" s="2923">
        <f t="shared" si="36"/>
        <v>0.48</v>
      </c>
      <c r="J40" s="2924"/>
      <c r="K40" s="2925"/>
      <c r="L40" s="2926">
        <f t="shared" si="37"/>
        <v>3.4999999999999996E-3</v>
      </c>
      <c r="M40" s="2926">
        <f>F40/100</f>
        <v>4.7999999999999996E-3</v>
      </c>
      <c r="N40" s="2926">
        <f t="shared" si="37"/>
        <v>9.7999999999999997E-3</v>
      </c>
      <c r="O40" s="2926"/>
      <c r="P40" s="2926">
        <f t="shared" si="51"/>
        <v>4.7999999999999996E-3</v>
      </c>
      <c r="Q40" s="2924"/>
      <c r="R40" s="2927"/>
      <c r="S40" s="2927">
        <v>1</v>
      </c>
      <c r="T40" s="2927">
        <v>1</v>
      </c>
      <c r="U40" s="2927">
        <v>1</v>
      </c>
      <c r="V40" s="2927"/>
      <c r="W40" s="2927">
        <f t="shared" si="52"/>
        <v>1</v>
      </c>
      <c r="X40" s="2924"/>
      <c r="Y40" s="2926"/>
      <c r="Z40" s="2934">
        <f t="shared" si="53"/>
        <v>3.5000000000000001E-3</v>
      </c>
      <c r="AA40" s="2935">
        <f t="shared" si="53"/>
        <v>4.7999999999999996E-3</v>
      </c>
      <c r="AB40" s="2926">
        <f t="shared" si="53"/>
        <v>9.7999999999999997E-3</v>
      </c>
      <c r="AC40" s="2936"/>
      <c r="AD40" s="2926">
        <f t="shared" si="53"/>
        <v>4.7999999999999996E-3</v>
      </c>
    </row>
    <row r="41" spans="1:30" ht="14.25" thickTop="1"/>
    <row r="42" spans="1:30">
      <c r="A42" s="3143"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30" t="s">
        <v>452</v>
      </c>
      <c r="C1" s="3630"/>
      <c r="D1" s="3630"/>
      <c r="E1" s="3630"/>
      <c r="F1" s="3630"/>
      <c r="G1" s="3626" t="s">
        <v>453</v>
      </c>
      <c r="H1" s="3626"/>
      <c r="I1" s="3626"/>
      <c r="J1" s="3626"/>
      <c r="K1" s="3626"/>
      <c r="L1" s="3626"/>
      <c r="N1" s="3626" t="s">
        <v>454</v>
      </c>
      <c r="O1" s="3626"/>
      <c r="P1" s="3626"/>
      <c r="Q1" s="3626"/>
      <c r="S1" s="3626" t="s">
        <v>455</v>
      </c>
      <c r="T1" s="3626"/>
      <c r="U1" s="3626"/>
      <c r="V1" s="3626"/>
      <c r="X1" s="3625" t="s">
        <v>456</v>
      </c>
      <c r="Y1" s="3626"/>
      <c r="Z1" s="3626"/>
      <c r="AA1" s="3626"/>
      <c r="AB1" s="3626"/>
      <c r="AD1" s="3625" t="s">
        <v>457</v>
      </c>
      <c r="AE1" s="3626"/>
      <c r="AF1" s="3626"/>
      <c r="AG1" s="3626"/>
      <c r="AH1" s="362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2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2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2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3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3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2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2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3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3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2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2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2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2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2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2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2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2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2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2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2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3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3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3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3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2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2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2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2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2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2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2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2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2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2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2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2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2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2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2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2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2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2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2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2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2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2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2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2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2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2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2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2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2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2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2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2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2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2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2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2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2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2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2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2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2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2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2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2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G13" sqref="G1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45254</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0" t="s">
        <v>2310</v>
      </c>
      <c r="C23" s="1207">
        <v>43697</v>
      </c>
      <c r="D23" s="2574">
        <v>4.25</v>
      </c>
      <c r="E23" s="2574">
        <v>4.25</v>
      </c>
      <c r="F23" s="2574">
        <v>4.25</v>
      </c>
      <c r="G23" s="2574">
        <v>4.25</v>
      </c>
      <c r="H23" s="2574">
        <v>4.8499999999999996</v>
      </c>
      <c r="I23" s="2574"/>
      <c r="J23" s="2574"/>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7"/>
      <c r="C24" s="2578">
        <v>42301</v>
      </c>
      <c r="D24" s="2579">
        <v>4.3499999999999996</v>
      </c>
      <c r="E24" s="2579">
        <v>4.3499999999999996</v>
      </c>
      <c r="F24" s="2579">
        <v>4.75</v>
      </c>
      <c r="G24" s="2579">
        <v>4.75</v>
      </c>
      <c r="H24" s="2579">
        <v>4.9000000000000004</v>
      </c>
      <c r="I24" s="2579"/>
      <c r="J24" s="2579"/>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76" t="s">
        <v>949</v>
      </c>
      <c r="B1" s="3276"/>
      <c r="C1" s="3276"/>
      <c r="D1" s="3276"/>
    </row>
    <row r="2" spans="1:4" ht="18">
      <c r="A2" s="3277" t="s">
        <v>933</v>
      </c>
      <c r="B2" s="3277"/>
      <c r="C2" s="3277"/>
      <c r="D2" s="327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77" t="s">
        <v>939</v>
      </c>
      <c r="B6" s="3277"/>
      <c r="C6" s="3277"/>
      <c r="D6" s="327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78" t="s">
        <v>942</v>
      </c>
      <c r="B11" s="3279"/>
      <c r="C11" s="3279"/>
      <c r="D11" s="3279"/>
    </row>
    <row r="12" spans="1:4" ht="15.75">
      <c r="A12" s="32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0"/>
      <c r="C12" s="3280"/>
      <c r="D12" s="3280"/>
    </row>
    <row r="13" spans="1:4" ht="30" customHeight="1">
      <c r="A13" s="3279" t="str">
        <f>IF(项目基本情况!B8="抵押","3.抵押双方在办理抵押登记手续时，应使用本公司出具的正式《房地产评估报告》，特提醒报告使用者注意。","——")</f>
        <v>——</v>
      </c>
      <c r="B13" s="3280"/>
      <c r="C13" s="3280"/>
      <c r="D13" s="3280"/>
    </row>
    <row r="14" spans="1:4" ht="15.75" customHeight="1">
      <c r="A14" s="3279" t="str">
        <f>IF(项目基本情况!B8="抵押","4.本次评估估价师所知悉的法定优先受偿款情况说明如下：","——")</f>
        <v>——</v>
      </c>
      <c r="B14" s="3280"/>
      <c r="C14" s="3280"/>
      <c r="D14" s="3280"/>
    </row>
    <row r="15" spans="1:4" ht="42" customHeight="1">
      <c r="A15" s="3279" t="str">
        <f>IF(项目基本情况!B8="抵押","（1）"&amp;CONCATENATE(项目基本情况!L20,项目基本情况!L21,项目基本情况!L22),"——")</f>
        <v>——</v>
      </c>
      <c r="B15" s="3279"/>
      <c r="C15" s="3279"/>
      <c r="D15" s="3279"/>
    </row>
    <row r="16" spans="1:4" ht="30" customHeight="1">
      <c r="A16" s="3282" t="s">
        <v>943</v>
      </c>
      <c r="B16" s="3282"/>
      <c r="C16" s="3282"/>
      <c r="D16" s="3282"/>
    </row>
    <row r="17" spans="1:4" ht="144" customHeight="1">
      <c r="A17" s="3282" t="s">
        <v>944</v>
      </c>
      <c r="B17" s="3282"/>
      <c r="C17" s="3282"/>
      <c r="D17" s="3282"/>
    </row>
    <row r="18" spans="1:4" ht="15.75" customHeight="1">
      <c r="A18" s="3279" t="str">
        <f>IF(项目基本情况!B8="抵押",结果表!K120,"——")</f>
        <v>——</v>
      </c>
      <c r="B18" s="3279"/>
      <c r="C18" s="3279"/>
      <c r="D18" s="3279"/>
    </row>
    <row r="19" spans="1:4" ht="46.5" customHeight="1">
      <c r="A19" s="32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9"/>
      <c r="C19" s="3279"/>
      <c r="D19" s="3279"/>
    </row>
    <row r="20" spans="1:4" ht="57.75" customHeight="1">
      <c r="A20" s="32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9"/>
      <c r="C20" s="3279"/>
      <c r="D20" s="3279"/>
    </row>
    <row r="21" spans="1:4" ht="57.75" customHeight="1">
      <c r="A21" s="32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3"/>
      <c r="C21" s="3283"/>
      <c r="D21" s="3283"/>
    </row>
    <row r="22" spans="1:4" ht="18.75" customHeight="1">
      <c r="A22" s="3284" t="s">
        <v>945</v>
      </c>
      <c r="B22" s="3284"/>
      <c r="C22" s="3284"/>
      <c r="D22" s="328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81">
        <v>42551</v>
      </c>
      <c r="D31" s="32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90" t="s">
        <v>956</v>
      </c>
      <c r="B15" s="3285" t="s">
        <v>109</v>
      </c>
      <c r="C15" s="3286"/>
    </row>
    <row r="16" spans="1:7" ht="13.5">
      <c r="A16" s="3291"/>
      <c r="B16" s="3285" t="s">
        <v>42</v>
      </c>
      <c r="C16" s="3286"/>
    </row>
    <row r="17" spans="1:3" ht="13.5">
      <c r="A17" s="3291"/>
      <c r="B17" s="3288" t="s">
        <v>957</v>
      </c>
      <c r="C17" s="1429" t="s">
        <v>956</v>
      </c>
    </row>
    <row r="18" spans="1:3" ht="13.5">
      <c r="A18" s="3291"/>
      <c r="B18" s="3288"/>
      <c r="C18" s="1429" t="s">
        <v>958</v>
      </c>
    </row>
    <row r="19" spans="1:3" ht="13.5">
      <c r="A19" s="3291"/>
      <c r="B19" s="3288"/>
      <c r="C19" s="1429" t="s">
        <v>959</v>
      </c>
    </row>
    <row r="20" spans="1:3" ht="13.5">
      <c r="A20" s="3292"/>
      <c r="B20" s="3287" t="s">
        <v>960</v>
      </c>
      <c r="C20" s="3286"/>
    </row>
    <row r="21" spans="1:3" ht="13.5">
      <c r="A21" s="1430" t="s">
        <v>961</v>
      </c>
      <c r="B21" s="1431"/>
      <c r="C21" s="1432"/>
    </row>
    <row r="22" spans="1:3" ht="13.5">
      <c r="A22" s="3289" t="s">
        <v>962</v>
      </c>
      <c r="B22" s="3287" t="s">
        <v>963</v>
      </c>
      <c r="C22" s="3286"/>
    </row>
    <row r="23" spans="1:3" ht="13.5">
      <c r="A23" s="3289"/>
      <c r="B23" s="3287" t="s">
        <v>964</v>
      </c>
      <c r="C23" s="3286"/>
    </row>
    <row r="24" spans="1:3" ht="13.5">
      <c r="A24" s="3289"/>
      <c r="B24" s="3287" t="s">
        <v>965</v>
      </c>
      <c r="C24" s="3286"/>
    </row>
    <row r="25" spans="1:3" ht="13.5">
      <c r="A25" s="3289"/>
      <c r="B25" s="3288" t="s">
        <v>966</v>
      </c>
      <c r="C25" s="1429" t="s">
        <v>967</v>
      </c>
    </row>
    <row r="26" spans="1:3" ht="13.5">
      <c r="A26" s="3289"/>
      <c r="B26" s="3288"/>
      <c r="C26" s="1429" t="s">
        <v>968</v>
      </c>
    </row>
    <row r="27" spans="1:3" ht="13.5">
      <c r="A27" s="3289"/>
      <c r="B27" s="3288"/>
      <c r="C27" s="1429" t="s">
        <v>969</v>
      </c>
    </row>
    <row r="28" spans="1:3" ht="13.5">
      <c r="A28" s="3289"/>
      <c r="B28" s="3288"/>
      <c r="C28" s="1429" t="s">
        <v>970</v>
      </c>
    </row>
    <row r="29" spans="1:3" ht="13.5">
      <c r="A29" s="3289"/>
      <c r="B29" s="3288"/>
      <c r="C29" s="1429" t="s">
        <v>971</v>
      </c>
    </row>
    <row r="30" spans="1:3" ht="13.5">
      <c r="A30" s="3289"/>
      <c r="B30" s="3288"/>
      <c r="C30" s="1429" t="s">
        <v>972</v>
      </c>
    </row>
    <row r="31" spans="1:3" ht="13.5">
      <c r="A31" s="3289"/>
      <c r="B31" s="3288"/>
      <c r="C31" s="1429" t="s">
        <v>973</v>
      </c>
    </row>
    <row r="32" spans="1:3" ht="13.5">
      <c r="A32" s="3289"/>
      <c r="B32" s="3288"/>
      <c r="C32" s="1429" t="s">
        <v>974</v>
      </c>
    </row>
    <row r="33" spans="1:3" ht="13.5">
      <c r="A33" s="3289"/>
      <c r="B33" s="328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45260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93" t="s">
        <v>2160</v>
      </c>
      <c r="B17" s="3293"/>
      <c r="C17" s="3293"/>
      <c r="D17" s="3293"/>
      <c r="E17" s="3293"/>
      <c r="F17" s="3293"/>
      <c r="G17" s="3293"/>
      <c r="H17" s="3293"/>
    </row>
    <row r="18" spans="1:8" ht="24" customHeight="1">
      <c r="A18" s="3294" t="s">
        <v>2161</v>
      </c>
      <c r="B18" s="3294"/>
      <c r="C18" s="3294"/>
      <c r="D18" s="2160"/>
      <c r="E18" s="3295" t="s">
        <v>2162</v>
      </c>
      <c r="F18" s="3294"/>
      <c r="G18" s="329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首城国际结果表</vt:lpstr>
      <vt:lpstr>结果一览表-商业</vt:lpstr>
      <vt:lpstr>成本法</vt:lpstr>
      <vt:lpstr>比较法-商业-租金</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基准地价修正-商业</vt:lpstr>
      <vt:lpstr>商业案例</vt:lpstr>
      <vt:lpstr>结果一览表-库房</vt:lpstr>
      <vt:lpstr>成本法 (元) -库房</vt:lpstr>
      <vt:lpstr>基准地价修正-库房</vt:lpstr>
      <vt:lpstr>比较法-仓储</vt:lpstr>
      <vt:lpstr>库房案例</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'成本法 (元) -库房'!Print_Area</vt:lpstr>
      <vt:lpstr>估价对象房地状况!Print_Area</vt:lpstr>
      <vt:lpstr>估价师及机构信息!Print_Area</vt:lpstr>
      <vt:lpstr>'基准地价（汇总）'!Print_Area</vt:lpstr>
      <vt:lpstr>'基准地价修正-库房'!Print_Area</vt:lpstr>
      <vt:lpstr>'基准地价修正-商业'!Print_Area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2023-11-30T07:45:42Z</dcterms:modified>
</cp:coreProperties>
</file>