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武警\测算\0404调整2.5%\"/>
    </mc:Choice>
  </mc:AlternateContent>
  <xr:revisionPtr revIDLastSave="0" documentId="13_ncr:1_{B83F10A3-F551-4B6F-B930-0F939A2F1F55}" xr6:coauthVersionLast="45" xr6:coauthVersionMax="45" xr10:uidLastSave="{00000000-0000-0000-0000-000000000000}"/>
  <bookViews>
    <workbookView xWindow="-120" yWindow="-120" windowWidth="20730" windowHeight="11160" tabRatio="899" firstSheet="13"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收益法倒推!$A$1:$J$91</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74" l="1"/>
  <c r="B14" i="74"/>
  <c r="I47" i="80"/>
  <c r="G47" i="80"/>
  <c r="E47" i="80"/>
  <c r="G45" i="83"/>
  <c r="D46" i="83"/>
  <c r="D47" i="83"/>
  <c r="D48" i="83"/>
  <c r="D49" i="83"/>
  <c r="D50" i="83"/>
  <c r="H27" i="80"/>
  <c r="F27" i="80"/>
  <c r="E47" i="84"/>
  <c r="I33" i="84"/>
  <c r="G33" i="84"/>
  <c r="E33" i="84"/>
  <c r="I7" i="84"/>
  <c r="G7" i="84"/>
  <c r="M3" i="81"/>
  <c r="M4" i="81"/>
  <c r="M5" i="81"/>
  <c r="M6" i="81"/>
  <c r="M7" i="81"/>
  <c r="M2" i="81"/>
  <c r="E25" i="83"/>
  <c r="O7" i="81"/>
  <c r="O6" i="81"/>
  <c r="O5" i="81"/>
  <c r="O4" i="81"/>
  <c r="O3" i="81"/>
  <c r="N7" i="81"/>
  <c r="N6" i="81"/>
  <c r="N5" i="81"/>
  <c r="N4" i="81"/>
  <c r="N3" i="81"/>
  <c r="I47" i="84"/>
  <c r="V47" i="84"/>
  <c r="G47" i="84"/>
  <c r="C145" i="84"/>
  <c r="J142" i="84"/>
  <c r="J140" i="84"/>
  <c r="K139" i="84"/>
  <c r="B130" i="84"/>
  <c r="B128" i="84"/>
  <c r="B126" i="84"/>
  <c r="D125" i="84"/>
  <c r="E125" i="84"/>
  <c r="F125" i="84"/>
  <c r="G125" i="84"/>
  <c r="D123"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AB37" i="84"/>
  <c r="U37" i="84"/>
  <c r="Q37" i="84"/>
  <c r="Z37" i="84"/>
  <c r="I37" i="84"/>
  <c r="J37" i="84"/>
  <c r="G37" i="84"/>
  <c r="H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I33" i="80"/>
  <c r="G33" i="80"/>
  <c r="E33" i="80"/>
  <c r="D2" i="84"/>
  <c r="G89" i="84"/>
  <c r="H89"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I89" i="84"/>
  <c r="J89" i="84"/>
  <c r="K89" i="84"/>
  <c r="L89" i="84"/>
  <c r="M89" i="84"/>
  <c r="AA46" i="84"/>
  <c r="S46" i="84"/>
  <c r="AC32" i="84"/>
  <c r="W32" i="84"/>
  <c r="AC10" i="84"/>
  <c r="W10" i="84"/>
  <c r="AC46" i="84"/>
  <c r="W46" i="84"/>
  <c r="AA32" i="84"/>
  <c r="S32" i="84"/>
  <c r="AA10" i="84"/>
  <c r="S10" i="84"/>
  <c r="J26" i="84"/>
  <c r="AC26" i="84"/>
  <c r="N89" i="84"/>
  <c r="O89" i="84"/>
  <c r="P89" i="84"/>
  <c r="Q89" i="84"/>
  <c r="R89" i="84"/>
  <c r="W26" i="84"/>
  <c r="F26" i="84"/>
  <c r="H26" i="84"/>
  <c r="AB26" i="84"/>
  <c r="U26" i="84"/>
  <c r="S26" i="84"/>
  <c r="AA26" i="84"/>
  <c r="P3" i="81"/>
  <c r="P4" i="81"/>
  <c r="P5" i="81"/>
  <c r="P6" i="81"/>
  <c r="P7" i="81"/>
  <c r="P2" i="81"/>
  <c r="I37" i="80"/>
  <c r="G37" i="80"/>
  <c r="E37" i="80"/>
  <c r="D66" i="80"/>
  <c r="E66" i="80"/>
  <c r="F66" i="80"/>
  <c r="G66" i="80"/>
  <c r="H66" i="80"/>
  <c r="I66" i="80"/>
  <c r="I5" i="80"/>
  <c r="G5" i="80"/>
  <c r="E5" i="80"/>
  <c r="Y6" i="1"/>
  <c r="F19" i="6"/>
  <c r="C37" i="83"/>
  <c r="E29" i="83"/>
  <c r="E24" i="83"/>
  <c r="C22" i="83"/>
  <c r="C21" i="83"/>
  <c r="E19" i="83"/>
  <c r="F19" i="83"/>
  <c r="C18" i="83"/>
  <c r="F16" i="83"/>
  <c r="E16" i="83"/>
  <c r="E15" i="83"/>
  <c r="C15" i="83"/>
  <c r="M10" i="83"/>
  <c r="P9" i="83"/>
  <c r="O10" i="83"/>
  <c r="M4" i="83"/>
  <c r="C33" i="84"/>
  <c r="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J46" i="80"/>
  <c r="AC46" i="80"/>
  <c r="Q45" i="80"/>
  <c r="Z45" i="80"/>
  <c r="J45" i="80"/>
  <c r="AC45" i="80"/>
  <c r="H45" i="80"/>
  <c r="F45" i="80"/>
  <c r="AA45" i="80"/>
  <c r="Q44" i="80"/>
  <c r="Z44" i="80"/>
  <c r="J44" i="80"/>
  <c r="AC44" i="80"/>
  <c r="Q43" i="80"/>
  <c r="Z43" i="80"/>
  <c r="J43" i="80"/>
  <c r="AC43" i="80"/>
  <c r="H43" i="80"/>
  <c r="AB43" i="80"/>
  <c r="F43" i="80"/>
  <c r="AA43" i="80"/>
  <c r="Q42" i="80"/>
  <c r="Z42" i="80"/>
  <c r="J42" i="80"/>
  <c r="W42" i="80"/>
  <c r="F42" i="80"/>
  <c r="AA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H42" i="80"/>
  <c r="AB42" i="80"/>
  <c r="H32" i="80"/>
  <c r="AB32" i="80"/>
  <c r="H33" i="84"/>
  <c r="J33" i="84"/>
  <c r="F33" i="84"/>
  <c r="F37" i="80"/>
  <c r="AA37" i="80"/>
  <c r="J37" i="80"/>
  <c r="AC37" i="80"/>
  <c r="H36" i="80"/>
  <c r="AB36" i="80"/>
  <c r="I89" i="80"/>
  <c r="J89" i="80"/>
  <c r="K89" i="80"/>
  <c r="L89" i="80"/>
  <c r="M89" i="80"/>
  <c r="N89" i="80"/>
  <c r="O89" i="80"/>
  <c r="P89" i="80"/>
  <c r="Q89" i="80"/>
  <c r="R89" i="80"/>
  <c r="F26" i="80"/>
  <c r="AA26" i="80"/>
  <c r="H26" i="80"/>
  <c r="AB26" i="80"/>
  <c r="J26" i="80"/>
  <c r="AC26" i="80"/>
  <c r="AC38" i="80"/>
  <c r="AC42" i="80"/>
  <c r="AC34" i="80"/>
  <c r="U28" i="80"/>
  <c r="F11" i="80"/>
  <c r="AA11" i="80"/>
  <c r="J11" i="80"/>
  <c r="AC11" i="80"/>
  <c r="F13" i="80"/>
  <c r="AA13" i="80"/>
  <c r="W44"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S33" i="80"/>
  <c r="W33" i="80"/>
  <c r="U34" i="80"/>
  <c r="S35" i="80"/>
  <c r="W35" i="80"/>
  <c r="S37" i="80"/>
  <c r="W37" i="80"/>
  <c r="U38" i="80"/>
  <c r="S39" i="80"/>
  <c r="W39" i="80"/>
  <c r="U40" i="80"/>
  <c r="S41" i="80"/>
  <c r="W41"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U42" i="80"/>
  <c r="AA44" i="80"/>
  <c r="B2" i="1"/>
  <c r="C7" i="80"/>
  <c r="E7" i="80"/>
  <c r="C58" i="80"/>
  <c r="D58" i="80"/>
  <c r="E58" i="80"/>
  <c r="F58" i="80"/>
  <c r="G58" i="80"/>
  <c r="H58" i="80"/>
  <c r="I58" i="80"/>
  <c r="J58" i="80"/>
  <c r="K58" i="80"/>
  <c r="L58" i="80"/>
  <c r="M58" i="80"/>
  <c r="N58" i="80"/>
  <c r="O58" i="80"/>
  <c r="F7" i="80"/>
  <c r="AA7" i="80"/>
  <c r="R48" i="80"/>
  <c r="I7" i="80"/>
  <c r="J7" i="80"/>
  <c r="AC7" i="80"/>
  <c r="V48" i="80"/>
  <c r="G7" i="80"/>
  <c r="H7" i="80"/>
  <c r="AB7" i="80"/>
  <c r="T48" i="80"/>
  <c r="U32" i="80"/>
  <c r="W26" i="80"/>
  <c r="S33" i="84"/>
  <c r="AA33" i="84"/>
  <c r="W33" i="84"/>
  <c r="AC33" i="84"/>
  <c r="U33" i="84"/>
  <c r="AB33" i="84"/>
  <c r="U26" i="80"/>
  <c r="U36" i="80"/>
  <c r="S26" i="80"/>
  <c r="S13" i="80"/>
  <c r="P28" i="79"/>
  <c r="P26" i="79"/>
  <c r="R49" i="80"/>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5" i="6"/>
  <c r="E32" i="6"/>
  <c r="K1" i="12"/>
  <c r="E19" i="68"/>
  <c r="E1" i="73"/>
  <c r="G22" i="69"/>
  <c r="G22" i="68"/>
  <c r="G26" i="12"/>
  <c r="G22" i="11"/>
  <c r="C6" i="43"/>
  <c r="B19" i="53"/>
  <c r="B37" i="72"/>
  <c r="C7" i="39"/>
  <c r="C67" i="39"/>
  <c r="C7" i="35"/>
  <c r="C48" i="35"/>
  <c r="D48" i="35"/>
  <c r="C7" i="33"/>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E11" i="76"/>
  <c r="M9" i="15"/>
  <c r="C76" i="67"/>
  <c r="E7" i="76"/>
  <c r="M8" i="67"/>
  <c r="D34" i="9"/>
  <c r="J15" i="15"/>
  <c r="F37" i="15"/>
  <c r="D3" i="73"/>
  <c r="F36" i="67"/>
  <c r="M28" i="15"/>
  <c r="M6" i="15"/>
  <c r="F13" i="67"/>
  <c r="M9" i="67"/>
  <c r="L47" i="67"/>
  <c r="E9" i="76"/>
  <c r="M22" i="67"/>
  <c r="M26" i="67"/>
  <c r="F42" i="67"/>
  <c r="B13" i="76"/>
  <c r="F9" i="67"/>
  <c r="M8" i="15"/>
  <c r="F7" i="15"/>
  <c r="J15" i="67"/>
  <c r="E10" i="76"/>
  <c r="D35" i="9"/>
  <c r="D7" i="73"/>
  <c r="E8" i="76"/>
  <c r="B7" i="76"/>
  <c r="M22" i="15"/>
  <c r="C76" i="15"/>
  <c r="F6" i="73"/>
  <c r="F40" i="67"/>
  <c r="M29" i="15"/>
  <c r="L48" i="67"/>
  <c r="M23" i="15"/>
  <c r="M24" i="15"/>
  <c r="D6" i="73"/>
  <c r="F37" i="67"/>
  <c r="F42" i="15"/>
  <c r="F36" i="15"/>
  <c r="F26" i="67"/>
  <c r="L47" i="15"/>
  <c r="F43" i="67"/>
  <c r="E2" i="68"/>
  <c r="M28" i="67"/>
  <c r="B12" i="76"/>
  <c r="F38" i="67"/>
  <c r="F6" i="67"/>
  <c r="F9" i="15"/>
  <c r="L48" i="15"/>
  <c r="F26" i="15"/>
  <c r="M29" i="67"/>
  <c r="F16" i="67"/>
  <c r="M6" i="67"/>
  <c r="M23" i="67"/>
  <c r="F40" i="15"/>
  <c r="B8" i="76"/>
  <c r="F3" i="73"/>
  <c r="F6" i="15"/>
  <c r="F20" i="31"/>
  <c r="F8" i="15"/>
  <c r="M26" i="15"/>
  <c r="F5" i="73"/>
  <c r="F7" i="67"/>
  <c r="F13" i="15"/>
  <c r="F43" i="15"/>
  <c r="B11" i="76"/>
  <c r="B10" i="76"/>
  <c r="F4" i="73"/>
  <c r="F8" i="67"/>
  <c r="F7" i="73"/>
  <c r="F16" i="15"/>
  <c r="F38" i="15"/>
  <c r="AO13" i="1"/>
  <c r="M24" i="67"/>
  <c r="E12" i="76"/>
  <c r="E2" i="69"/>
  <c r="E13" i="76"/>
  <c r="B9" i="76"/>
  <c r="C5" i="68"/>
  <c r="D3" i="84"/>
  <c r="AH6" i="1"/>
  <c r="F6" i="1"/>
  <c r="G6" i="1"/>
  <c r="I5" i="83"/>
  <c r="C7" i="84"/>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67"/>
  <c r="C16" i="15"/>
  <c r="D5" i="73"/>
  <c r="C58" i="84"/>
  <c r="D58" i="84"/>
  <c r="E58" i="84"/>
  <c r="F58" i="84"/>
  <c r="G58" i="84"/>
  <c r="H58" i="84"/>
  <c r="I58" i="84"/>
  <c r="J58" i="84"/>
  <c r="K58" i="84"/>
  <c r="L58" i="84"/>
  <c r="M58" i="84"/>
  <c r="N58" i="84"/>
  <c r="O58" i="84"/>
  <c r="J7" i="84"/>
  <c r="E7" i="84"/>
  <c r="C36" i="68"/>
  <c r="Q16" i="1"/>
  <c r="F27" i="69"/>
  <c r="C47" i="69"/>
  <c r="D45" i="69"/>
  <c r="U7" i="80"/>
  <c r="N94" i="46"/>
  <c r="E26" i="43"/>
  <c r="J26" i="43"/>
  <c r="P6" i="1"/>
  <c r="C13" i="12"/>
  <c r="W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W7"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E58" i="40"/>
  <c r="E62" i="39"/>
  <c r="AY6" i="3"/>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AC7" i="37"/>
  <c r="V42" i="37"/>
  <c r="I42" i="37"/>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B40" i="1"/>
  <c r="L36" i="43"/>
  <c r="P36" i="43"/>
  <c r="F45" i="69"/>
  <c r="D3" i="80"/>
  <c r="I3" i="83"/>
  <c r="I48" i="80"/>
  <c r="F7" i="84"/>
  <c r="H7" i="84"/>
  <c r="W7" i="84"/>
  <c r="AC7" i="84"/>
  <c r="V48" i="84"/>
  <c r="I48" i="84"/>
  <c r="F27" i="68"/>
  <c r="F45" i="68"/>
  <c r="F67" i="39"/>
  <c r="F69" i="39"/>
  <c r="F27" i="11"/>
  <c r="C29" i="11"/>
  <c r="D27" i="11"/>
  <c r="C29" i="69"/>
  <c r="D27" i="69"/>
  <c r="S7" i="80"/>
  <c r="I52" i="80"/>
  <c r="J52" i="80"/>
  <c r="C14" i="71"/>
  <c r="D15" i="71"/>
  <c r="D40" i="71"/>
  <c r="T40" i="71"/>
  <c r="Q66" i="71"/>
  <c r="Q65" i="71"/>
  <c r="B11" i="71"/>
  <c r="B10" i="71"/>
  <c r="B9" i="71"/>
  <c r="B8" i="71"/>
  <c r="B7" i="71"/>
  <c r="B6" i="71"/>
  <c r="B5" i="71"/>
  <c r="S12" i="71"/>
  <c r="E65" i="39"/>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R37" i="36"/>
  <c r="E36" i="36"/>
  <c r="F63" i="40"/>
  <c r="E65" i="40"/>
  <c r="W7" i="33"/>
  <c r="AC7" i="33"/>
  <c r="V48" i="33"/>
  <c r="I48" i="33"/>
  <c r="AA7" i="37"/>
  <c r="R42" i="37"/>
  <c r="S7" i="37"/>
  <c r="I40" i="36"/>
  <c r="J40" i="36"/>
  <c r="S7" i="33"/>
  <c r="AA7" i="33"/>
  <c r="R48" i="33"/>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41" i="15"/>
  <c r="M27" i="15"/>
  <c r="M27" i="67"/>
  <c r="F22" i="68"/>
  <c r="C23" i="68"/>
  <c r="F24" i="67"/>
  <c r="C24" i="67"/>
  <c r="F25" i="12"/>
  <c r="C26" i="12"/>
  <c r="D25" i="12"/>
  <c r="L37" i="43"/>
  <c r="M37" i="43"/>
  <c r="F24" i="15"/>
  <c r="C24" i="15"/>
  <c r="F22" i="11"/>
  <c r="C23" i="11"/>
  <c r="F22" i="69"/>
  <c r="F41" i="69"/>
  <c r="O36" i="43"/>
  <c r="N36" i="43"/>
  <c r="M36" i="43"/>
  <c r="Q36" i="43"/>
  <c r="C8" i="83"/>
  <c r="C11" i="83"/>
  <c r="G48" i="80"/>
  <c r="AA7" i="84"/>
  <c r="R48" i="84"/>
  <c r="S7" i="84"/>
  <c r="I52" i="84"/>
  <c r="J52" i="84"/>
  <c r="U7" i="84"/>
  <c r="AB7" i="84"/>
  <c r="T48" i="84"/>
  <c r="G48" i="84"/>
  <c r="C47" i="68"/>
  <c r="D45" i="68"/>
  <c r="C47" i="11"/>
  <c r="D45" i="11"/>
  <c r="C29" i="68"/>
  <c r="D27" i="68"/>
  <c r="D116" i="43"/>
  <c r="E48" i="80"/>
  <c r="D14" i="71"/>
  <c r="C13" i="71"/>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66" i="67"/>
  <c r="C60" i="67"/>
  <c r="D10" i="69"/>
  <c r="C34" i="69"/>
  <c r="D10" i="68"/>
  <c r="C14" i="67"/>
  <c r="C17" i="67"/>
  <c r="C17" i="15"/>
  <c r="P37" i="43"/>
  <c r="C44" i="11"/>
  <c r="D41" i="11"/>
  <c r="N37" i="43"/>
  <c r="F41" i="68"/>
  <c r="C26" i="69"/>
  <c r="D22" i="69"/>
  <c r="C24" i="11"/>
  <c r="Q37" i="43"/>
  <c r="C26" i="11"/>
  <c r="D22" i="11"/>
  <c r="O37" i="43"/>
  <c r="C26" i="68"/>
  <c r="D22" i="68"/>
  <c r="C44" i="68"/>
  <c r="D41" i="68"/>
  <c r="C44" i="69"/>
  <c r="D41" i="69"/>
  <c r="C12" i="83"/>
  <c r="C9" i="83"/>
  <c r="C10" i="83"/>
  <c r="G52" i="80"/>
  <c r="H52" i="80"/>
  <c r="G53" i="80"/>
  <c r="H53" i="80"/>
  <c r="G52" i="84"/>
  <c r="H52" i="84"/>
  <c r="G53" i="84"/>
  <c r="H53" i="84"/>
  <c r="E48" i="84"/>
  <c r="R49" i="84"/>
  <c r="C25" i="11"/>
  <c r="C22" i="11"/>
  <c r="C31" i="11"/>
  <c r="C48" i="80"/>
  <c r="C49" i="80"/>
  <c r="E52" i="80"/>
  <c r="F52" i="80"/>
  <c r="E53" i="80"/>
  <c r="F53" i="80"/>
  <c r="I53" i="80"/>
  <c r="J53" i="80"/>
  <c r="C12" i="71"/>
  <c r="D13" i="71"/>
  <c r="C18" i="67"/>
  <c r="C15" i="67"/>
  <c r="H23" i="6"/>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E47" i="37"/>
  <c r="F47" i="37"/>
  <c r="E46" i="37"/>
  <c r="F46" i="37"/>
  <c r="I47" i="37"/>
  <c r="J47" i="37"/>
  <c r="E53" i="33"/>
  <c r="F53" i="33"/>
  <c r="E52" i="33"/>
  <c r="F52" i="33"/>
  <c r="C33" i="15"/>
  <c r="C33" i="67"/>
  <c r="J19" i="67"/>
  <c r="C34" i="68"/>
  <c r="C14" i="15"/>
  <c r="E6" i="76"/>
  <c r="B6" i="76"/>
  <c r="C13" i="83"/>
  <c r="C14" i="83"/>
  <c r="C20" i="83"/>
  <c r="C49" i="84"/>
  <c r="C48" i="84"/>
  <c r="C3" i="83"/>
  <c r="C4" i="83"/>
  <c r="E53" i="84"/>
  <c r="F53" i="84"/>
  <c r="E52" i="84"/>
  <c r="F52" i="84"/>
  <c r="I53" i="84"/>
  <c r="J53" i="84"/>
  <c r="B2" i="80"/>
  <c r="B3" i="80"/>
  <c r="D36" i="83"/>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C17" i="83"/>
  <c r="C16" i="83"/>
  <c r="C19" i="83"/>
  <c r="B2" i="84"/>
  <c r="B3" i="84"/>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20" i="9"/>
  <c r="C19" i="9"/>
  <c r="C23" i="83"/>
  <c r="C7" i="83"/>
  <c r="C28" i="83"/>
  <c r="C103" i="9"/>
  <c r="C102" i="9"/>
  <c r="C21" i="9"/>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M21" i="67"/>
  <c r="F35" i="15"/>
  <c r="F35" i="67"/>
  <c r="M21" i="15"/>
  <c r="C27" i="83"/>
  <c r="C24" i="83"/>
  <c r="C30" i="83"/>
  <c r="AC7" i="35"/>
  <c r="V38" i="35"/>
  <c r="I38" i="35"/>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31" i="83"/>
  <c r="D37"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D38" i="83"/>
  <c r="D41" i="83"/>
  <c r="D43" i="83"/>
  <c r="J9" i="83"/>
  <c r="G36"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C39" i="83"/>
  <c r="C40" i="83"/>
  <c r="E39" i="83"/>
  <c r="E40" i="83"/>
  <c r="J10"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L51" i="15"/>
  <c r="D2" i="36"/>
  <c r="D2" i="34"/>
  <c r="D2" i="37"/>
  <c r="D19" i="9"/>
  <c r="D2" i="35"/>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10" i="1"/>
  <c r="AO7" i="1"/>
  <c r="AO11" i="1"/>
  <c r="AO12" i="1"/>
  <c r="D20" i="9"/>
  <c r="AO8" i="1"/>
  <c r="AO9"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B22" i="72"/>
  <c r="D6" i="53"/>
  <c r="E97" i="9"/>
  <c r="E96" i="9"/>
  <c r="C96" i="9"/>
  <c r="C5" i="74"/>
  <c r="P57" i="9"/>
  <c r="N58" i="9"/>
  <c r="B49" i="72"/>
  <c r="D5" i="52"/>
  <c r="D119" i="9"/>
  <c r="B30" i="72"/>
  <c r="D52" i="9"/>
  <c r="D53" i="9"/>
  <c r="D8" i="52"/>
  <c r="C6" i="74"/>
  <c r="H108" i="9"/>
  <c r="D15" i="53"/>
  <c r="B31" i="72"/>
  <c r="H4" i="52"/>
  <c r="C104" i="9"/>
  <c r="B53" i="72"/>
  <c r="F5" i="52"/>
  <c r="F119" i="9"/>
  <c r="I4" i="52"/>
  <c r="C105" i="9"/>
  <c r="D5" i="53"/>
  <c r="B20" i="72"/>
  <c r="M54" i="9"/>
  <c r="D56" i="9"/>
  <c r="D58" i="9"/>
  <c r="C85" i="9"/>
  <c r="C95" i="9"/>
  <c r="C97" i="9"/>
  <c r="H119" i="9"/>
  <c r="H5" i="52"/>
  <c r="D59" i="9"/>
  <c r="M55" i="9"/>
  <c r="E4" i="52"/>
  <c r="B48" i="72"/>
  <c r="M48" i="9"/>
  <c r="H102" i="9"/>
  <c r="D7" i="53"/>
  <c r="B21" i="72"/>
  <c r="N60" i="9"/>
  <c r="D55" i="9"/>
  <c r="M53" i="9"/>
  <c r="N57" i="9"/>
  <c r="N59" i="9"/>
  <c r="N61" i="9"/>
  <c r="D13" i="53"/>
  <c r="D14" i="53"/>
  <c r="B32" i="72"/>
  <c r="C78" i="9"/>
  <c r="C73" i="9"/>
  <c r="G4" i="52"/>
  <c r="B52" i="72"/>
  <c r="H107" i="9"/>
  <c r="D122" i="9"/>
  <c r="D123" i="9"/>
  <c r="D9" i="52"/>
  <c r="C93" i="9"/>
  <c r="C86" i="9"/>
  <c r="E118" i="9"/>
  <c r="D118" i="9"/>
  <c r="D4" i="52"/>
  <c r="B47" i="72"/>
  <c r="G118" i="9"/>
  <c r="F118" i="9"/>
  <c r="F4" i="52"/>
  <c r="B51" i="72"/>
  <c r="C81" i="9"/>
  <c r="C72" i="9"/>
  <c r="C79" i="9"/>
  <c r="C80" i="9"/>
  <c r="E80" i="9"/>
  <c r="E81" i="9"/>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<sst xmlns="http://schemas.openxmlformats.org/spreadsheetml/2006/main" count="8513" uniqueCount="3613">
  <si>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</si>
  <si>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</si>
  <si>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</si>
  <si>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</si>
  <si>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</si>
  <si>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</si>
  <si>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</si>
  <si>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</si>
  <si>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</si>
  <si>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</si>
  <si>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</si>
  <si>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</si>
  <si>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</si>
  <si>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</si>
  <si>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</si>
  <si>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</si>
  <si>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</si>
  <si>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</si>
  <si>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</si>
  <si>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</si>
  <si>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</si>
  <si>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</si>
  <si>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</si>
  <si>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</si>
  <si>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</si>
  <si>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</si>
  <si>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</si>
  <si>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</si>
  <si>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</si>
  <si>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</si>
  <si>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</si>
  <si>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</si>
  <si>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</si>
  <si>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</si>
  <si>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</si>
  <si>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</si>
  <si>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</si>
  <si>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</si>
  <si>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</si>
  <si>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</si>
  <si>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</si>
  <si>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</si>
  <si>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</si>
  <si>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</si>
  <si>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</si>
  <si>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</si>
  <si>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</si>
  <si>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</si>
  <si>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</si>
  <si>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</si>
  <si>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</si>
  <si>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</si>
  <si>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</si>
  <si>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</si>
  <si>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</si>
  <si>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</si>
  <si>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</si>
  <si>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</si>
  <si>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</si>
  <si>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</si>
  <si>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</si>
  <si>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</si>
  <si>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</si>
  <si>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</si>
  <si>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</si>
  <si>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</si>
  <si>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</si>
  <si>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</si>
  <si>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</si>
  <si>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</si>
  <si>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</si>
  <si>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</si>
  <si>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</si>
  <si>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</si>
  <si>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</si>
  <si>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</si>
  <si>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</si>
  <si>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</si>
  <si>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</si>
  <si>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</si>
  <si>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</si>
  <si>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</si>
  <si>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</si>
  <si>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</si>
  <si>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</si>
  <si>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</si>
  <si>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</si>
  <si>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</si>
  <si>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</si>
  <si>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</si>
  <si>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</si>
  <si>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</si>
  <si>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</si>
  <si>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</si>
  <si>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</si>
  <si>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</si>
  <si>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</si>
  <si>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</si>
  <si>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</si>
  <si>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</si>
  <si>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</si>
  <si>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</si>
  <si>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</si>
  <si>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</si>
  <si>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</si>
  <si>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</si>
  <si>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</si>
  <si>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</si>
  <si>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</si>
  <si>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</si>
  <si>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</si>
  <si>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</si>
  <si>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</si>
  <si>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</si>
  <si>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</si>
  <si>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</si>
  <si>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</si>
  <si>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</si>
  <si>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</si>
  <si>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</si>
  <si>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</si>
  <si>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</si>
  <si>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</si>
  <si>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</si>
  <si>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</si>
  <si>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</si>
  <si>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</si>
  <si>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</si>
  <si>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</si>
  <si>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</si>
  <si>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</si>
  <si>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</si>
  <si>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</si>
  <si>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</si>
  <si>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</si>
  <si>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</si>
  <si>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</si>
  <si>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</si>
  <si>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</si>
  <si>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</si>
  <si>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</si>
  <si>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</si>
  <si>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</si>
  <si>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</si>
  <si>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</si>
  <si>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</si>
  <si>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</si>
  <si>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</si>
  <si>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</si>
  <si>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</si>
  <si>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</si>
  <si>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</si>
  <si>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</si>
  <si>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</si>
  <si>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</si>
  <si>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</si>
  <si>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</si>
  <si>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</si>
  <si>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</si>
  <si>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</si>
  <si>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</si>
  <si>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</si>
  <si>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</si>
  <si>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</si>
  <si>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</si>
  <si>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</si>
  <si>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</si>
  <si>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</si>
  <si>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</si>
  <si>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</si>
  <si>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</si>
  <si>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</si>
  <si>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</si>
  <si>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</si>
  <si>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</si>
  <si>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</si>
  <si>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</si>
  <si>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</si>
  <si>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</si>
  <si>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</si>
  <si>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</si>
  <si>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</si>
  <si>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</si>
  <si>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</si>
  <si>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</si>
  <si>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</si>
  <si>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</si>
  <si>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</si>
  <si>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</si>
  <si>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</si>
  <si>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</si>
  <si>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</si>
  <si>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</si>
  <si>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</si>
  <si>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</si>
  <si>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</si>
  <si>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</si>
  <si>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</si>
  <si>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</si>
  <si>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</si>
  <si>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</si>
  <si>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</si>
  <si>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</si>
  <si>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</si>
  <si>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</si>
  <si>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</si>
  <si>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</si>
  <si>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</si>
  <si>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</si>
  <si>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</si>
  <si>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</si>
  <si>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</si>
  <si>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</si>
  <si>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</si>
  <si>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</si>
  <si>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</si>
  <si>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</si>
  <si>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</si>
  <si>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</si>
  <si>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</si>
  <si>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</si>
  <si>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</si>
  <si>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</si>
  <si>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</si>
  <si>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</si>
  <si>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</si>
  <si>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</si>
  <si>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</si>
  <si>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</si>
  <si>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</si>
  <si>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</si>
  <si>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</si>
  <si>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</si>
  <si>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</si>
  <si>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</si>
  <si>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</si>
  <si>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</si>
  <si>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</si>
  <si>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</si>
  <si>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</si>
  <si>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</si>
  <si>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</si>
  <si>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</si>
  <si>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</si>
  <si>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</si>
  <si>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</si>
  <si>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</si>
  <si>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</si>
  <si>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</si>
  <si>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</si>
  <si>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</si>
  <si>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</si>
  <si>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</si>
  <si>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</si>
  <si>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</si>
  <si>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</si>
  <si>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</si>
  <si>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</si>
  <si>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</si>
  <si>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</si>
  <si>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</si>
  <si>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</si>
  <si>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</si>
  <si>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</si>
  <si>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</si>
  <si>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</si>
  <si>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</si>
  <si>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</si>
  <si>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</si>
  <si>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</si>
  <si>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</si>
  <si>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</si>
  <si>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</si>
  <si>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</si>
  <si>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</si>
  <si>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</si>
  <si>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</si>
  <si>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</si>
  <si>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</si>
  <si>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</si>
  <si>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</si>
  <si>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</si>
  <si>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</si>
  <si>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</si>
  <si>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</si>
  <si>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</si>
  <si>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</si>
  <si>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</si>
  <si>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</si>
  <si>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</si>
  <si>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</si>
  <si>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</si>
  <si>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</si>
  <si>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</si>
  <si>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</si>
  <si>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</si>
  <si>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</si>
  <si>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</si>
  <si>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</si>
  <si>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</si>
  <si>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</si>
  <si>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</si>
  <si>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</si>
  <si>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</si>
  <si>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</si>
  <si>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</si>
  <si>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</si>
  <si>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</si>
  <si>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</si>
  <si>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</si>
  <si>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</si>
  <si>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</si>
  <si>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</si>
  <si>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</si>
  <si>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</si>
  <si>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</si>
  <si>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</si>
  <si>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</si>
  <si>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</si>
  <si>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</si>
  <si>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</si>
  <si>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</si>
  <si>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</si>
  <si>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</si>
  <si>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</si>
  <si>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</si>
  <si>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</si>
  <si>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</si>
  <si>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</si>
  <si>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</si>
  <si>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</si>
  <si>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</si>
  <si>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</si>
  <si>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</si>
  <si>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</si>
  <si>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</si>
  <si>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</si>
  <si>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</si>
  <si>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</si>
  <si>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</si>
  <si>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</si>
  <si>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</si>
  <si>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</si>
  <si>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</si>
  <si>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</si>
  <si>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</si>
  <si>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</si>
  <si>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</si>
  <si>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</si>
  <si>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</si>
  <si>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</si>
  <si>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</si>
  <si>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</si>
  <si>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</si>
  <si>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</si>
  <si>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</si>
  <si>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</si>
  <si>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</si>
  <si>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</si>
  <si>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</si>
  <si>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</si>
  <si>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</si>
  <si>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</si>
  <si>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</si>
  <si>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</si>
  <si>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</si>
  <si>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</si>
  <si>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</si>
  <si>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</si>
  <si>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</si>
  <si>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</si>
  <si>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</si>
  <si>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</si>
  <si>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</si>
  <si>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</si>
  <si>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</si>
  <si>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</si>
  <si>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</si>
  <si>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</si>
  <si>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</si>
  <si>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</si>
  <si>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</si>
  <si>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</si>
  <si>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</si>
  <si>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</si>
  <si>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</si>
  <si>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</si>
  <si>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</si>
  <si>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</si>
  <si>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</si>
  <si>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</si>
  <si>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</si>
  <si>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</si>
  <si>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</si>
  <si>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</si>
  <si>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</si>
  <si>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</si>
  <si>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</si>
  <si>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</si>
  <si>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</si>
  <si>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</si>
  <si>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</si>
  <si>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</si>
  <si>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</si>
  <si>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</si>
  <si>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</si>
  <si>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</si>
  <si>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</si>
  <si>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</si>
  <si>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</si>
  <si>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</si>
  <si>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</si>
  <si>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</si>
  <si>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</si>
  <si>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</si>
  <si>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</si>
  <si>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</si>
  <si>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</si>
  <si>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</si>
  <si>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</si>
  <si>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</si>
  <si>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</si>
  <si>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</si>
  <si>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</si>
  <si>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</si>
  <si>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</si>
  <si>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</si>
  <si>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</si>
  <si>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</si>
  <si>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</si>
  <si>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</si>
  <si>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</si>
  <si>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</si>
  <si>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</si>
  <si>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</si>
  <si>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</si>
  <si>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</si>
  <si>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</si>
  <si>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</si>
  <si>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</si>
  <si>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</si>
  <si>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</si>
  <si>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</si>
  <si>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</si>
  <si>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</si>
  <si>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</si>
  <si>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</si>
  <si>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</si>
  <si>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</si>
  <si>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</si>
  <si>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</si>
  <si>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</si>
  <si>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</si>
  <si>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</si>
  <si>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</si>
  <si>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</si>
  <si>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</si>
  <si>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</si>
  <si>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</si>
  <si>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</si>
  <si>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</si>
  <si>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</si>
  <si>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</si>
  <si>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</si>
  <si>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</si>
  <si>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</si>
  <si>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</si>
  <si>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</si>
  <si>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</si>
  <si>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</si>
  <si>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</si>
  <si>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</si>
  <si>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</si>
  <si>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</si>
  <si>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</si>
  <si>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</si>
  <si>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</si>
  <si>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</si>
  <si>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</si>
  <si>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</si>
  <si>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</si>
  <si>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</si>
  <si>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</si>
  <si>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</si>
  <si>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</si>
  <si>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</si>
  <si>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</si>
  <si>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</si>
  <si>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</si>
  <si>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</si>
  <si>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</si>
  <si>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</si>
  <si>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</si>
  <si>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</si>
  <si>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</si>
  <si>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</si>
  <si>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</si>
  <si>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</si>
  <si>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</si>
  <si>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</si>
  <si>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</si>
  <si>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</si>
  <si>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</si>
  <si>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</si>
  <si>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</si>
  <si>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</si>
  <si>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</si>
  <si>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</si>
  <si>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</si>
  <si>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</si>
  <si>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</si>
  <si>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</si>
  <si>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</si>
  <si>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</si>
  <si>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</si>
  <si>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</si>
  <si>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</si>
  <si>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</si>
  <si>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</si>
  <si>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</si>
  <si>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</si>
  <si>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</si>
  <si>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</si>
  <si>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</si>
  <si>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</si>
  <si>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</si>
  <si>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</si>
  <si>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</si>
  <si>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</si>
  <si>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</si>
  <si>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</si>
  <si>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</si>
  <si>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</si>
  <si>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</si>
  <si>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</si>
  <si>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</si>
  <si>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</si>
  <si>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</si>
  <si>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</si>
  <si>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</si>
  <si>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</si>
  <si>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</si>
  <si>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</si>
  <si>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</si>
  <si>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</si>
  <si>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</si>
  <si>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</si>
  <si>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</si>
  <si>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</si>
  <si>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</si>
  <si>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</si>
  <si>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</si>
  <si>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</si>
  <si>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</si>
  <si>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</si>
  <si>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</si>
  <si>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</si>
  <si>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</si>
  <si>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</si>
  <si>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</si>
  <si>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</si>
  <si>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</si>
  <si>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</si>
  <si>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</si>
  <si>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</si>
  <si>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</si>
  <si>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</si>
  <si>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</si>
  <si>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</si>
  <si>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</si>
  <si>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</si>
  <si>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</si>
  <si>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</si>
  <si>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</si>
  <si>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</si>
  <si>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</si>
  <si>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</si>
  <si>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</si>
  <si>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</si>
  <si>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</si>
  <si>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</si>
  <si>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</si>
  <si>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</si>
  <si>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</si>
  <si>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</si>
  <si>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</si>
  <si>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</si>
  <si>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</si>
  <si>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</si>
  <si>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</si>
  <si>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</si>
  <si>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</si>
  <si>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</si>
  <si>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</si>
  <si>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</si>
  <si>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</si>
  <si>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</si>
  <si>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</si>
  <si>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</si>
  <si>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</si>
  <si>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</si>
  <si>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</si>
  <si>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</si>
  <si>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</si>
  <si>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</si>
  <si>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</si>
  <si>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</si>
  <si>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</si>
  <si>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</si>
  <si>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</si>
  <si>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</si>
  <si>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</si>
  <si>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</si>
  <si>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</si>
  <si>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</si>
  <si>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</si>
  <si>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</si>
  <si>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</si>
  <si>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</si>
  <si>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</si>
  <si>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</si>
  <si>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</si>
  <si>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</si>
  <si>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</si>
  <si>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</si>
  <si>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</si>
  <si>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</si>
  <si>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</si>
  <si>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</si>
  <si>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</si>
  <si>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</si>
  <si>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</si>
  <si>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</si>
  <si>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</si>
  <si>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</si>
  <si>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</si>
  <si>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</si>
  <si>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</si>
  <si>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</si>
  <si>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</si>
  <si>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</si>
  <si>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</si>
  <si>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</si>
  <si>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</si>
  <si>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</si>
  <si>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</si>
  <si>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</si>
  <si>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</si>
  <si>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</si>
  <si>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</si>
  <si>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</si>
  <si>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</si>
  <si>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</si>
  <si>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</si>
  <si>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</si>
  <si>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</si>
  <si>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</si>
  <si>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</si>
  <si>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</si>
  <si>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</si>
  <si>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</si>
  <si>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</si>
  <si>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</si>
  <si>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</si>
  <si>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</si>
  <si>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</si>
  <si>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</si>
  <si>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</si>
  <si>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</si>
  <si>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</si>
  <si>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</si>
  <si>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</si>
  <si>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</si>
  <si>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</si>
  <si>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</si>
  <si>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</si>
  <si>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</si>
  <si>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</si>
  <si>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</si>
  <si>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</si>
  <si>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</si>
  <si>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</si>
  <si>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</si>
  <si>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</si>
  <si>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</si>
  <si>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</si>
  <si>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</si>
  <si>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</si>
  <si>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</si>
  <si>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</si>
  <si>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</si>
  <si>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</si>
  <si>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</si>
  <si>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</si>
  <si>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</si>
  <si>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</si>
  <si>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</si>
  <si>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</si>
  <si>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</si>
  <si>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</si>
  <si>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</si>
  <si>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</si>
  <si>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</si>
  <si>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</si>
  <si>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</si>
  <si>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</si>
  <si>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</si>
  <si>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</si>
  <si>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</si>
  <si>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</si>
  <si>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</si>
  <si>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</si>
  <si>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</si>
  <si>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</si>
  <si>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</si>
  <si>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</si>
  <si>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</si>
  <si>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</si>
  <si>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</si>
  <si>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</si>
  <si>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</si>
  <si>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</si>
  <si>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</si>
  <si>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</si>
  <si>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</si>
  <si>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</si>
  <si>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</si>
  <si>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</si>
  <si>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</si>
  <si>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</si>
  <si>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</si>
  <si>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</si>
  <si>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</si>
  <si>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</si>
  <si>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</si>
  <si>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</si>
  <si>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</si>
  <si>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</si>
  <si>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</si>
  <si>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</si>
  <si>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</si>
  <si>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</si>
  <si>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</si>
  <si>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</si>
  <si>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</si>
  <si>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</si>
  <si>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</si>
  <si>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</si>
  <si>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</si>
  <si>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</si>
  <si>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</si>
  <si>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</si>
  <si>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</si>
  <si>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</si>
  <si>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</si>
  <si>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</si>
  <si>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</si>
  <si>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</si>
  <si>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</si>
  <si>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</si>
  <si>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</si>
  <si>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</si>
  <si>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</si>
  <si>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</si>
  <si>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</si>
  <si>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</si>
  <si>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</si>
  <si>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</si>
  <si>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</si>
  <si>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</si>
  <si>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</si>
  <si>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</si>
  <si>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</si>
  <si>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</si>
  <si>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</si>
  <si>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</si>
  <si>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</si>
  <si>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</si>
  <si>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</si>
  <si>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</si>
  <si>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</si>
  <si>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</si>
  <si>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</si>
  <si>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</si>
  <si>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</si>
  <si>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</si>
  <si>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</si>
  <si>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</si>
  <si>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</si>
  <si>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</si>
  <si>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</si>
  <si>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</si>
  <si>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</si>
  <si>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</si>
  <si>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</si>
  <si>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</si>
  <si>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</si>
  <si>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</si>
  <si>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</si>
  <si>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</si>
  <si>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</si>
  <si>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</si>
  <si>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</si>
  <si>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</si>
  <si>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</si>
  <si>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</si>
  <si>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</si>
  <si>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</si>
  <si>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</si>
  <si>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</si>
  <si>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</si>
  <si>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</si>
  <si>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</si>
  <si>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</si>
  <si>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</si>
  <si>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</si>
  <si>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</si>
  <si>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</si>
  <si>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</si>
  <si>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</si>
  <si>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</si>
  <si>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</si>
  <si>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</si>
  <si>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</si>
  <si>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</si>
  <si>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</si>
  <si>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</si>
  <si>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</si>
  <si>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</si>
  <si>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</si>
  <si>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</si>
  <si>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</si>
  <si>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</si>
  <si>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</si>
  <si>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</si>
  <si>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</si>
  <si>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</si>
  <si>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</si>
  <si>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</si>
  <si>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</si>
  <si>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</si>
  <si>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</si>
  <si>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</si>
  <si>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</si>
  <si>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</si>
  <si>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</si>
  <si>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</si>
  <si>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</si>
  <si>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</si>
  <si>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</si>
  <si>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</si>
  <si>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</si>
  <si>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</si>
  <si>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</si>
  <si>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</si>
  <si>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</si>
  <si>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</si>
  <si>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</si>
  <si>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</si>
  <si>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</si>
  <si>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</si>
  <si>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</si>
  <si>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</si>
  <si>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</si>
  <si>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</si>
  <si>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</si>
  <si>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</si>
  <si>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</si>
  <si>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</si>
  <si>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</si>
  <si>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</si>
  <si>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</si>
  <si>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</si>
  <si>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</si>
  <si>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</si>
  <si>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</si>
  <si>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</si>
  <si>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</si>
  <si>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</si>
  <si>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</si>
  <si>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</si>
  <si>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</si>
  <si>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</si>
  <si>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</si>
  <si>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</si>
  <si>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</si>
  <si>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</si>
  <si>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</si>
  <si>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</si>
  <si>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</si>
  <si>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</si>
  <si>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</si>
  <si>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</si>
  <si>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</si>
  <si>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</si>
  <si>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</si>
  <si>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</si>
  <si>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</si>
  <si>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</si>
  <si>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</si>
  <si>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</si>
  <si>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</si>
  <si>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</si>
  <si>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</si>
  <si>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</si>
  <si>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</si>
  <si>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</si>
  <si>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</si>
  <si>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</si>
  <si>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</si>
  <si>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</si>
  <si>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</si>
  <si>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</si>
  <si>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</si>
  <si>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</si>
  <si>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</si>
  <si>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</si>
  <si>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</si>
  <si>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</si>
  <si>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</si>
  <si>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</si>
  <si>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</si>
  <si>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</si>
  <si>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</si>
  <si>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</si>
  <si>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</si>
  <si>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</si>
  <si>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</si>
  <si>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</si>
  <si>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</si>
  <si>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</si>
  <si>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</si>
  <si>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</si>
  <si>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</si>
  <si>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</si>
  <si>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</si>
  <si>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</si>
  <si>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</si>
  <si>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</si>
  <si>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</si>
  <si>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</si>
  <si>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</si>
  <si>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</si>
  <si>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</si>
  <si>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</si>
  <si>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</si>
  <si>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</si>
  <si>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</si>
  <si>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</si>
  <si>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</si>
  <si>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</si>
  <si>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</si>
  <si>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</si>
  <si>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</si>
  <si>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</si>
  <si>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</si>
  <si>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</si>
  <si>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</si>
  <si>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</si>
  <si>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</si>
  <si>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</si>
  <si>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</si>
  <si>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</si>
  <si>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</si>
  <si>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</si>
  <si>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</si>
  <si>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</si>
  <si>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</si>
  <si>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</si>
  <si>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</si>
  <si>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</si>
  <si>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</si>
  <si>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</si>
  <si>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</si>
  <si>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</si>
  <si>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</si>
  <si>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</si>
  <si>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</si>
  <si>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</si>
  <si>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</si>
  <si>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</si>
  <si>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</si>
  <si>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</si>
  <si>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</si>
  <si>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</si>
  <si>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</si>
  <si>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</si>
  <si>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</si>
  <si>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</si>
  <si>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</si>
  <si>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</si>
  <si>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</si>
  <si>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</si>
  <si>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</si>
  <si>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</si>
  <si>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</si>
  <si>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</si>
  <si>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</si>
  <si>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</si>
  <si>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</si>
  <si>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</si>
  <si>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</si>
  <si>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</si>
  <si>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</si>
  <si>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</si>
  <si>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</si>
  <si>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</si>
  <si>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</si>
  <si>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</si>
  <si>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</si>
  <si>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</si>
  <si>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</si>
  <si>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</si>
  <si>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</si>
  <si>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</si>
  <si>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</si>
  <si>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</si>
  <si>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</si>
  <si>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</si>
  <si>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</si>
  <si>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</si>
  <si>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</si>
  <si>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</si>
  <si>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</si>
  <si>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</si>
  <si>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</si>
  <si>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</si>
  <si>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</si>
  <si>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</si>
  <si>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</si>
  <si>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</si>
  <si>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</si>
  <si>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</si>
  <si>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</si>
  <si>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</si>
  <si>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</si>
  <si>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</si>
  <si>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</si>
  <si>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</si>
  <si>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</si>
  <si>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</si>
  <si>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</si>
  <si>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</si>
  <si>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</si>
  <si>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</si>
  <si>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</si>
  <si>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</si>
  <si>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</si>
  <si>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</si>
  <si>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</si>
  <si>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</si>
  <si>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</si>
  <si>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</si>
  <si>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</si>
  <si>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</si>
  <si>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</si>
  <si>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</si>
  <si>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</si>
  <si>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</si>
  <si>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</si>
  <si>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</si>
  <si>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</si>
  <si>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</si>
  <si>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</si>
  <si>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</si>
  <si>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</si>
  <si>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</si>
  <si>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</si>
  <si>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</si>
  <si>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</si>
  <si>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</si>
  <si>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</si>
  <si>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</si>
  <si>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</si>
  <si>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</si>
  <si>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</si>
  <si>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</si>
  <si>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</si>
  <si>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</si>
  <si>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</si>
  <si>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</si>
  <si>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</si>
  <si>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</si>
  <si>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</si>
  <si>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</si>
  <si>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</si>
  <si>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</si>
  <si>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</si>
  <si>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</si>
  <si>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</si>
  <si>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</si>
  <si>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</si>
  <si>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</si>
  <si>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</si>
  <si>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</si>
  <si>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</si>
  <si>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</si>
  <si>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</si>
  <si>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</si>
  <si>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</si>
  <si>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</si>
  <si>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</si>
  <si>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</si>
  <si>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</si>
  <si>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</si>
  <si>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</si>
  <si>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</si>
  <si>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</si>
  <si>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</si>
  <si>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</si>
  <si>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</si>
  <si>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</si>
  <si>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</si>
  <si>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</si>
  <si>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</si>
  <si>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</si>
  <si>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</si>
  <si>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</si>
  <si>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</si>
  <si>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</si>
  <si>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</si>
  <si>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</si>
  <si>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</si>
  <si>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</si>
  <si>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</si>
  <si>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</si>
  <si>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</si>
  <si>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</si>
  <si>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</si>
  <si>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</si>
  <si>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</si>
  <si>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</si>
  <si>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</si>
  <si>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</si>
  <si>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</si>
  <si>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</si>
  <si>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</si>
  <si>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</si>
  <si>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</si>
  <si>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</si>
  <si>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</si>
  <si>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</si>
  <si>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</si>
  <si>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</si>
  <si>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</si>
  <si>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</si>
  <si>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</si>
  <si>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</si>
  <si>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</si>
  <si>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</si>
  <si>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</si>
  <si>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</si>
  <si>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</si>
  <si>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</si>
  <si>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</si>
  <si>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</si>
  <si>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</si>
  <si>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</si>
  <si>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</si>
  <si>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</si>
  <si>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</si>
  <si>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</si>
  <si>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</si>
  <si>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</si>
  <si>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</si>
  <si>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</si>
  <si>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</si>
  <si>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</si>
  <si>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</si>
  <si>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</si>
  <si>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</si>
  <si>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</si>
  <si>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</si>
  <si>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</si>
  <si>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</si>
  <si>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</si>
  <si>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</si>
  <si>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</si>
  <si>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</si>
  <si>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</si>
  <si>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</si>
  <si>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</si>
  <si>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</si>
  <si>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</si>
  <si>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</si>
  <si>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</si>
  <si>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</si>
  <si>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</si>
  <si>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</si>
  <si>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</si>
  <si>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</si>
  <si>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</si>
  <si>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</si>
  <si>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</si>
  <si>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</si>
  <si>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</si>
  <si>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</si>
  <si>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</si>
  <si>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</si>
  <si>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</si>
  <si>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</si>
  <si>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</si>
  <si>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</si>
  <si>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</si>
  <si>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</si>
  <si>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</si>
  <si>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</si>
  <si>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</si>
  <si>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</si>
  <si>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</si>
  <si>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</si>
  <si>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</si>
  <si>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</si>
  <si>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</si>
  <si>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</si>
  <si>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</si>
  <si>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</si>
  <si>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</si>
  <si>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</si>
  <si>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</si>
  <si>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</si>
  <si>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</si>
  <si>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</si>
  <si>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</si>
  <si>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</si>
  <si>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</si>
  <si>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</si>
  <si>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</si>
  <si>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</si>
  <si>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</si>
  <si>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</si>
  <si>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</si>
  <si>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</si>
  <si>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</si>
  <si>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</si>
  <si>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</si>
  <si>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</si>
  <si>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</si>
  <si>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</si>
  <si>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</si>
  <si>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</si>
  <si>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</si>
  <si>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</si>
  <si>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</si>
  <si>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</si>
  <si>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</si>
  <si>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</si>
  <si>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</si>
  <si>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</si>
  <si>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</si>
  <si>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</si>
  <si>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</si>
  <si>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</si>
  <si>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</si>
  <si>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</si>
  <si>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</si>
  <si>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</si>
  <si>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</si>
  <si>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</si>
  <si>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</si>
  <si>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</si>
  <si>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</si>
  <si>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</si>
  <si>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</si>
  <si>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</si>
  <si>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</si>
  <si>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</si>
  <si>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</si>
  <si>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</si>
  <si>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</si>
  <si>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</si>
  <si>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</si>
  <si>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</si>
  <si>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</si>
  <si>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</si>
  <si>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</si>
  <si>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</si>
  <si>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</si>
  <si>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</si>
  <si>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</si>
  <si>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</si>
  <si>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</si>
  <si>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</si>
  <si>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</si>
  <si>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</si>
  <si>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</si>
  <si>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</si>
  <si>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</si>
  <si>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</si>
  <si>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</si>
  <si>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</si>
  <si>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</si>
  <si>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</si>
  <si>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</si>
  <si>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</si>
  <si>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</si>
  <si>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</si>
  <si>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</si>
  <si>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</si>
  <si>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</si>
  <si>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</si>
  <si>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</si>
  <si>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</si>
  <si>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</si>
  <si>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</si>
  <si>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</si>
  <si>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</si>
  <si>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</si>
  <si>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</si>
  <si>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</si>
  <si>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</si>
  <si>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</si>
  <si>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</si>
  <si>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</si>
  <si>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</si>
  <si>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</si>
  <si>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</si>
  <si>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</si>
  <si>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</si>
  <si>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</si>
  <si>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</si>
  <si>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</si>
  <si>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</si>
  <si>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</si>
  <si>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</si>
  <si>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</si>
  <si>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</si>
  <si>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</si>
  <si>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</si>
  <si>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</si>
  <si>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</si>
  <si>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</si>
  <si>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</si>
  <si>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</si>
  <si>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</si>
  <si>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</si>
  <si>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</si>
  <si>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</si>
  <si>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</si>
  <si>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</si>
  <si>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</si>
  <si>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</si>
  <si>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</si>
  <si>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</si>
  <si>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</si>
  <si>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</si>
  <si>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</si>
  <si>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</si>
  <si>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</si>
  <si>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</si>
  <si>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</si>
  <si>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</si>
  <si>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</si>
  <si>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</si>
  <si>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</si>
  <si>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</si>
  <si>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</si>
  <si>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</si>
  <si>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</si>
  <si>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</si>
  <si>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</si>
  <si>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</si>
  <si>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</si>
  <si>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</si>
  <si>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</si>
  <si>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</si>
  <si>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</si>
  <si>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</si>
  <si>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</si>
  <si>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</si>
  <si>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</si>
  <si>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</si>
  <si>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</si>
  <si>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</si>
  <si>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</si>
  <si>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</si>
  <si>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</si>
  <si>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</si>
  <si>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</si>
  <si>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</si>
  <si>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</si>
  <si>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</si>
  <si>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</si>
  <si>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</si>
  <si>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</si>
  <si>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</si>
  <si>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</si>
  <si>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</si>
  <si>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</si>
  <si>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</si>
  <si>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</si>
  <si>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</si>
  <si>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</si>
  <si>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</si>
  <si>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</si>
  <si>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</si>
  <si>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</si>
  <si>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</si>
  <si>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</si>
  <si>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</si>
  <si>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</si>
  <si>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</si>
  <si>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</si>
  <si>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</si>
  <si>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</si>
  <si>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</si>
  <si>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</si>
  <si>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</si>
  <si>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</si>
  <si>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</si>
  <si>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</si>
  <si>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</si>
  <si>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</si>
  <si>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</si>
  <si>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</si>
  <si>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</si>
  <si>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</si>
  <si>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</si>
  <si>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</si>
  <si>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</si>
  <si>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</si>
  <si>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</si>
  <si>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</si>
  <si>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</si>
  <si>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</si>
  <si>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</si>
  <si>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</si>
  <si>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</si>
  <si>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</si>
  <si>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</si>
  <si>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</si>
  <si>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</si>
  <si>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</si>
  <si>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</si>
  <si>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</si>
  <si>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</si>
  <si>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</si>
  <si>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</si>
  <si>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</si>
  <si>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</si>
  <si>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</si>
  <si>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</si>
  <si>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</si>
  <si>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</si>
  <si>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</si>
  <si>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</si>
  <si>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</si>
  <si>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</si>
  <si>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</si>
  <si>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</si>
  <si>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</si>
  <si>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</si>
  <si>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</si>
  <si>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</si>
  <si>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</si>
  <si>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</si>
  <si>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</si>
  <si>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</si>
  <si>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</si>
  <si>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</si>
  <si>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</si>
  <si>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</si>
  <si>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</si>
  <si>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</si>
  <si>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</si>
  <si>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</si>
  <si>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</si>
  <si>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</si>
  <si>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</si>
  <si>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</si>
  <si>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</si>
  <si>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</si>
  <si>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</si>
  <si>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</si>
  <si>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</si>
  <si>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</si>
  <si>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</si>
  <si>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</si>
  <si>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</si>
  <si>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</si>
  <si>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</si>
  <si>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</si>
  <si>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</si>
  <si>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</si>
  <si>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</si>
  <si>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</si>
  <si>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</si>
  <si>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</si>
  <si>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</si>
  <si>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</si>
  <si>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</si>
  <si>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</si>
  <si>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</si>
  <si>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</si>
  <si>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</si>
  <si>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</si>
  <si>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</si>
  <si>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</si>
  <si>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</si>
  <si>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</si>
  <si>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</si>
  <si>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</si>
  <si>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</si>
  <si>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</si>
  <si>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</si>
  <si>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</si>
  <si>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</si>
  <si>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</si>
  <si>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</si>
  <si>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</si>
  <si>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</si>
  <si>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</si>
  <si>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</si>
  <si>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</si>
  <si>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</si>
  <si>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</si>
  <si>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</si>
  <si>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</si>
  <si>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</si>
  <si>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</si>
  <si>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</si>
  <si>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</si>
  <si>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</si>
  <si>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</si>
  <si>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</si>
  <si>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</si>
  <si>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</si>
  <si>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</si>
  <si>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</si>
  <si>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</si>
  <si>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</si>
  <si>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</si>
  <si>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</si>
  <si>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</si>
  <si>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</si>
  <si>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</si>
  <si>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</si>
  <si>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</si>
  <si>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</si>
  <si>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</si>
  <si>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</si>
  <si>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</si>
  <si>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</si>
  <si>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</si>
  <si>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</si>
  <si>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</si>
  <si>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</si>
  <si>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</si>
  <si>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</si>
  <si>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</si>
  <si>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</si>
  <si>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</si>
  <si>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</si>
  <si>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</si>
  <si>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</si>
  <si>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</si>
  <si>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</si>
  <si>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</si>
  <si>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</si>
  <si>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</si>
  <si>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</si>
  <si>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</si>
  <si>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</si>
  <si>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</si>
  <si>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</si>
  <si>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</si>
  <si>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</si>
  <si>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</si>
  <si>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</si>
  <si>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</si>
  <si>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</si>
  <si>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</si>
  <si>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</si>
  <si>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</si>
  <si>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</si>
  <si>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</si>
  <si>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</si>
  <si>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</si>
  <si>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</si>
  <si>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</si>
  <si>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</si>
  <si>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</si>
  <si>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</si>
  <si>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</si>
  <si>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</si>
  <si>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</si>
  <si>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</si>
  <si>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</si>
  <si>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</si>
  <si>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</si>
  <si>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</si>
  <si>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</si>
  <si>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</si>
  <si>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</si>
  <si>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</si>
  <si>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</si>
  <si>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</si>
  <si>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</si>
  <si>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</si>
  <si>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</si>
  <si>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</si>
  <si>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</si>
  <si>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</si>
  <si>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</si>
  <si>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</si>
  <si>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</si>
  <si>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</si>
  <si>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</si>
  <si>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</si>
  <si>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</si>
  <si>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</si>
  <si>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</si>
  <si>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</si>
  <si>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</si>
  <si>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</si>
  <si>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</si>
  <si>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</si>
  <si>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</si>
  <si>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</si>
  <si>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</si>
  <si>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</si>
  <si>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</si>
  <si>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</si>
  <si>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</si>
  <si>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</si>
  <si>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</si>
  <si>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</si>
  <si>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</si>
  <si>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</si>
  <si>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</si>
  <si>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</si>
  <si>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</si>
  <si>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</si>
  <si>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</si>
  <si>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</si>
  <si>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</si>
  <si>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</si>
  <si>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</si>
  <si>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</si>
  <si>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</si>
  <si>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</si>
  <si>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</si>
  <si>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</si>
  <si>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</si>
  <si>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</si>
  <si>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</si>
  <si>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</si>
  <si>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</si>
  <si>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</si>
  <si>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</si>
  <si>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</si>
  <si>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</si>
  <si>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</si>
  <si>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</si>
  <si>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</si>
  <si>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</si>
  <si>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</si>
  <si>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</si>
  <si>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</si>
  <si>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</si>
  <si>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</si>
  <si>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</si>
  <si>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</si>
  <si>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</si>
  <si>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</si>
  <si>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</si>
  <si>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</si>
  <si>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</si>
  <si>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</si>
  <si>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</si>
  <si>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</si>
  <si>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</si>
  <si>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</si>
  <si>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</si>
  <si>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</si>
  <si>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</si>
  <si>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</si>
  <si>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</si>
  <si>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</si>
  <si>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</si>
  <si>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</si>
  <si>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</si>
  <si>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</si>
  <si>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</si>
  <si>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</si>
  <si>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</si>
  <si>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</si>
  <si>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</si>
  <si>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</si>
  <si>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</si>
  <si>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</si>
  <si>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</si>
  <si>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</si>
  <si>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</si>
  <si>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</si>
  <si>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</si>
  <si>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</si>
  <si>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</si>
  <si>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</si>
  <si>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</si>
  <si>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</si>
  <si>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</si>
  <si>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</si>
  <si>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</si>
  <si>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</si>
  <si>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</si>
  <si>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</si>
  <si>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</si>
  <si>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</si>
  <si>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</si>
  <si>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</si>
  <si>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</si>
  <si>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</si>
  <si>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</si>
  <si>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</si>
  <si>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</si>
  <si>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</si>
  <si>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</si>
  <si>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</si>
  <si>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</si>
  <si>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</si>
  <si>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</si>
  <si>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</si>
  <si>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</si>
  <si>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</si>
  <si>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</si>
  <si>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</si>
  <si>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</si>
  <si>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</si>
  <si>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</si>
  <si>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</si>
  <si>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</si>
  <si>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</si>
  <si>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</si>
  <si>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</si>
  <si>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</si>
  <si>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</si>
  <si>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</si>
  <si>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</si>
  <si>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</si>
  <si>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</si>
  <si>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</si>
  <si>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</si>
  <si>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</si>
  <si>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</si>
  <si>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</si>
  <si>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</si>
  <si>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</si>
  <si>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</si>
  <si>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</si>
  <si>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</si>
  <si>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</si>
  <si>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</si>
  <si>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</si>
  <si>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</si>
  <si>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</si>
  <si>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</si>
  <si>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</si>
  <si>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</si>
  <si>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</si>
  <si>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</si>
  <si>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</si>
  <si>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</si>
  <si>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</si>
  <si>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</si>
  <si>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</si>
  <si>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</si>
  <si>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</si>
  <si>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</si>
  <si>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</si>
  <si>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</si>
  <si>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</si>
  <si>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</si>
  <si>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</si>
  <si>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</si>
  <si>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</si>
  <si>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</si>
  <si>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</si>
  <si>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</si>
  <si>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</si>
  <si>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</si>
  <si>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</si>
  <si>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</si>
  <si>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</si>
  <si>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</si>
  <si>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</si>
  <si>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</si>
  <si>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</si>
  <si>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</si>
  <si>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</si>
  <si>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</si>
  <si>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</si>
  <si>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</si>
  <si>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</si>
  <si>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</si>
  <si>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</si>
  <si>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</si>
  <si>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</si>
  <si>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</si>
  <si>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</si>
  <si>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</si>
  <si>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</si>
  <si>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</si>
  <si>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</si>
  <si>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</si>
  <si>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</si>
  <si>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</si>
  <si>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</si>
  <si>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</si>
  <si>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</si>
  <si>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</si>
  <si>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</si>
  <si>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</si>
  <si>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</si>
  <si>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</si>
  <si>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</si>
  <si>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</si>
  <si>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</si>
  <si>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</si>
  <si>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</si>
  <si>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</si>
  <si>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</si>
  <si>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</si>
  <si>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</si>
  <si>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</si>
  <si>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</si>
  <si>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</si>
  <si>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</si>
  <si>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</si>
  <si>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</si>
  <si>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</si>
  <si>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</si>
  <si>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</si>
  <si>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</si>
  <si>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</si>
  <si>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</si>
  <si>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</si>
  <si>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</si>
  <si>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</si>
  <si>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</si>
  <si>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</si>
  <si>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</si>
  <si>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</si>
  <si>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</si>
  <si>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</si>
  <si>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</si>
  <si>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</si>
  <si>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</si>
  <si>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</si>
  <si>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</si>
  <si>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</si>
  <si>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</si>
  <si>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</si>
  <si>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</si>
  <si>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</si>
  <si>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</si>
  <si>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</si>
  <si>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</si>
  <si>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</si>
  <si>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</si>
  <si>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</si>
  <si>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</si>
  <si>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</si>
  <si>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</si>
  <si>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</si>
  <si>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</si>
  <si>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</si>
  <si>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</si>
  <si>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</si>
  <si>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</si>
  <si>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</si>
  <si>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</si>
  <si>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</si>
  <si>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</si>
  <si>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</si>
  <si>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</si>
  <si>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</si>
  <si>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</si>
  <si>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</si>
  <si>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</si>
  <si>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</si>
  <si>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</si>
  <si>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</si>
  <si>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</si>
  <si>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</si>
  <si>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</si>
  <si>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</si>
  <si>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</si>
  <si>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</si>
  <si>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</si>
  <si>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</si>
  <si>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</si>
  <si>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</si>
  <si>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</si>
  <si>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</si>
  <si>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</si>
  <si>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</si>
  <si>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</si>
  <si>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</si>
  <si>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</si>
  <si>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</si>
  <si>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</si>
  <si>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</si>
  <si>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</si>
  <si>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</si>
  <si>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</si>
  <si>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</si>
  <si>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</si>
  <si>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</si>
  <si>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</si>
  <si>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</si>
  <si>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</si>
  <si>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</si>
  <si>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</si>
  <si>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</si>
  <si>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</si>
  <si>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</si>
  <si>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</si>
  <si>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</si>
  <si>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</si>
  <si>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</si>
  <si>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</si>
  <si>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</si>
  <si>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</si>
  <si>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</si>
  <si>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</si>
  <si>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</si>
  <si>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</si>
  <si>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</si>
  <si>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</si>
  <si>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</si>
  <si>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</si>
  <si>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</si>
  <si>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</si>
  <si>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</si>
  <si>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</si>
  <si>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</si>
  <si>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</si>
  <si>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</si>
  <si>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</si>
  <si>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</si>
  <si>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</si>
  <si>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</si>
  <si>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</si>
  <si>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</si>
  <si>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</si>
  <si>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</si>
  <si>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</si>
  <si>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</si>
  <si>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</si>
  <si>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</si>
  <si>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</si>
  <si>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</si>
  <si>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</si>
  <si>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</si>
  <si>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</si>
  <si>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</si>
  <si>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</si>
  <si>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</si>
  <si>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</si>
  <si>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</si>
  <si>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</si>
  <si>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</si>
  <si>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</si>
  <si>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</si>
  <si>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</si>
  <si>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</si>
  <si>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</si>
  <si>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</si>
  <si>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</si>
  <si>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</si>
  <si>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</si>
  <si>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</si>
  <si>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</si>
  <si>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</si>
  <si>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</si>
  <si>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</si>
  <si>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</si>
  <si>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</si>
  <si>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</si>
  <si>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</si>
  <si>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</si>
  <si>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</si>
  <si>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</si>
  <si>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</si>
  <si>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</si>
  <si>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</si>
  <si>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</si>
  <si>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</si>
  <si>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</si>
  <si>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</si>
  <si>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</si>
  <si>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</si>
  <si>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</si>
  <si>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</si>
  <si>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</si>
  <si>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</si>
  <si>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</si>
  <si>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</si>
  <si>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</si>
  <si>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</si>
  <si>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</si>
  <si>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</si>
  <si>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</si>
  <si>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</si>
  <si>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</si>
  <si>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</si>
  <si>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</si>
  <si>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</si>
  <si>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</si>
  <si>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</si>
  <si>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</si>
  <si>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</si>
  <si>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</si>
  <si>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</si>
  <si>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</si>
  <si>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</si>
  <si>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</si>
  <si>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</si>
  <si>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</si>
  <si>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</si>
  <si>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</si>
  <si>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</si>
  <si>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</si>
  <si>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</si>
  <si>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</si>
  <si>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</si>
  <si>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</si>
  <si>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</si>
  <si>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</si>
  <si>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</si>
  <si>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</si>
  <si>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</si>
  <si>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</si>
  <si>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</si>
  <si>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</si>
  <si>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</si>
  <si>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</si>
  <si>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</si>
  <si>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</si>
  <si>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</si>
  <si>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</si>
  <si>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</si>
  <si>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</si>
  <si>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</si>
  <si>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</si>
  <si>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</si>
  <si>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</si>
  <si>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</si>
  <si>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</si>
  <si>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</si>
  <si>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</si>
  <si>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</si>
  <si>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</si>
  <si>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</si>
  <si>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</si>
  <si>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</si>
  <si>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</si>
  <si>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</si>
  <si>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</si>
  <si>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</si>
  <si>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</si>
  <si>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</si>
  <si>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</si>
  <si>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</si>
  <si>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</si>
  <si>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</si>
  <si>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</si>
  <si>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</si>
  <si>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</si>
  <si>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</si>
  <si>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</si>
  <si>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</si>
  <si>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</si>
  <si>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</si>
  <si>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</si>
  <si>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</si>
  <si>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</si>
  <si>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</si>
  <si>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</si>
  <si>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</si>
  <si>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</si>
  <si>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</si>
  <si>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</si>
  <si>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</si>
  <si>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</si>
  <si>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</si>
  <si>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</si>
  <si>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</si>
  <si>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</si>
  <si>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</si>
  <si>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</si>
  <si>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</si>
  <si>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</si>
  <si>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</si>
  <si>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</si>
  <si>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</si>
  <si>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</si>
  <si>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</si>
  <si>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</si>
  <si>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</si>
  <si>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</si>
  <si>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</si>
  <si>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</si>
  <si>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</si>
  <si>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</si>
  <si>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</si>
  <si>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</si>
  <si>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</si>
  <si>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</si>
  <si>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</si>
  <si>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</si>
  <si>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</si>
  <si>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</si>
  <si>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</si>
  <si>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</si>
  <si>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</si>
  <si>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</si>
  <si>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</si>
  <si>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</si>
  <si>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</si>
  <si>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</si>
  <si>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</si>
  <si>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</si>
  <si>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</si>
  <si>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</si>
  <si>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</si>
  <si>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</si>
  <si>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</si>
  <si>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</si>
  <si>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</si>
  <si>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</si>
  <si>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</si>
  <si>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</si>
  <si>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</si>
  <si>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</si>
  <si>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</si>
  <si>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</si>
  <si>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</si>
  <si>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</si>
  <si>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</si>
  <si>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</si>
  <si>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</si>
  <si>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</si>
  <si>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</si>
  <si>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</si>
  <si>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</si>
  <si>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</si>
  <si>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</si>
  <si>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</si>
  <si>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</si>
  <si>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</si>
  <si>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</si>
  <si>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</si>
  <si>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</si>
  <si>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</si>
  <si>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</si>
  <si>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</si>
  <si>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</si>
  <si>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</si>
  <si>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</si>
  <si>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</si>
  <si>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</si>
  <si>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</si>
  <si>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</si>
  <si>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</si>
  <si>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</si>
  <si>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</si>
  <si>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</si>
  <si>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</si>
  <si>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</si>
  <si>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</si>
  <si>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</si>
  <si>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</si>
  <si>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</si>
  <si>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</si>
  <si>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</si>
  <si>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</si>
  <si>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</si>
  <si>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</si>
  <si>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</si>
  <si>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</si>
  <si>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</si>
  <si>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</si>
  <si>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</si>
  <si>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</si>
  <si>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</si>
  <si>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</si>
  <si>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</si>
  <si>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</si>
  <si>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</si>
  <si>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</si>
  <si>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</si>
  <si>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</si>
  <si>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</si>
  <si>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</si>
  <si>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</si>
  <si>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</si>
  <si>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</si>
  <si>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</si>
  <si>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</si>
  <si>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</si>
  <si>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</si>
  <si>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</si>
  <si>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</si>
  <si>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</si>
  <si>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</si>
  <si>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</si>
  <si>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</si>
  <si>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</si>
  <si>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</si>
  <si>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</si>
  <si>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</si>
  <si>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</si>
  <si>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</si>
  <si>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</si>
  <si>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</si>
  <si>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</si>
  <si>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</si>
  <si>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</si>
  <si>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</si>
  <si>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</si>
  <si>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</si>
  <si>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</si>
  <si>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</si>
  <si>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</si>
  <si>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</si>
  <si>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</si>
  <si>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</si>
  <si>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</si>
  <si>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</si>
  <si>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</si>
  <si>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</si>
  <si>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</si>
  <si>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</si>
  <si>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</si>
  <si>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</si>
  <si>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</si>
  <si>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</si>
  <si>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</si>
  <si>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</si>
  <si>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</si>
  <si>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</si>
  <si>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</si>
  <si>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</si>
  <si>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</si>
  <si>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</si>
  <si>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</si>
  <si>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</si>
  <si>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</si>
  <si>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</si>
  <si>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</si>
  <si>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</si>
  <si>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</si>
  <si>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</si>
  <si>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</si>
  <si>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</si>
  <si>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</si>
  <si>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</si>
  <si>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</si>
  <si>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</si>
  <si>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</si>
  <si>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</si>
  <si>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</si>
  <si>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</si>
  <si>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</si>
  <si>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</si>
  <si>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</si>
  <si>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</si>
  <si>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</si>
  <si>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</si>
  <si>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</si>
  <si>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</si>
  <si>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</si>
  <si>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</si>
  <si>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</si>
  <si>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</si>
  <si>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</si>
  <si>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</si>
  <si>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</si>
  <si>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</si>
  <si>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</si>
  <si>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</si>
  <si>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</si>
  <si>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</si>
  <si>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</si>
  <si>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</si>
  <si>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</si>
  <si>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</si>
  <si>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</si>
  <si>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</si>
  <si>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</si>
  <si>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</si>
  <si>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</si>
  <si>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</si>
  <si>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</si>
  <si>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</si>
  <si>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</si>
  <si>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</si>
  <si>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</si>
  <si>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</si>
  <si>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</si>
  <si>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</si>
  <si>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</si>
  <si>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</si>
  <si>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</si>
  <si>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</si>
  <si>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</si>
  <si>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</si>
  <si>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</si>
  <si>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</si>
  <si>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</si>
  <si>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</si>
  <si>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</si>
  <si>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</si>
  <si>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</si>
  <si>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</si>
  <si>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</si>
  <si>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</si>
  <si>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</si>
  <si>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</si>
  <si>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</si>
  <si>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</si>
  <si>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</si>
  <si>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</si>
  <si>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</si>
  <si>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</si>
  <si>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</si>
  <si>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</si>
  <si>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</si>
  <si>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</si>
  <si>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</si>
  <si>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</si>
  <si>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</si>
  <si>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</si>
  <si>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</si>
  <si>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</si>
  <si>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</si>
  <si>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</si>
  <si>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</si>
  <si>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</si>
  <si>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</si>
  <si>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</si>
  <si>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</si>
  <si>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</si>
  <si>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</si>
  <si>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</si>
  <si>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</si>
  <si>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</si>
  <si>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</si>
  <si>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</si>
  <si>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</si>
  <si>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</si>
  <si>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</si>
  <si>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</si>
  <si>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</si>
  <si>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</si>
  <si>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</si>
  <si>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</si>
  <si>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</si>
  <si>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</si>
  <si>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</si>
  <si>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</si>
  <si>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</si>
  <si>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</si>
  <si>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</si>
  <si>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</si>
  <si>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</si>
  <si>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</si>
  <si>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</si>
  <si>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</si>
  <si>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</si>
  <si>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</si>
  <si>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</si>
  <si>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</si>
  <si>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</si>
  <si>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</si>
  <si>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</si>
  <si>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</si>
  <si>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</si>
  <si>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</si>
  <si>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</si>
  <si>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</si>
  <si>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</si>
  <si>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</si>
  <si>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</si>
  <si>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</si>
  <si>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</si>
  <si>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</si>
  <si>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</si>
  <si>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</si>
  <si>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</si>
  <si>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</si>
  <si>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</si>
  <si>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</si>
  <si>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</si>
  <si>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</si>
  <si>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</si>
  <si>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</si>
  <si>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</si>
  <si>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</si>
  <si>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</si>
  <si>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</si>
  <si>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</si>
  <si>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</si>
  <si>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</si>
  <si>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</si>
  <si>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</si>
  <si>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</si>
  <si>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</si>
  <si>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</si>
  <si>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</si>
  <si>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</si>
  <si>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</si>
  <si>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</si>
  <si>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</si>
  <si>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</si>
  <si>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</si>
  <si>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</si>
  <si>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</si>
  <si>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</si>
  <si>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</si>
  <si>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</si>
  <si>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</si>
  <si>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</si>
  <si>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</si>
  <si>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</si>
  <si>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</si>
  <si>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</si>
  <si>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</si>
  <si>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</si>
  <si>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</si>
  <si>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</si>
  <si>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</si>
  <si>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</si>
  <si>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</si>
  <si>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</si>
  <si>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</si>
  <si>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</si>
  <si>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</si>
  <si>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</si>
  <si>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</si>
  <si>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</si>
  <si>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</si>
  <si>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</si>
  <si>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</si>
  <si>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</si>
  <si>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</si>
  <si>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</si>
  <si>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</si>
  <si>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</si>
  <si>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</si>
  <si>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</si>
  <si>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</si>
  <si>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</si>
  <si>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</si>
  <si>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</si>
  <si>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</si>
  <si>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</si>
  <si>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</si>
  <si>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</si>
  <si>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</si>
  <si>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</si>
  <si>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</si>
  <si>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</si>
  <si>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</si>
  <si>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</si>
  <si>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</si>
  <si>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</si>
  <si>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</si>
  <si>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</si>
  <si>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</si>
  <si>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</si>
  <si>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</si>
  <si>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</si>
  <si>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</si>
  <si>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</si>
  <si>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</si>
  <si>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</si>
  <si>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</si>
  <si>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</si>
  <si>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</si>
  <si>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</si>
  <si>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</si>
  <si>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</si>
  <si>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</si>
  <si>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</si>
  <si>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</si>
  <si>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</si>
  <si>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</si>
  <si>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</si>
  <si>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</si>
  <si>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</si>
  <si>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</si>
  <si>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</si>
  <si>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</si>
  <si>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</si>
  <si>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</si>
  <si>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</si>
  <si>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</si>
  <si>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</si>
  <si>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</si>
  <si>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</si>
  <si>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</si>
  <si>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</si>
  <si>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</si>
  <si>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</si>
  <si>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</si>
  <si>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</si>
  <si>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</si>
  <si>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</si>
  <si>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</si>
  <si>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</si>
  <si>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</si>
  <si>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</si>
  <si>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</si>
  <si>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</si>
  <si>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</si>
  <si>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</si>
  <si>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</si>
  <si>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</si>
  <si>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</si>
  <si>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</si>
  <si>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</si>
  <si>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</si>
  <si>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</si>
  <si>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</si>
  <si>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</si>
  <si>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</si>
  <si>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</si>
  <si>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</si>
  <si>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</si>
  <si>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</si>
  <si>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</si>
  <si>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</si>
  <si>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</si>
  <si>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</si>
  <si>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</si>
  <si>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</si>
  <si>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</si>
  <si>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</si>
  <si>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</si>
  <si>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</si>
  <si>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</si>
  <si>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</si>
  <si>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</si>
  <si>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</si>
  <si>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</si>
  <si>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</si>
  <si>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</si>
  <si>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</si>
  <si>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</si>
  <si>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</si>
  <si>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</si>
  <si>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</si>
  <si>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</si>
  <si>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</si>
  <si>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</si>
  <si>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</si>
  <si>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</si>
  <si>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</si>
  <si>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</si>
  <si>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</si>
  <si>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</si>
  <si>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</si>
  <si>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</si>
  <si>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</si>
  <si>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</si>
  <si>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</si>
  <si>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</si>
  <si>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</si>
  <si>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</si>
  <si>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</si>
  <si>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</si>
  <si>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</si>
  <si>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</si>
  <si>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</si>
  <si>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</si>
  <si>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</si>
  <si>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</si>
  <si>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</si>
  <si>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</si>
  <si>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</si>
  <si>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</si>
  <si>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</si>
  <si>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</si>
  <si>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</si>
  <si>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</si>
  <si>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</si>
  <si>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</si>
  <si>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</si>
  <si>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</si>
  <si>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</si>
  <si>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</si>
  <si>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</si>
  <si>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</si>
  <si>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</si>
  <si>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</si>
  <si>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</si>
  <si>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</si>
  <si>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</si>
  <si>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</si>
  <si>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</si>
  <si>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</si>
  <si>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</si>
  <si>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</si>
  <si>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</si>
  <si>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</si>
  <si>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</si>
  <si>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</si>
  <si>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</si>
  <si>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</si>
  <si>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</si>
  <si>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</si>
  <si>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</si>
  <si>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</si>
  <si>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</si>
  <si>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</si>
  <si>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</si>
  <si>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</si>
  <si>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</si>
  <si>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</si>
  <si>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</si>
  <si>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</si>
  <si>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</si>
  <si>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</si>
  <si>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</si>
  <si>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</si>
  <si>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</si>
  <si>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</si>
  <si>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</si>
  <si>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</si>
  <si>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</si>
  <si>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</si>
  <si>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</si>
  <si>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</si>
  <si>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</si>
  <si>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</si>
  <si>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</si>
  <si>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</si>
  <si>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</si>
  <si>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</si>
  <si>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</si>
  <si>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</si>
  <si>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</si>
  <si>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</si>
  <si>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</si>
  <si>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</si>
  <si>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</si>
  <si>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</si>
  <si>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</si>
  <si>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</si>
  <si>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</si>
  <si>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</si>
  <si>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</si>
  <si>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</si>
  <si>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</si>
  <si>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</si>
  <si>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</si>
  <si>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</si>
  <si>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</si>
  <si>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</si>
  <si>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</si>
  <si>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</si>
  <si>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</si>
  <si>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</si>
  <si>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</si>
  <si>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</si>
  <si>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</si>
  <si>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</si>
  <si>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</si>
  <si>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</si>
  <si>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</si>
  <si>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</si>
  <si>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</si>
  <si>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</si>
  <si>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</si>
  <si>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</si>
  <si>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</si>
  <si>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</si>
  <si>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</si>
  <si>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</si>
  <si>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</si>
  <si>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</si>
  <si>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</si>
  <si>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</si>
  <si>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</si>
  <si>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</si>
  <si>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</si>
  <si>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</si>
  <si>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</si>
  <si>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</si>
  <si>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</si>
  <si>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</si>
  <si>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</si>
  <si>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</si>
  <si>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</si>
  <si>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</si>
  <si>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</si>
  <si>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</si>
  <si>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</si>
  <si>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</si>
  <si>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</si>
  <si>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</si>
  <si>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</si>
  <si>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</si>
  <si>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</si>
  <si>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</si>
  <si>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</si>
  <si>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</si>
  <si>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</si>
  <si>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</si>
  <si>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</si>
  <si>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</si>
  <si>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</si>
  <si>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</si>
  <si>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</si>
  <si>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</si>
  <si>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</si>
  <si>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</si>
  <si>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</si>
  <si>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</si>
  <si>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</si>
  <si>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</si>
  <si>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</si>
  <si>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</si>
  <si>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</si>
  <si>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</si>
  <si>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</si>
  <si>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</si>
  <si>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</si>
  <si>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</si>
  <si>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</si>
  <si>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</si>
  <si>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</si>
  <si>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</si>
  <si>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</si>
  <si>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</si>
  <si>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</si>
  <si>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</si>
  <si>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</si>
  <si>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</si>
  <si>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</si>
  <si>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</si>
  <si>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</si>
  <si>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</si>
  <si>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</si>
  <si>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</si>
  <si>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</si>
  <si>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</si>
  <si>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</si>
  <si>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</si>
  <si>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</si>
  <si>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</si>
  <si>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</si>
  <si>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</si>
  <si>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</si>
  <si>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</si>
  <si>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</si>
  <si>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</si>
  <si>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</si>
  <si>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</si>
  <si>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</si>
  <si>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</si>
  <si>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</si>
  <si>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</si>
  <si>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</si>
  <si>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</si>
  <si>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</si>
  <si>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</si>
  <si>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</si>
  <si>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</si>
  <si>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</si>
  <si>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</si>
  <si>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</si>
  <si>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</si>
  <si>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</si>
  <si>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</si>
  <si>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</si>
  <si>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</si>
  <si>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</si>
  <si>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</si>
  <si>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</si>
  <si>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</si>
  <si>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</si>
  <si>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</si>
  <si>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</si>
  <si>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</si>
  <si>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</si>
  <si>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</si>
  <si>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</si>
  <si>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</si>
  <si>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</si>
  <si>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</si>
  <si>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</si>
  <si>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</si>
  <si>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</si>
  <si>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</si>
  <si>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</si>
  <si>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</si>
  <si>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</si>
  <si>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</si>
  <si>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</si>
  <si>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</si>
  <si>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</si>
  <si>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</si>
  <si>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</si>
  <si>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</si>
  <si>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</si>
  <si>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</si>
  <si>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</si>
  <si>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</si>
  <si>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</si>
  <si>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</si>
  <si>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</si>
  <si>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</si>
  <si>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</si>
  <si>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</si>
  <si>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</si>
  <si>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</si>
  <si>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</si>
  <si>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</si>
  <si>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</si>
  <si>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</si>
  <si>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</si>
  <si>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</si>
  <si>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</si>
  <si>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</si>
  <si>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</si>
  <si>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</si>
  <si>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</si>
  <si>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</si>
  <si>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</si>
  <si>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</si>
  <si>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</si>
  <si>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</si>
  <si>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</si>
  <si>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</si>
  <si>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</si>
  <si>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</si>
  <si>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</si>
  <si>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</si>
  <si>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</si>
  <si>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</si>
  <si>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</si>
  <si>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</si>
  <si>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</si>
  <si>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</si>
  <si>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</si>
  <si>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</si>
  <si>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</si>
  <si>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</si>
  <si>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</si>
  <si>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</si>
  <si>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</si>
  <si>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</si>
  <si>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</si>
  <si>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</si>
  <si>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</si>
  <si>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</si>
  <si>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</si>
  <si>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</si>
  <si>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</si>
  <si>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</si>
  <si>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</si>
  <si>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</si>
  <si>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</si>
  <si>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</si>
  <si>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</si>
  <si>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</si>
  <si>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</si>
  <si>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</si>
  <si>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</si>
  <si>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</si>
  <si>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</si>
  <si>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</si>
  <si>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</si>
  <si>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</si>
  <si>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</si>
  <si>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</si>
  <si>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</si>
  <si>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</si>
  <si>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</si>
  <si>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</si>
  <si>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</si>
  <si>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</si>
  <si>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</si>
  <si>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</si>
  <si>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</si>
  <si>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</si>
  <si>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</si>
  <si>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</si>
  <si>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</si>
  <si>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</si>
  <si>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</si>
  <si>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</si>
  <si>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</si>
  <si>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</si>
  <si>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</si>
  <si>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</si>
  <si>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</si>
  <si>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</si>
  <si>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</si>
  <si>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</si>
  <si>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</si>
  <si>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</si>
  <si>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</si>
  <si>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</si>
  <si>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</si>
  <si>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</si>
  <si>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</si>
  <si>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</si>
  <si>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</si>
  <si>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</si>
  <si>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</si>
  <si>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</si>
  <si>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</si>
  <si>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</si>
  <si>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</si>
  <si>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</si>
  <si>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</si>
  <si>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</si>
  <si>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</si>
  <si>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</si>
  <si>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</si>
  <si>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</si>
  <si>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</si>
  <si>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</si>
  <si>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</si>
  <si>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</si>
  <si>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</si>
  <si>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</si>
  <si>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</si>
  <si>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</si>
  <si>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</si>
  <si>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</si>
  <si>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</si>
  <si>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</si>
  <si>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</si>
  <si>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</si>
  <si>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</si>
  <si>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</si>
  <si>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</si>
  <si>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</si>
  <si>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</si>
  <si>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</si>
  <si>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</si>
  <si>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</si>
  <si>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</si>
  <si>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</si>
  <si>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</si>
  <si>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</si>
  <si>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</si>
  <si>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</si>
  <si>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</si>
  <si>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</si>
  <si>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</si>
  <si>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</si>
  <si>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</si>
  <si>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</si>
  <si>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</si>
  <si>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</si>
  <si>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</si>
  <si>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</si>
  <si>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</si>
  <si>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</si>
  <si>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</si>
  <si>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</si>
  <si>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</si>
  <si>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</si>
  <si>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</si>
  <si>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</si>
  <si>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</si>
  <si>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</si>
  <si>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</si>
  <si>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</si>
  <si>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</si>
  <si>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</si>
  <si>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</si>
  <si>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</si>
  <si>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</si>
  <si>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</si>
  <si>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</si>
  <si>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</si>
  <si>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</si>
  <si>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</si>
  <si>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</si>
  <si>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</si>
  <si>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</si>
  <si>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</si>
  <si>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</si>
  <si>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</si>
  <si>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</si>
  <si>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</si>
  <si>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</si>
  <si>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</si>
  <si>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</si>
  <si>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</si>
  <si>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</si>
  <si>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</si>
  <si>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</si>
  <si>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</si>
  <si>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</si>
  <si>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</si>
  <si>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</si>
  <si>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</si>
  <si>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</si>
  <si>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</si>
  <si>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</si>
  <si>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</si>
  <si>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</si>
  <si>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</si>
  <si>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</si>
  <si>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</si>
  <si>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</si>
  <si>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</si>
  <si>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</si>
  <si>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</si>
  <si>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</si>
  <si>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</si>
  <si>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</si>
  <si>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</si>
  <si>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</si>
  <si>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</si>
  <si>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</si>
  <si>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</si>
  <si>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</si>
  <si>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</si>
  <si>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</si>
  <si>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</si>
  <si>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</si>
  <si>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</si>
  <si>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</si>
  <si>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</si>
  <si>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</si>
  <si>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</si>
  <si>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</si>
  <si>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</si>
  <si>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</si>
  <si>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</si>
  <si>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</si>
  <si>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</si>
  <si>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</si>
  <si>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</si>
  <si>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</si>
  <si>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</si>
  <si>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</si>
  <si>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</si>
  <si>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</si>
  <si>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</si>
  <si>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</si>
  <si>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</si>
  <si>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</si>
  <si>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</si>
  <si>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</si>
  <si>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</si>
  <si>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</si>
  <si>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</si>
  <si>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</si>
  <si>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</si>
  <si>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</si>
  <si>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</si>
  <si>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</si>
  <si>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</si>
  <si>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</si>
  <si>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</si>
  <si>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</si>
  <si>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</si>
  <si>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</si>
  <si>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</si>
  <si>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</si>
  <si>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</si>
  <si>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</si>
  <si>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</si>
  <si>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</si>
  <si>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</si>
  <si>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</si>
  <si>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</si>
  <si>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</si>
  <si>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</si>
  <si>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</si>
  <si>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</si>
  <si>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</si>
  <si>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</si>
  <si>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</si>
  <si>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</si>
  <si>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</si>
  <si>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</si>
  <si>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</si>
  <si>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</si>
  <si>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</si>
  <si>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</si>
  <si>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</si>
  <si>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</si>
  <si>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</si>
  <si>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</si>
  <si>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</si>
  <si>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</si>
  <si>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</si>
  <si>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</si>
  <si>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</si>
  <si>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</si>
  <si>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</si>
  <si>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</si>
  <si>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</si>
  <si>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</si>
  <si>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</si>
  <si>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</si>
  <si>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</si>
  <si>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</si>
  <si>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</si>
  <si>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</si>
  <si>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</si>
  <si>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</si>
  <si>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</si>
  <si>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</si>
  <si>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</si>
  <si>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</si>
  <si>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</si>
  <si>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</si>
  <si>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</si>
  <si>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</si>
  <si>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</si>
  <si>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</si>
  <si>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</si>
  <si>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</si>
  <si>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</si>
  <si>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</si>
  <si>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</si>
  <si>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</si>
  <si>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</si>
  <si>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</si>
  <si>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</si>
  <si>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</si>
  <si>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</si>
  <si>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</si>
  <si>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</si>
  <si>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</si>
  <si>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</si>
  <si>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</si>
  <si>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</si>
  <si>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</si>
  <si>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</si>
  <si>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</si>
  <si>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</si>
  <si>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</si>
  <si>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</si>
  <si>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</si>
  <si>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</si>
  <si>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</si>
  <si>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</si>
  <si>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</si>
  <si>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</si>
  <si>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</si>
  <si>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</si>
  <si>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</si>
  <si>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</si>
  <si>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</si>
  <si>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</si>
  <si>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</si>
  <si>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</si>
  <si>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</si>
  <si>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</si>
  <si>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</si>
  <si>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</si>
  <si>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</si>
  <si>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</si>
  <si>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</si>
  <si>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</si>
  <si>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</si>
  <si>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</si>
  <si>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</si>
  <si>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</si>
  <si>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</si>
  <si>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</si>
  <si>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</si>
  <si>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</si>
  <si>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</si>
  <si>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</si>
  <si>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</si>
  <si>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</si>
  <si>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</si>
  <si>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</si>
  <si>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</si>
  <si>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</si>
  <si>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</si>
  <si>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</si>
  <si>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</si>
  <si>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</si>
  <si>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</si>
  <si>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</si>
  <si>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</si>
  <si>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</si>
  <si>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</si>
  <si>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</si>
  <si>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</si>
  <si>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</si>
  <si>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</si>
  <si>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</si>
  <si>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</si>
  <si>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</si>
  <si>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</si>
  <si>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</si>
  <si>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</si>
  <si>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</si>
  <si>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</si>
  <si>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</si>
  <si>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</si>
  <si>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</si>
  <si>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</si>
  <si>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</si>
  <si>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</si>
  <si>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</si>
  <si>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</si>
  <si>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</si>
  <si>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</si>
  <si>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</si>
  <si>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</si>
  <si>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</si>
  <si>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</si>
  <si>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</si>
  <si>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</si>
  <si>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</si>
  <si>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</si>
  <si>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</si>
  <si>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</si>
  <si>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</si>
  <si>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</si>
  <si>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</si>
  <si>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</si>
  <si>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</si>
  <si>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</si>
  <si>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</si>
  <si>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</si>
  <si>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</si>
  <si>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</si>
  <si>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</si>
  <si>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</si>
  <si>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</si>
  <si>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</si>
  <si>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</si>
  <si>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</si>
  <si>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</si>
  <si>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</si>
  <si>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</si>
  <si>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</si>
  <si>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</si>
  <si>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</si>
  <si>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</si>
  <si>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</si>
  <si>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</si>
  <si>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</si>
  <si>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</si>
  <si>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</si>
  <si>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</si>
  <si>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</si>
  <si>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</si>
  <si>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</si>
  <si>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</si>
  <si>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</si>
  <si>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</si>
  <si>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</si>
  <si>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</si>
  <si>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</si>
  <si>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</si>
  <si>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</si>
  <si>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</si>
  <si>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</si>
  <si>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</si>
  <si>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</si>
  <si>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</si>
  <si>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</si>
  <si>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</si>
  <si>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</si>
  <si>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</si>
  <si>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</si>
  <si>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</si>
  <si>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</si>
  <si>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</si>
  <si>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</si>
  <si>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</si>
  <si>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</si>
  <si>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</si>
  <si>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</si>
  <si>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</si>
  <si>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</si>
  <si>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</si>
  <si>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</si>
  <si>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</si>
  <si>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</si>
  <si>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</si>
  <si>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</si>
  <si>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</si>
  <si>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</si>
  <si>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</si>
  <si>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</si>
  <si>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</si>
  <si>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</si>
  <si>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</si>
  <si>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</si>
  <si>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</si>
  <si>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</si>
  <si>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</si>
  <si>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</si>
  <si>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</si>
  <si>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</si>
  <si>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</si>
  <si>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</si>
  <si>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</si>
  <si>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</si>
  <si>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</si>
  <si>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</si>
  <si>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</si>
  <si>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</si>
  <si>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</si>
  <si>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</si>
  <si>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</si>
  <si>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</si>
  <si>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</si>
  <si>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</si>
  <si>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</si>
  <si>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</si>
  <si>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</si>
  <si>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</si>
  <si>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</si>
  <si>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</si>
  <si>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</si>
  <si>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</si>
  <si>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</si>
  <si>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</si>
  <si>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</si>
  <si>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</si>
  <si>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</si>
  <si>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</si>
  <si>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</si>
  <si>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</si>
  <si>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</si>
  <si>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</si>
  <si>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</si>
  <si>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</si>
  <si>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</si>
  <si>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</si>
  <si>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</si>
  <si>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</si>
  <si>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</si>
  <si>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</si>
  <si>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</si>
  <si>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</si>
  <si>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</si>
  <si>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</si>
  <si>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</si>
  <si>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</si>
  <si>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</si>
  <si>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</si>
  <si>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</si>
  <si>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</si>
  <si>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</si>
  <si>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</si>
  <si>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</si>
  <si>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</si>
  <si>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</si>
  <si>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</si>
  <si>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</si>
  <si>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</si>
  <si>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</si>
  <si>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</si>
  <si>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</si>
  <si>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</si>
  <si>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</si>
  <si>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</si>
  <si>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</si>
  <si>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</si>
  <si>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</si>
  <si>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</si>
  <si>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</si>
  <si>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</si>
  <si>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</si>
  <si>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</si>
  <si>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</si>
  <si>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</si>
  <si>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</si>
  <si>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</si>
  <si>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</si>
  <si>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</si>
  <si>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</si>
  <si>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</si>
  <si>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</si>
  <si>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</si>
  <si>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</si>
  <si>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</si>
  <si>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</si>
  <si>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</si>
  <si>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</si>
  <si>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</si>
  <si>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</si>
  <si>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</si>
  <si>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</si>
  <si>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</si>
  <si>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</si>
  <si>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</si>
  <si>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</si>
  <si>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</si>
  <si>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</si>
  <si>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</si>
  <si>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</si>
  <si>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</si>
  <si>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</si>
  <si>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</si>
  <si>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</si>
  <si>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</si>
  <si>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</si>
  <si>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</si>
  <si>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</si>
  <si>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</si>
  <si>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</si>
  <si>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</si>
  <si>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</si>
  <si>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</si>
  <si>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</si>
  <si>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</si>
  <si>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</si>
  <si>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</si>
  <si>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</si>
  <si>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</si>
  <si>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</si>
  <si>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</si>
  <si>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</si>
  <si>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</si>
  <si>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</si>
  <si>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</si>
  <si>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</si>
  <si>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</si>
  <si>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</si>
  <si>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</si>
  <si>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</si>
  <si>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</si>
  <si>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</si>
  <si>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</si>
  <si>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</si>
  <si>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</si>
  <si>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</si>
  <si>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</si>
  <si>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</si>
  <si>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</si>
  <si>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</si>
  <si>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</si>
  <si>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</si>
  <si>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</si>
  <si>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</si>
  <si>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</si>
  <si>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</si>
  <si>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</si>
  <si>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</si>
  <si>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</si>
  <si>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</si>
  <si>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</si>
  <si>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</si>
  <si>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</si>
  <si>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</si>
  <si>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</si>
  <si>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</si>
  <si>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</si>
  <si>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</si>
  <si>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</si>
  <si>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</si>
  <si>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</si>
  <si>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</si>
  <si>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</si>
  <si>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</si>
  <si>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</si>
  <si>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</si>
  <si>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</si>
  <si>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</si>
  <si>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</si>
  <si>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</si>
  <si>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</si>
  <si>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</si>
  <si>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</si>
  <si>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</si>
  <si>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</si>
  <si>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</si>
  <si>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</si>
  <si>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</si>
  <si>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</si>
  <si>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</si>
  <si>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</si>
  <si>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</si>
  <si>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</si>
  <si>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</si>
  <si>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</si>
  <si>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</si>
  <si>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</si>
  <si>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</si>
  <si>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</si>
  <si>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</si>
  <si>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</si>
  <si>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</si>
  <si>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</si>
  <si>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</si>
  <si>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</si>
  <si>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</si>
  <si>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</si>
  <si>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</si>
  <si>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</si>
  <si>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</si>
  <si>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</si>
  <si>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</si>
  <si>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</si>
  <si>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</si>
  <si>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</si>
  <si>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</si>
  <si>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</si>
  <si>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</si>
  <si>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</si>
  <si>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</si>
  <si>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</si>
  <si>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</si>
  <si>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</si>
  <si>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</si>
  <si>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</si>
  <si>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</si>
  <si>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</si>
  <si>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</si>
  <si>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</si>
  <si>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</si>
  <si>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</si>
  <si>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</si>
  <si>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</si>
  <si>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中楼层/16</t>
    <phoneticPr fontId="134" type="noConversion"/>
  </si>
  <si>
    <t>高楼层/6</t>
    <phoneticPr fontId="134" type="noConversion"/>
  </si>
  <si>
    <t>东南</t>
  </si>
  <si>
    <t>东</t>
  </si>
  <si>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</si>
  <si>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</si>
  <si>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</si>
  <si>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</si>
  <si>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</si>
  <si>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</si>
  <si>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</si>
  <si>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</si>
  <si>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</si>
  <si>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</si>
  <si>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</si>
  <si>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</si>
  <si>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</si>
  <si>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</si>
  <si>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</si>
  <si>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</si>
  <si>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</si>
  <si>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</si>
  <si>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</si>
  <si>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</si>
  <si>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</si>
  <si>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</si>
  <si>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</si>
  <si>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</si>
  <si>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</si>
  <si>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</si>
  <si>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</si>
  <si>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</si>
  <si>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东南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</si>
  <si>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</si>
  <si>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</si>
  <si>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</si>
  <si>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</si>
  <si>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</si>
  <si>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</si>
  <si>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</si>
  <si>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</si>
  <si>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</si>
  <si>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</si>
  <si>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</si>
  <si>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</si>
  <si>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</si>
  <si>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宋体"/>
        <family val="3"/>
        <charset val="134"/>
        <scheme val="minor"/>
      </rPr>
      <t>/月</t>
    </r>
  </si>
  <si>
    <t>东西</t>
    <phoneticPr fontId="134" type="noConversion"/>
  </si>
  <si>
    <t>东</t>
    <phoneticPr fontId="134" type="noConversion"/>
  </si>
  <si>
    <t>西</t>
    <phoneticPr fontId="134" type="noConversion"/>
  </si>
  <si>
    <t>东北</t>
    <phoneticPr fontId="134" type="noConversion"/>
  </si>
  <si>
    <t>双榆树东里</t>
    <phoneticPr fontId="134" type="noConversion"/>
  </si>
  <si>
    <t>东</t>
    <phoneticPr fontId="134" type="noConversion"/>
  </si>
  <si>
    <t>低楼层/12</t>
    <phoneticPr fontId="134" type="noConversion"/>
  </si>
  <si>
    <t>板塔结合</t>
    <phoneticPr fontId="134" type="noConversion"/>
  </si>
  <si>
    <t>高楼层/12</t>
    <phoneticPr fontId="134" type="noConversion"/>
  </si>
  <si>
    <t>连板</t>
    <phoneticPr fontId="134" type="noConversion"/>
  </si>
  <si>
    <t>双榆树东里28号楼1005</t>
    <phoneticPr fontId="134" type="noConversion"/>
  </si>
  <si>
    <t>双榆树东里8号楼205</t>
    <phoneticPr fontId="134" type="noConversion"/>
  </si>
  <si>
    <t>双榆树东里</t>
    <phoneticPr fontId="3" type="noConversion"/>
  </si>
  <si>
    <r>
      <rPr>
        <sz val="11"/>
        <color indexed="8"/>
        <rFont val="宋体"/>
        <family val="3"/>
        <charset val="134"/>
      </rPr>
      <t>低楼层</t>
    </r>
    <r>
      <rPr>
        <sz val="11"/>
        <color indexed="8"/>
        <rFont val="Arial"/>
        <family val="2"/>
      </rPr>
      <t>/12</t>
    </r>
    <phoneticPr fontId="134" type="noConversion"/>
  </si>
  <si>
    <r>
      <rPr>
        <sz val="11"/>
        <color indexed="8"/>
        <rFont val="宋体"/>
        <family val="3"/>
        <charset val="134"/>
      </rPr>
      <t>高楼层</t>
    </r>
    <r>
      <rPr>
        <sz val="11"/>
        <color indexed="8"/>
        <rFont val="Arial"/>
        <family val="2"/>
      </rPr>
      <t>/12</t>
    </r>
    <phoneticPr fontId="134" type="noConversion"/>
  </si>
  <si>
    <t>北京市</t>
  </si>
  <si>
    <t>核定资产</t>
  </si>
  <si>
    <t>房地产市场价值</t>
  </si>
  <si>
    <t>自然人</t>
  </si>
  <si>
    <t>东西</t>
  </si>
  <si>
    <t>东西</t>
    <phoneticPr fontId="134" type="noConversion"/>
  </si>
  <si>
    <t>西南</t>
    <phoneticPr fontId="134" type="noConversion"/>
  </si>
  <si>
    <t>西北</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</si>
  <si>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</si>
  <si>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</si>
  <si>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</si>
  <si>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</si>
  <si>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合同约定租金（元/套/月）</t>
    <phoneticPr fontId="134" type="noConversion"/>
  </si>
  <si>
    <t>24个月租金合计（元）</t>
    <phoneticPr fontId="134" type="noConversion"/>
  </si>
  <si>
    <t>服务费比例</t>
    <phoneticPr fontId="134" type="noConversion"/>
  </si>
  <si>
    <t>合同约定租金+服务费（元/月）</t>
    <phoneticPr fontId="134" type="noConversion"/>
  </si>
  <si>
    <t>市场正常租金+服务费（元/月</t>
    <phoneticPr fontId="134" type="noConversion"/>
  </si>
  <si>
    <t>月租金（元/套/月）</t>
    <phoneticPr fontId="134" type="noConversion"/>
  </si>
  <si>
    <t>月租金+管理费（元/套/月）</t>
    <phoneticPr fontId="134" type="noConversion"/>
  </si>
  <si>
    <t>权重单价（元/平方米/月）</t>
    <phoneticPr fontId="3" type="noConversion"/>
  </si>
  <si>
    <t>室内设备设施</t>
    <phoneticPr fontId="134" type="noConversion"/>
  </si>
  <si>
    <t>生活设施、家具电器配备齐全</t>
    <phoneticPr fontId="134" type="noConversion"/>
  </si>
  <si>
    <t>生活设施、家具配备齐全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</si>
</sst>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9"/>
      <color rgb="FF1C1B1B"/>
      <name val="宋体"/>
      <family val="3"/>
      <charset val="134"/>
    </font>
    <font>
      <sz val="9"/>
      <color rgb="FF1C1B1B"/>
      <name val="宋体"/>
      <family val="3"/>
      <charset val="134"/>
      <scheme val="minor"/>
    </font>
    <font>
      <sz val="11"/>
      <color rgb="FF000000"/>
      <name val="宋体"/>
      <family val="3"/>
      <charset val="134"/>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6"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14" fontId="0" fillId="0" borderId="0" xfId="0" applyNumberFormat="1">
      <alignment vertical="center"/>
    </xf>
    <xf numFmtId="0" fontId="107" fillId="0" borderId="58" xfId="0" applyFont="1" applyFill="1" applyBorder="1" applyAlignment="1">
      <alignment horizontal="center" vertical="center"/>
    </xf>
    <xf numFmtId="0" fontId="47" fillId="25" borderId="0" xfId="0" applyFont="1" applyFill="1" applyBorder="1" applyAlignment="1" applyProtection="1">
      <alignment vertical="center" wrapText="1"/>
      <protection locked="0"/>
    </xf>
    <xf numFmtId="0" fontId="269" fillId="0" borderId="1" xfId="0" applyFont="1" applyBorder="1" applyAlignment="1">
      <alignment horizontal="center" vertical="center"/>
    </xf>
    <xf numFmtId="0" fontId="269" fillId="0" borderId="0" xfId="0" applyFont="1">
      <alignment vertical="center"/>
    </xf>
    <xf numFmtId="0" fontId="246" fillId="0" borderId="0" xfId="10" applyFont="1" applyAlignment="1">
      <alignment horizontal="center" vertical="center" wrapText="1"/>
    </xf>
    <xf numFmtId="0" fontId="128" fillId="0" borderId="0" xfId="0" applyFont="1" applyAlignment="1" applyProtection="1">
      <alignment horizontal="center" vertical="center"/>
      <protection locked="0"/>
    </xf>
    <xf numFmtId="0" fontId="128" fillId="0" borderId="18" xfId="0" applyFont="1" applyBorder="1" applyAlignment="1" applyProtection="1">
      <alignment horizontal="center" vertical="center" wrapText="1"/>
      <protection locked="0"/>
    </xf>
    <xf numFmtId="9" fontId="128" fillId="0" borderId="0" xfId="0" applyNumberFormat="1" applyFont="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285" fillId="0" borderId="0" xfId="10" applyFont="1" applyAlignment="1">
      <alignment vertical="center" wrapText="1"/>
    </xf>
    <xf numFmtId="0" fontId="246" fillId="5" borderId="1" xfId="0" applyFont="1" applyFill="1" applyBorder="1" applyAlignment="1">
      <alignment horizontal="center" vertical="center"/>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14" fontId="47" fillId="26" borderId="13"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81" fillId="0" borderId="1" xfId="10" applyFont="1" applyBorder="1" applyAlignment="1">
      <alignment horizontal="center" vertical="center" wrapText="1"/>
    </xf>
    <xf numFmtId="0" fontId="24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12</xdr:row>
      <xdr:rowOff>104775</xdr:rowOff>
    </xdr:from>
    <xdr:to>
      <xdr:col>13</xdr:col>
      <xdr:colOff>581025</xdr:colOff>
      <xdr:row>17</xdr:row>
      <xdr:rowOff>158594</xdr:rowOff>
    </xdr:to>
    <xdr:pic>
      <xdr:nvPicPr>
        <xdr:cNvPr id="6" name="图片 5">
          <a:extLst>
            <a:ext uri="{FF2B5EF4-FFF2-40B4-BE49-F238E27FC236}">
              <a16:creationId xmlns:a16="http://schemas.microsoft.com/office/drawing/2014/main" id="{AD944903-6A29-4342-8C07-3F917D8F4213}"/>
            </a:ext>
          </a:extLst>
        </xdr:cNvPr>
        <xdr:cNvPicPr>
          <a:picLocks noChangeAspect="1"/>
        </xdr:cNvPicPr>
      </xdr:nvPicPr>
      <xdr:blipFill>
        <a:blip xmlns:r="http://schemas.openxmlformats.org/officeDocument/2006/relationships" r:embed="rId1"/>
        <a:stretch>
          <a:fillRect/>
        </a:stretch>
      </xdr:blipFill>
      <xdr:spPr>
        <a:xfrm>
          <a:off x="38100" y="2295525"/>
          <a:ext cx="10420350" cy="911069"/>
        </a:xfrm>
        <a:prstGeom prst="rect">
          <a:avLst/>
        </a:prstGeom>
      </xdr:spPr>
    </xdr:pic>
    <xdr:clientData/>
  </xdr:twoCellAnchor>
  <xdr:twoCellAnchor editAs="oneCell">
    <xdr:from>
      <xdr:col>0</xdr:col>
      <xdr:colOff>0</xdr:colOff>
      <xdr:row>5</xdr:row>
      <xdr:rowOff>133350</xdr:rowOff>
    </xdr:from>
    <xdr:to>
      <xdr:col>13</xdr:col>
      <xdr:colOff>655908</xdr:colOff>
      <xdr:row>12</xdr:row>
      <xdr:rowOff>142724</xdr:rowOff>
    </xdr:to>
    <xdr:pic>
      <xdr:nvPicPr>
        <xdr:cNvPr id="7" name="图片 6">
          <a:extLst>
            <a:ext uri="{FF2B5EF4-FFF2-40B4-BE49-F238E27FC236}">
              <a16:creationId xmlns:a16="http://schemas.microsoft.com/office/drawing/2014/main" id="{66BBCD37-E033-4859-9260-C96A1A51B803}"/>
            </a:ext>
          </a:extLst>
        </xdr:cNvPr>
        <xdr:cNvPicPr>
          <a:picLocks noChangeAspect="1"/>
        </xdr:cNvPicPr>
      </xdr:nvPicPr>
      <xdr:blipFill>
        <a:blip xmlns:r="http://schemas.openxmlformats.org/officeDocument/2006/relationships" r:embed="rId2"/>
        <a:stretch>
          <a:fillRect/>
        </a:stretch>
      </xdr:blipFill>
      <xdr:spPr>
        <a:xfrm>
          <a:off x="0" y="1123950"/>
          <a:ext cx="10533333" cy="1209524"/>
        </a:xfrm>
        <a:prstGeom prst="rect">
          <a:avLst/>
        </a:prstGeom>
      </xdr:spPr>
    </xdr:pic>
    <xdr:clientData/>
  </xdr:twoCellAnchor>
  <xdr:twoCellAnchor editAs="oneCell">
    <xdr:from>
      <xdr:col>0</xdr:col>
      <xdr:colOff>0</xdr:colOff>
      <xdr:row>18</xdr:row>
      <xdr:rowOff>0</xdr:rowOff>
    </xdr:from>
    <xdr:to>
      <xdr:col>13</xdr:col>
      <xdr:colOff>627337</xdr:colOff>
      <xdr:row>23</xdr:row>
      <xdr:rowOff>37988</xdr:rowOff>
    </xdr:to>
    <xdr:pic>
      <xdr:nvPicPr>
        <xdr:cNvPr id="8" name="图片 7">
          <a:extLst>
            <a:ext uri="{FF2B5EF4-FFF2-40B4-BE49-F238E27FC236}">
              <a16:creationId xmlns:a16="http://schemas.microsoft.com/office/drawing/2014/main" id="{4C37ABEE-4194-4147-9491-E9D681F9A4A9}"/>
            </a:ext>
          </a:extLst>
        </xdr:cNvPr>
        <xdr:cNvPicPr>
          <a:picLocks noChangeAspect="1"/>
        </xdr:cNvPicPr>
      </xdr:nvPicPr>
      <xdr:blipFill>
        <a:blip xmlns:r="http://schemas.openxmlformats.org/officeDocument/2006/relationships" r:embed="rId3"/>
        <a:stretch>
          <a:fillRect/>
        </a:stretch>
      </xdr:blipFill>
      <xdr:spPr>
        <a:xfrm>
          <a:off x="0" y="3219450"/>
          <a:ext cx="10504762" cy="895238"/>
        </a:xfrm>
        <a:prstGeom prst="rect">
          <a:avLst/>
        </a:prstGeom>
      </xdr:spPr>
    </xdr:pic>
    <xdr:clientData/>
  </xdr:twoCellAnchor>
  <xdr:twoCellAnchor editAs="oneCell">
    <xdr:from>
      <xdr:col>0</xdr:col>
      <xdr:colOff>0</xdr:colOff>
      <xdr:row>23</xdr:row>
      <xdr:rowOff>66675</xdr:rowOff>
    </xdr:from>
    <xdr:to>
      <xdr:col>13</xdr:col>
      <xdr:colOff>598765</xdr:colOff>
      <xdr:row>28</xdr:row>
      <xdr:rowOff>152282</xdr:rowOff>
    </xdr:to>
    <xdr:pic>
      <xdr:nvPicPr>
        <xdr:cNvPr id="9" name="图片 8">
          <a:extLst>
            <a:ext uri="{FF2B5EF4-FFF2-40B4-BE49-F238E27FC236}">
              <a16:creationId xmlns:a16="http://schemas.microsoft.com/office/drawing/2014/main" id="{CDCA8880-98FA-413E-8343-FD88EADB78A8}"/>
            </a:ext>
          </a:extLst>
        </xdr:cNvPr>
        <xdr:cNvPicPr>
          <a:picLocks noChangeAspect="1"/>
        </xdr:cNvPicPr>
      </xdr:nvPicPr>
      <xdr:blipFill>
        <a:blip xmlns:r="http://schemas.openxmlformats.org/officeDocument/2006/relationships" r:embed="rId4"/>
        <a:stretch>
          <a:fillRect/>
        </a:stretch>
      </xdr:blipFill>
      <xdr:spPr>
        <a:xfrm>
          <a:off x="0" y="4143375"/>
          <a:ext cx="10476190" cy="942857"/>
        </a:xfrm>
        <a:prstGeom prst="rect">
          <a:avLst/>
        </a:prstGeom>
      </xdr:spPr>
    </xdr:pic>
    <xdr:clientData/>
  </xdr:twoCellAnchor>
  <xdr:twoCellAnchor editAs="oneCell">
    <xdr:from>
      <xdr:col>0</xdr:col>
      <xdr:colOff>0</xdr:colOff>
      <xdr:row>29</xdr:row>
      <xdr:rowOff>0</xdr:rowOff>
    </xdr:from>
    <xdr:to>
      <xdr:col>13</xdr:col>
      <xdr:colOff>608289</xdr:colOff>
      <xdr:row>34</xdr:row>
      <xdr:rowOff>104655</xdr:rowOff>
    </xdr:to>
    <xdr:pic>
      <xdr:nvPicPr>
        <xdr:cNvPr id="10" name="图片 9">
          <a:extLst>
            <a:ext uri="{FF2B5EF4-FFF2-40B4-BE49-F238E27FC236}">
              <a16:creationId xmlns:a16="http://schemas.microsoft.com/office/drawing/2014/main" id="{684C890F-20C9-421F-B0DD-54C3FBC4893D}"/>
            </a:ext>
          </a:extLst>
        </xdr:cNvPr>
        <xdr:cNvPicPr>
          <a:picLocks noChangeAspect="1"/>
        </xdr:cNvPicPr>
      </xdr:nvPicPr>
      <xdr:blipFill>
        <a:blip xmlns:r="http://schemas.openxmlformats.org/officeDocument/2006/relationships" r:embed="rId5"/>
        <a:stretch>
          <a:fillRect/>
        </a:stretch>
      </xdr:blipFill>
      <xdr:spPr>
        <a:xfrm>
          <a:off x="0" y="5105400"/>
          <a:ext cx="10485714" cy="961905"/>
        </a:xfrm>
        <a:prstGeom prst="rect">
          <a:avLst/>
        </a:prstGeom>
      </xdr:spPr>
    </xdr:pic>
    <xdr:clientData/>
  </xdr:twoCellAnchor>
  <xdr:twoCellAnchor editAs="oneCell">
    <xdr:from>
      <xdr:col>8</xdr:col>
      <xdr:colOff>370762</xdr:colOff>
      <xdr:row>0</xdr:row>
      <xdr:rowOff>0</xdr:rowOff>
    </xdr:from>
    <xdr:to>
      <xdr:col>18</xdr:col>
      <xdr:colOff>304802</xdr:colOff>
      <xdr:row>8</xdr:row>
      <xdr:rowOff>85725</xdr:rowOff>
    </xdr:to>
    <xdr:pic>
      <xdr:nvPicPr>
        <xdr:cNvPr id="12" name="图片 11">
          <a:extLst>
            <a:ext uri="{FF2B5EF4-FFF2-40B4-BE49-F238E27FC236}">
              <a16:creationId xmlns:a16="http://schemas.microsoft.com/office/drawing/2014/main" id="{86C97387-B408-4E48-AA5D-3D942596D002}"/>
            </a:ext>
          </a:extLst>
        </xdr:cNvPr>
        <xdr:cNvPicPr>
          <a:picLocks noChangeAspect="1"/>
        </xdr:cNvPicPr>
      </xdr:nvPicPr>
      <xdr:blipFill>
        <a:blip xmlns:r="http://schemas.openxmlformats.org/officeDocument/2006/relationships" r:embed="rId6"/>
        <a:stretch>
          <a:fillRect/>
        </a:stretch>
      </xdr:blipFill>
      <xdr:spPr>
        <a:xfrm>
          <a:off x="6819187" y="0"/>
          <a:ext cx="6792040"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476250</xdr:colOff>
      <xdr:row>20</xdr:row>
      <xdr:rowOff>146162</xdr:rowOff>
    </xdr:to>
    <xdr:pic>
      <xdr:nvPicPr>
        <xdr:cNvPr id="2" name="图片 1">
          <a:extLst>
            <a:ext uri="{FF2B5EF4-FFF2-40B4-BE49-F238E27FC236}">
              <a16:creationId xmlns:a16="http://schemas.microsoft.com/office/drawing/2014/main" id="{10C4F335-DED5-4553-BBD2-6638A4D392DA}"/>
            </a:ext>
          </a:extLst>
        </xdr:cNvPr>
        <xdr:cNvPicPr>
          <a:picLocks noChangeAspect="1"/>
        </xdr:cNvPicPr>
      </xdr:nvPicPr>
      <xdr:blipFill>
        <a:blip xmlns:r="http://schemas.openxmlformats.org/officeDocument/2006/relationships" r:embed="rId1"/>
        <a:stretch>
          <a:fillRect/>
        </a:stretch>
      </xdr:blipFill>
      <xdr:spPr>
        <a:xfrm>
          <a:off x="1" y="1"/>
          <a:ext cx="5962649" cy="3498961"/>
        </a:xfrm>
        <a:prstGeom prst="rect">
          <a:avLst/>
        </a:prstGeom>
      </xdr:spPr>
    </xdr:pic>
    <xdr:clientData/>
  </xdr:twoCellAnchor>
  <xdr:twoCellAnchor editAs="oneCell">
    <xdr:from>
      <xdr:col>0</xdr:col>
      <xdr:colOff>0</xdr:colOff>
      <xdr:row>21</xdr:row>
      <xdr:rowOff>9525</xdr:rowOff>
    </xdr:from>
    <xdr:to>
      <xdr:col>8</xdr:col>
      <xdr:colOff>361802</xdr:colOff>
      <xdr:row>43</xdr:row>
      <xdr:rowOff>18446</xdr:rowOff>
    </xdr:to>
    <xdr:pic>
      <xdr:nvPicPr>
        <xdr:cNvPr id="5" name="图片 4">
          <a:extLst>
            <a:ext uri="{FF2B5EF4-FFF2-40B4-BE49-F238E27FC236}">
              <a16:creationId xmlns:a16="http://schemas.microsoft.com/office/drawing/2014/main" id="{5C94EF3E-B64D-4CBA-8677-987052AE1BAA}"/>
            </a:ext>
          </a:extLst>
        </xdr:cNvPr>
        <xdr:cNvPicPr>
          <a:picLocks noChangeAspect="1"/>
        </xdr:cNvPicPr>
      </xdr:nvPicPr>
      <xdr:blipFill>
        <a:blip xmlns:r="http://schemas.openxmlformats.org/officeDocument/2006/relationships" r:embed="rId2"/>
        <a:stretch>
          <a:fillRect/>
        </a:stretch>
      </xdr:blipFill>
      <xdr:spPr>
        <a:xfrm>
          <a:off x="0" y="3514725"/>
          <a:ext cx="5848202" cy="3361721"/>
        </a:xfrm>
        <a:prstGeom prst="rect">
          <a:avLst/>
        </a:prstGeom>
      </xdr:spPr>
    </xdr:pic>
    <xdr:clientData/>
  </xdr:twoCellAnchor>
  <xdr:twoCellAnchor editAs="oneCell">
    <xdr:from>
      <xdr:col>0</xdr:col>
      <xdr:colOff>0</xdr:colOff>
      <xdr:row>43</xdr:row>
      <xdr:rowOff>96005</xdr:rowOff>
    </xdr:from>
    <xdr:to>
      <xdr:col>8</xdr:col>
      <xdr:colOff>409575</xdr:colOff>
      <xdr:row>49</xdr:row>
      <xdr:rowOff>85564</xdr:rowOff>
    </xdr:to>
    <xdr:pic>
      <xdr:nvPicPr>
        <xdr:cNvPr id="6" name="图片 5">
          <a:extLst>
            <a:ext uri="{FF2B5EF4-FFF2-40B4-BE49-F238E27FC236}">
              <a16:creationId xmlns:a16="http://schemas.microsoft.com/office/drawing/2014/main" id="{6DB09A0A-FC2B-45CC-AF87-CB19C059BB7B}"/>
            </a:ext>
          </a:extLst>
        </xdr:cNvPr>
        <xdr:cNvPicPr>
          <a:picLocks noChangeAspect="1"/>
        </xdr:cNvPicPr>
      </xdr:nvPicPr>
      <xdr:blipFill>
        <a:blip xmlns:r="http://schemas.openxmlformats.org/officeDocument/2006/relationships" r:embed="rId3"/>
        <a:stretch>
          <a:fillRect/>
        </a:stretch>
      </xdr:blipFill>
      <xdr:spPr>
        <a:xfrm>
          <a:off x="0" y="6954005"/>
          <a:ext cx="5895975" cy="9039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估价对象为北京市房地产，为所有。根据《国有土地使用证》[]，估价对象（分摊）出让国有建设用地使用权面积为0平方米，建筑面积为59.2平方米。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估价对象为北京市房地产,属开发建设的，该项目尚在开发建设中。根据《国有土地使用证》[]，估价对象（分摊）出让国有建设用地使用权面积为0平方米，规划建筑面积为59.2平方米。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59.2</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600"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0"/>
      <c r="B54" s="1554" t="s">
        <v>381</v>
      </c>
      <c r="C54" s="1551" t="s">
        <v>579</v>
      </c>
    </row>
    <row r="55" spans="1:4">
      <c r="A55" s="3600"/>
      <c r="B55" s="1554" t="s">
        <v>382</v>
      </c>
      <c r="C55" s="1551" t="s">
        <v>580</v>
      </c>
    </row>
    <row r="56" spans="1:4">
      <c r="A56" s="3600"/>
      <c r="B56" s="1554" t="s">
        <v>383</v>
      </c>
      <c r="C56" s="1551" t="s">
        <v>584</v>
      </c>
    </row>
    <row r="57" spans="1:4">
      <c r="A57" s="3600"/>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601" t="s">
        <v>2576</v>
      </c>
      <c r="J2" s="3601"/>
      <c r="K2" s="3601"/>
      <c r="L2" s="3601"/>
      <c r="M2" s="3601"/>
      <c r="N2" s="3601"/>
      <c r="O2" s="3601"/>
      <c r="P2" s="3601"/>
      <c r="Q2" s="3601"/>
      <c r="R2" s="3601"/>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2" t="str">
        <f>IF(B10="北京市","北京市",C10)&amp;F10&amp;IF(结果表!G1="在建","出让国有建设用地使用权及在建建筑物",IF(结果表!G1="土地","出让国有建设用地使用权",))&amp;B9&amp;"预评估"</f>
        <v>北京市房地产市场价值预评估</v>
      </c>
      <c r="C1" s="3603"/>
      <c r="D1" s="3603"/>
      <c r="E1" s="3603"/>
      <c r="F1" s="3603"/>
      <c r="G1" s="3603"/>
      <c r="H1" s="3603"/>
      <c r="I1" s="3604"/>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3559">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3495</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3591</v>
      </c>
      <c r="C8" s="2387"/>
      <c r="D8" s="3605" t="s">
        <v>2169</v>
      </c>
      <c r="E8" s="2388"/>
      <c r="F8" s="2389"/>
      <c r="G8" s="2660"/>
      <c r="H8" s="3540">
        <v>1994</v>
      </c>
      <c r="I8" s="2660"/>
      <c r="J8" s="2436"/>
      <c r="K8" s="2611"/>
      <c r="L8" s="2610"/>
      <c r="M8" s="2610"/>
      <c r="N8" s="2436"/>
      <c r="O8" s="2447"/>
      <c r="P8" s="2436"/>
      <c r="Q8" s="2436"/>
      <c r="R8" s="2436"/>
    </row>
    <row r="9" spans="1:30" ht="13.5" thickBot="1">
      <c r="A9" s="2390" t="s">
        <v>2170</v>
      </c>
      <c r="B9" s="2391" t="s">
        <v>3592</v>
      </c>
      <c r="C9" s="2392"/>
      <c r="D9" s="3606"/>
      <c r="E9" s="2391"/>
      <c r="F9" s="2393"/>
      <c r="G9" s="2662"/>
      <c r="H9" s="2662"/>
      <c r="I9" s="2662"/>
      <c r="J9" s="2436"/>
      <c r="K9" s="2613"/>
      <c r="L9" s="2610"/>
      <c r="M9" s="2610"/>
      <c r="N9" s="2436"/>
      <c r="O9" s="2447"/>
      <c r="P9" s="2436"/>
      <c r="Q9" s="2436"/>
      <c r="R9" s="2436"/>
    </row>
    <row r="10" spans="1:30" ht="13.5" thickTop="1">
      <c r="A10" s="2394" t="s">
        <v>2171</v>
      </c>
      <c r="B10" s="2395" t="s">
        <v>3590</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3593</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70531</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70</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12"/>
      <c r="C16" s="3613"/>
      <c r="D16" s="3614"/>
      <c r="E16" s="2410" t="s">
        <v>2186</v>
      </c>
      <c r="F16" s="3615"/>
      <c r="G16" s="3616"/>
      <c r="H16" s="3616"/>
      <c r="I16" s="3617"/>
      <c r="J16" s="2436"/>
      <c r="K16" s="2614"/>
      <c r="L16" s="2448"/>
      <c r="M16" s="2448"/>
      <c r="N16" s="2506"/>
      <c r="O16" s="2448"/>
      <c r="P16" s="2506"/>
      <c r="Q16" s="2436"/>
      <c r="R16" s="2436"/>
    </row>
    <row r="17" spans="1:28">
      <c r="A17" s="313" t="s">
        <v>2187</v>
      </c>
      <c r="B17" s="302" t="s">
        <v>2188</v>
      </c>
      <c r="C17" s="8">
        <f>'数据-汇总表'!E3</f>
        <v>59.2</v>
      </c>
      <c r="D17" s="2320" t="s">
        <v>2189</v>
      </c>
      <c r="E17" s="3618" t="s">
        <v>2190</v>
      </c>
      <c r="F17" s="3619"/>
      <c r="G17" s="3619"/>
      <c r="H17" s="3619"/>
      <c r="I17" s="3620"/>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21" t="s">
        <v>2194</v>
      </c>
      <c r="F18" s="3622"/>
      <c r="G18" s="3622"/>
      <c r="H18" s="3622"/>
      <c r="I18" s="3623"/>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08" t="s">
        <v>2198</v>
      </c>
      <c r="C20" s="3609"/>
      <c r="D20" s="3610" t="s">
        <v>2199</v>
      </c>
      <c r="E20" s="3611"/>
      <c r="F20" s="2644" t="s">
        <v>1052</v>
      </c>
      <c r="G20" s="2661"/>
      <c r="H20" s="2661"/>
      <c r="I20" s="2661"/>
      <c r="J20" s="2436"/>
      <c r="K20" s="3607"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5"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5"/>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5"/>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6"/>
      <c r="B30" s="302" t="s">
        <v>2210</v>
      </c>
      <c r="C30" s="3627"/>
      <c r="D30" s="3628"/>
      <c r="E30" s="2661"/>
      <c r="F30" s="2661"/>
      <c r="G30" s="2661"/>
      <c r="H30" s="2661"/>
      <c r="I30" s="2661"/>
      <c r="J30" s="2436"/>
      <c r="K30" s="2613"/>
      <c r="L30" s="2610"/>
      <c r="M30" s="2610"/>
      <c r="N30" s="2436"/>
      <c r="O30" s="2447"/>
      <c r="P30" s="2436"/>
      <c r="Q30" s="2436"/>
      <c r="R30" s="2436"/>
      <c r="S30" s="2436"/>
      <c r="T30" s="2436"/>
      <c r="U30" s="2436"/>
      <c r="V30" s="2436"/>
    </row>
    <row r="31" spans="1:28">
      <c r="A31" s="3629"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30"/>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30"/>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4" t="s">
        <v>2220</v>
      </c>
      <c r="T34" s="2425" t="str">
        <f>NUMBERSTRING(7-K34,1)&amp;"通"</f>
        <v>七通</v>
      </c>
      <c r="U34" s="2436"/>
      <c r="V34" s="2436"/>
    </row>
    <row r="35" spans="1:30">
      <c r="A35" s="2426"/>
      <c r="B35" s="3631" t="s">
        <v>2221</v>
      </c>
      <c r="C35" s="3631"/>
      <c r="D35" s="3631"/>
      <c r="E35" s="3631"/>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4"/>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59.2</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59.2</v>
      </c>
      <c r="H5" s="13">
        <f t="shared" ref="H5:AT5" si="0">SUM(H13:H656)</f>
        <v>59.2</v>
      </c>
      <c r="I5" s="13">
        <f t="shared" si="0"/>
        <v>59.2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59.2</v>
      </c>
      <c r="BA5" s="15">
        <f t="shared" si="1"/>
        <v>59.2</v>
      </c>
      <c r="BB5" s="15">
        <f t="shared" si="1"/>
        <v>59.2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3496</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3497</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3499</v>
      </c>
      <c r="E13" s="13">
        <f>IF($C$3="是",ROUND($A$3*G13/$B$3,2),ROUND($A$3*(G13-AT13)/$B$3,2))</f>
        <v>0</v>
      </c>
      <c r="F13" s="29"/>
      <c r="G13" s="30">
        <f>H13+AC13+AT13</f>
        <v>59.2</v>
      </c>
      <c r="H13" s="17">
        <f>SUMIF(I$12:AB$12,"总值",I13:AB13)</f>
        <v>59.2</v>
      </c>
      <c r="I13" s="1626">
        <v>59.2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59.2</v>
      </c>
      <c r="BA13" s="13">
        <f>SUM(BB13:BK13)</f>
        <v>59.2</v>
      </c>
      <c r="BB13" s="13">
        <f>IF($D13="是",I13-J13,0)</f>
        <v>59.2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41" t="s">
        <v>1127</v>
      </c>
      <c r="B2" s="3641"/>
      <c r="C2" s="3641"/>
      <c r="D2" s="796" t="s">
        <v>1103</v>
      </c>
      <c r="E2" s="1639" t="s">
        <v>1104</v>
      </c>
      <c r="F2" s="2656"/>
      <c r="G2" s="2647"/>
      <c r="H2" s="2648"/>
      <c r="I2" s="2323" t="s">
        <v>1128</v>
      </c>
      <c r="J2" s="2656"/>
      <c r="K2" s="2656"/>
      <c r="L2" s="2656"/>
      <c r="M2" s="2656"/>
      <c r="N2" s="2658"/>
      <c r="O2" s="2656"/>
      <c r="P2" s="2656"/>
    </row>
    <row r="3" spans="1:16" ht="15.75" thickBot="1">
      <c r="A3" s="3642" t="s">
        <v>1101</v>
      </c>
      <c r="B3" s="3642"/>
      <c r="C3" s="3642"/>
      <c r="D3" s="43">
        <f>'数据-基础表'!AY6</f>
        <v>0</v>
      </c>
      <c r="E3" s="43">
        <f>'数据-基础表'!AZ5</f>
        <v>59.2</v>
      </c>
      <c r="F3" s="2656"/>
      <c r="G3" s="1145"/>
      <c r="H3" s="1026" t="s">
        <v>1102</v>
      </c>
      <c r="I3" s="855" t="e">
        <f>ROUND('数据-基础表'!B3/'数据-基础表'!A3,2)</f>
        <v>#DIV/0!</v>
      </c>
      <c r="J3" s="2656"/>
      <c r="K3" s="2656"/>
      <c r="L3" s="2656"/>
      <c r="M3" s="2656"/>
      <c r="N3" s="2658"/>
      <c r="O3" s="2656"/>
      <c r="P3" s="2656"/>
    </row>
    <row r="4" spans="1:16" ht="15">
      <c r="A4" s="3643"/>
      <c r="B4" s="3644"/>
      <c r="C4" s="3645"/>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6" t="s">
        <v>1106</v>
      </c>
      <c r="C5" s="3646"/>
      <c r="D5" s="45">
        <f>ROUND($D$3*E5/$E$3,2)</f>
        <v>0</v>
      </c>
      <c r="E5" s="46">
        <f>SUMIF('数据-基础表'!$11:$11,"住宅",'数据-基础表'!$5:$5)</f>
        <v>59.2</v>
      </c>
      <c r="F5" s="2656"/>
      <c r="G5" s="1145"/>
      <c r="H5" s="1026" t="s">
        <v>1102</v>
      </c>
      <c r="I5" s="855" t="e">
        <f>ROUND(E31/D31,2)</f>
        <v>#DIV/0!</v>
      </c>
      <c r="J5" s="2656"/>
      <c r="K5" s="2656"/>
      <c r="L5" s="2656"/>
      <c r="M5" s="2656"/>
      <c r="N5" s="2656"/>
      <c r="O5" s="2656"/>
      <c r="P5" s="2656"/>
    </row>
    <row r="6" spans="1:16" ht="15" thickBot="1">
      <c r="A6" s="1644"/>
      <c r="B6" s="3646" t="s">
        <v>1107</v>
      </c>
      <c r="C6" s="3646"/>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8"/>
      <c r="B7" s="3639"/>
      <c r="C7" s="3640"/>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59.2</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59.2</v>
      </c>
      <c r="F16" s="2656"/>
      <c r="G16" s="2657"/>
      <c r="H16" s="1648" t="s">
        <v>1131</v>
      </c>
      <c r="I16" s="1649"/>
      <c r="J16" s="1139"/>
      <c r="K16" s="3635" t="s">
        <v>1131</v>
      </c>
      <c r="L16" s="3636"/>
      <c r="M16" s="3636"/>
      <c r="N16" s="3636"/>
      <c r="O16" s="3636"/>
      <c r="P16" s="3637"/>
    </row>
    <row r="17" spans="1:19" ht="15">
      <c r="A17" s="1650" t="s">
        <v>1132</v>
      </c>
      <c r="B17" s="1651" t="s">
        <v>1133</v>
      </c>
      <c r="C17" s="1652" t="s">
        <v>1134</v>
      </c>
      <c r="D17" s="1653" t="s">
        <v>1122</v>
      </c>
      <c r="E17" s="1654" t="s">
        <v>1123</v>
      </c>
      <c r="F17" s="1655"/>
      <c r="G17" s="1656"/>
      <c r="H17" s="1657" t="s">
        <v>1135</v>
      </c>
      <c r="I17" s="1658" t="s">
        <v>1120</v>
      </c>
      <c r="J17" s="1139"/>
      <c r="K17" s="3632" t="s">
        <v>1136</v>
      </c>
      <c r="L17" s="3633"/>
      <c r="M17" s="3634"/>
      <c r="N17" s="3632" t="s">
        <v>1137</v>
      </c>
      <c r="O17" s="3633"/>
      <c r="P17" s="3634"/>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3498</v>
      </c>
      <c r="D19" s="45">
        <f>ROUND($D$3*E19/$E$3,2)</f>
        <v>0</v>
      </c>
      <c r="E19" s="53">
        <f t="shared" ref="E19:E26" si="1">SUM(F19:G19)</f>
        <v>59.2</v>
      </c>
      <c r="F19" s="2792">
        <f>'数据-基础表'!I13</f>
        <v>59.2</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59.2</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59.2</v>
      </c>
      <c r="F27" s="1140">
        <f>IF(SUM(F19:F26)=E8,SUM(F19:F26),"地上面积有误")</f>
        <v>59.2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59.2</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59.2</v>
      </c>
      <c r="F31" s="677">
        <f>F27+F30</f>
        <v>59.2</v>
      </c>
      <c r="G31" s="678">
        <f>G27+G30</f>
        <v>0</v>
      </c>
      <c r="H31" s="2656"/>
      <c r="I31" s="2656"/>
      <c r="J31" s="2656"/>
      <c r="K31" s="2656"/>
      <c r="L31" s="2656"/>
      <c r="M31" s="2656"/>
      <c r="N31" s="2656"/>
      <c r="O31" s="2656"/>
      <c r="P31" s="2656"/>
    </row>
    <row r="32" spans="1:19">
      <c r="A32" s="1643"/>
      <c r="B32" s="1643" t="s">
        <v>1155</v>
      </c>
      <c r="C32" s="1643"/>
      <c r="D32" s="1643"/>
      <c r="E32" s="1053">
        <f>SUMIF(C19:C26,"*住宅*",E19:E26)</f>
        <v>59.2</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1" activePane="bottomRight" state="frozen"/>
      <selection activeCell="C50" sqref="C50"/>
      <selection pane="topRight" activeCell="C50" sqref="C50"/>
      <selection pane="bottomLeft" activeCell="C50" sqref="C50"/>
      <selection pane="bottomRight" activeCell="C33" sqref="C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3500</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3497</v>
      </c>
      <c r="D6" s="858">
        <f>SUMIF(项目基本情况!C$12:I$12,C6,项目基本情况!C$14:I$14)</f>
        <v>70</v>
      </c>
      <c r="E6" s="857">
        <f>IF(B6="","",SUMIF(项目基本情况!C$12:I$12,C6,项目基本情况!C$13:I$13))</f>
        <v>70531</v>
      </c>
      <c r="F6" s="64">
        <f>SUMIF(项目基本情况!C$12:I$12,C6,项目基本情况!C$15:I$15)</f>
        <v>70</v>
      </c>
      <c r="G6" s="65">
        <f>IF(ISERROR(ROUND(POWER(1+H6,D6-F6)*(POWER(1+H6,F6)-1)/(POWER(1+H6,D6)-1),3)),0,ROUND(POWER(1+H6,D6-F6)*(POWER(1+H6,F6)-1)/(POWER(1+H6,D6)-1),3))</f>
        <v>0</v>
      </c>
      <c r="H6" s="732"/>
      <c r="I6" s="732"/>
      <c r="J6" s="66"/>
      <c r="K6" s="1030">
        <f>SUMIF('数据-汇总表'!C$19:C$33,A6,'数据-汇总表'!E$19:E$33)</f>
        <v>59.2</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59.2</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59.2</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7" t="s">
        <v>2278</v>
      </c>
      <c r="B1" s="3648"/>
      <c r="C1" s="3648"/>
      <c r="D1" s="3648"/>
      <c r="E1" s="3648"/>
      <c r="F1" s="3648"/>
      <c r="G1" s="364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3497</v>
      </c>
      <c r="D1" s="1747"/>
      <c r="E1" s="1747"/>
      <c r="F1" s="1749" t="s">
        <v>1259</v>
      </c>
      <c r="G1" s="1561" t="s">
        <v>3562</v>
      </c>
      <c r="H1" s="1750" t="str">
        <f>IF(G1="现房","——","估价对象范围")</f>
        <v>——</v>
      </c>
      <c r="I1" s="1751"/>
    </row>
    <row r="2" spans="1:12" ht="21.75" customHeight="1" thickBot="1">
      <c r="A2" s="3716" t="str">
        <f>项目基本情况!S2</f>
        <v>北京市房地产</v>
      </c>
      <c r="B2" s="3717"/>
      <c r="C2" s="3717"/>
      <c r="D2" s="3717"/>
      <c r="E2" s="3717"/>
      <c r="F2" s="3717"/>
      <c r="G2" s="3717"/>
      <c r="H2" s="3717"/>
      <c r="I2" s="3718"/>
    </row>
    <row r="3" spans="1:12" ht="12.75">
      <c r="A3" s="3720" t="s">
        <v>1260</v>
      </c>
      <c r="B3" s="3721"/>
      <c r="C3" s="3721"/>
      <c r="D3" s="3721"/>
      <c r="E3" s="3721"/>
      <c r="F3" s="3721"/>
      <c r="G3" s="3721"/>
      <c r="H3" s="3721"/>
      <c r="I3" s="3721"/>
    </row>
    <row r="4" spans="1:12" ht="14.25">
      <c r="A4" s="1754" t="s">
        <v>1261</v>
      </c>
      <c r="B4" s="1755" t="s">
        <v>1262</v>
      </c>
      <c r="C4" s="1756" t="s">
        <v>3561</v>
      </c>
      <c r="D4" s="1756" t="s">
        <v>3501</v>
      </c>
      <c r="E4" s="3725" t="s">
        <v>1263</v>
      </c>
      <c r="F4" s="3726"/>
      <c r="G4" s="3726"/>
      <c r="H4" s="3726"/>
      <c r="I4" s="37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4" t="s">
        <v>1264</v>
      </c>
      <c r="B5" s="3719">
        <v>25</v>
      </c>
      <c r="C5" s="3722"/>
      <c r="D5" s="3710"/>
      <c r="E5" s="131" t="s">
        <v>1265</v>
      </c>
      <c r="F5" s="1757"/>
      <c r="G5" s="1757"/>
      <c r="H5" s="1757"/>
      <c r="I5" s="1373"/>
    </row>
    <row r="6" spans="1:12" ht="12.75">
      <c r="A6" s="3664"/>
      <c r="B6" s="3719"/>
      <c r="C6" s="3724"/>
      <c r="D6" s="3710"/>
      <c r="E6" s="131" t="s">
        <v>1266</v>
      </c>
      <c r="F6" s="1757"/>
      <c r="G6" s="1757"/>
      <c r="H6" s="1757"/>
      <c r="I6" s="1373"/>
    </row>
    <row r="7" spans="1:12" ht="12.75">
      <c r="A7" s="3664"/>
      <c r="B7" s="3719"/>
      <c r="C7" s="3723"/>
      <c r="D7" s="3710"/>
      <c r="E7" s="131" t="s">
        <v>1267</v>
      </c>
      <c r="F7" s="1757"/>
      <c r="G7" s="1757"/>
      <c r="H7" s="1757"/>
      <c r="I7" s="1373"/>
    </row>
    <row r="8" spans="1:12" ht="12.75">
      <c r="A8" s="3664" t="s">
        <v>1268</v>
      </c>
      <c r="B8" s="3719">
        <v>15</v>
      </c>
      <c r="C8" s="3722"/>
      <c r="D8" s="3710"/>
      <c r="E8" s="131" t="s">
        <v>1269</v>
      </c>
      <c r="F8" s="1757"/>
      <c r="G8" s="1757"/>
      <c r="H8" s="1757"/>
      <c r="I8" s="1373"/>
    </row>
    <row r="9" spans="1:12" ht="12.75">
      <c r="A9" s="3664"/>
      <c r="B9" s="3719"/>
      <c r="C9" s="3723"/>
      <c r="D9" s="3710"/>
      <c r="E9" s="131" t="s">
        <v>1270</v>
      </c>
      <c r="F9" s="1757"/>
      <c r="G9" s="1757"/>
      <c r="H9" s="1757"/>
      <c r="I9" s="1373"/>
    </row>
    <row r="10" spans="1:12" ht="12.75">
      <c r="A10" s="3664" t="s">
        <v>1271</v>
      </c>
      <c r="B10" s="3719">
        <v>15</v>
      </c>
      <c r="C10" s="3722"/>
      <c r="D10" s="3710"/>
      <c r="E10" s="131" t="s">
        <v>1272</v>
      </c>
      <c r="F10" s="1757"/>
      <c r="G10" s="1757"/>
      <c r="H10" s="1757"/>
      <c r="I10" s="1373"/>
    </row>
    <row r="11" spans="1:12" ht="12.75">
      <c r="A11" s="3664"/>
      <c r="B11" s="3719"/>
      <c r="C11" s="3723"/>
      <c r="D11" s="3710"/>
      <c r="E11" s="131" t="s">
        <v>1273</v>
      </c>
      <c r="F11" s="1757"/>
      <c r="G11" s="1757"/>
      <c r="H11" s="1757"/>
      <c r="I11" s="1373"/>
    </row>
    <row r="12" spans="1:12" ht="12.75">
      <c r="A12" s="3664" t="s">
        <v>1274</v>
      </c>
      <c r="B12" s="3719">
        <v>15</v>
      </c>
      <c r="C12" s="3722"/>
      <c r="D12" s="3710"/>
      <c r="E12" s="131" t="s">
        <v>1275</v>
      </c>
      <c r="F12" s="1757"/>
      <c r="G12" s="1757"/>
      <c r="H12" s="1757"/>
      <c r="I12" s="1373"/>
    </row>
    <row r="13" spans="1:12" ht="12.75">
      <c r="A13" s="3664"/>
      <c r="B13" s="3719"/>
      <c r="C13" s="3723"/>
      <c r="D13" s="3710"/>
      <c r="E13" s="131" t="s">
        <v>1276</v>
      </c>
      <c r="F13" s="1757"/>
      <c r="G13" s="1757"/>
      <c r="H13" s="1757"/>
      <c r="I13" s="1373"/>
    </row>
    <row r="14" spans="1:12" ht="12.75">
      <c r="A14" s="3664" t="s">
        <v>1277</v>
      </c>
      <c r="B14" s="3719">
        <v>30</v>
      </c>
      <c r="C14" s="3722"/>
      <c r="D14" s="3710"/>
      <c r="E14" s="131" t="s">
        <v>1278</v>
      </c>
      <c r="F14" s="1757"/>
      <c r="G14" s="1757"/>
      <c r="H14" s="1757"/>
      <c r="I14" s="1373"/>
    </row>
    <row r="15" spans="1:12" ht="12.75">
      <c r="A15" s="3664"/>
      <c r="B15" s="3719"/>
      <c r="C15" s="3724"/>
      <c r="D15" s="3710"/>
      <c r="E15" s="131" t="s">
        <v>1279</v>
      </c>
      <c r="F15" s="1757"/>
      <c r="G15" s="1757"/>
      <c r="H15" s="1757"/>
      <c r="I15" s="1373"/>
    </row>
    <row r="16" spans="1:12" ht="12.75">
      <c r="A16" s="3664"/>
      <c r="B16" s="3719"/>
      <c r="C16" s="3723"/>
      <c r="D16" s="3710"/>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41" t="s">
        <v>2123</v>
      </c>
      <c r="F18" s="3742"/>
      <c r="G18" s="3742"/>
      <c r="H18" s="3742"/>
      <c r="I18" s="3742"/>
      <c r="K18" s="302" t="s">
        <v>1285</v>
      </c>
      <c r="L18" s="302">
        <f>IF(C1="",'数据-汇总表'!E3,SUMIF(项目类型,C1,'数据-汇总表'!E17:E26)+SUMIF(项目类型,C1,'数据-汇总表'!I17:I26))</f>
        <v>59.2</v>
      </c>
      <c r="M18" s="302">
        <f>IF(C1="",'数据-汇总表'!E3,SUMIF(项目类型,C1,'数据-汇总表'!E17:E26))</f>
        <v>59.2</v>
      </c>
    </row>
    <row r="19" spans="1:36" ht="15">
      <c r="A19" s="1761" t="s">
        <v>1286</v>
      </c>
      <c r="B19" s="1762" t="s">
        <v>1287</v>
      </c>
      <c r="C19" s="134">
        <f ca="1">SUMIF(INDIRECT("'"&amp;C4&amp;"'"&amp;"!A:A"),结果表!B19,INDIRECT("'"&amp;C4&amp;"'"&amp;"!B:B"))</f>
        <v>656.91869999999994</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110966</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34" t="s">
        <v>1295</v>
      </c>
      <c r="B24" s="1762" t="s">
        <v>1287</v>
      </c>
      <c r="C24" s="136">
        <f>IF(B30=0,0,D30)</f>
        <v>0</v>
      </c>
      <c r="D24" s="1769"/>
      <c r="E24" s="129"/>
      <c r="F24" s="129"/>
      <c r="G24" s="129"/>
      <c r="H24" s="129"/>
      <c r="I24" s="129"/>
    </row>
    <row r="25" spans="1:36" ht="14.25">
      <c r="A25" s="3735"/>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11" t="s">
        <v>1308</v>
      </c>
      <c r="B36" s="1787" t="s">
        <v>1309</v>
      </c>
      <c r="C36" s="145"/>
      <c r="D36" s="1788"/>
      <c r="E36" s="1789"/>
      <c r="F36" s="1790"/>
      <c r="G36" s="129"/>
      <c r="H36" s="129"/>
      <c r="I36" s="129"/>
    </row>
    <row r="37" spans="1:15" ht="15.75" thickBot="1">
      <c r="A37" s="3712"/>
      <c r="B37" s="1674" t="s">
        <v>1310</v>
      </c>
      <c r="C37" s="147"/>
      <c r="D37" s="1139"/>
      <c r="E37" s="1139"/>
      <c r="F37" s="1790"/>
      <c r="G37" s="129"/>
      <c r="H37" s="129"/>
      <c r="I37" s="129"/>
    </row>
    <row r="38" spans="1:15" ht="15.75" thickBot="1">
      <c r="A38" s="3713"/>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31" t="s">
        <v>1322</v>
      </c>
      <c r="B45" s="3732"/>
      <c r="C45" s="3733"/>
      <c r="D45" s="155" t="e">
        <f ca="1">ROUND(H101*F45,0)</f>
        <v>#REF!</v>
      </c>
      <c r="E45" s="156" t="s">
        <v>1323</v>
      </c>
      <c r="F45" s="157">
        <v>1</v>
      </c>
      <c r="G45" s="158" t="s">
        <v>1324</v>
      </c>
      <c r="H45" s="129"/>
      <c r="I45" s="129"/>
      <c r="J45" s="3651" t="s">
        <v>1325</v>
      </c>
      <c r="K45" s="3651"/>
      <c r="L45" s="3651"/>
      <c r="M45" s="3651"/>
      <c r="N45" s="3651"/>
      <c r="O45" s="3651"/>
    </row>
    <row r="46" spans="1:15" ht="14.25" customHeight="1">
      <c r="A46" s="3728" t="s">
        <v>1326</v>
      </c>
      <c r="B46" s="3729"/>
      <c r="C46" s="3729"/>
      <c r="D46" s="3729"/>
      <c r="E46" s="3729"/>
      <c r="F46" s="3729"/>
      <c r="G46" s="3730"/>
      <c r="H46" s="1806"/>
      <c r="I46" s="159"/>
      <c r="J46" s="2520">
        <v>1</v>
      </c>
      <c r="K46" s="3652" t="s">
        <v>1327</v>
      </c>
      <c r="L46" s="3652"/>
      <c r="M46" s="3653"/>
      <c r="N46" s="3653"/>
      <c r="O46" s="3653"/>
    </row>
    <row r="47" spans="1:15" ht="12" customHeight="1">
      <c r="A47" s="160" t="s">
        <v>1328</v>
      </c>
      <c r="B47" s="161"/>
      <c r="C47" s="162"/>
      <c r="D47" s="1087" t="s">
        <v>1329</v>
      </c>
      <c r="E47" s="302" t="s">
        <v>1330</v>
      </c>
      <c r="F47" s="163" t="s">
        <v>1331</v>
      </c>
      <c r="G47" s="2543" t="s">
        <v>1332</v>
      </c>
      <c r="H47" s="2544"/>
      <c r="I47" s="159"/>
      <c r="J47" s="2520">
        <v>2</v>
      </c>
      <c r="K47" s="3652" t="s">
        <v>1333</v>
      </c>
      <c r="L47" s="3652"/>
      <c r="M47" s="3654">
        <f>'数据-取费表'!B2</f>
        <v>44977</v>
      </c>
      <c r="N47" s="3654"/>
      <c r="O47" s="3654"/>
    </row>
    <row r="48" spans="1:15" ht="25.5">
      <c r="A48" s="3714" t="s">
        <v>1334</v>
      </c>
      <c r="B48" s="3715"/>
      <c r="C48" s="3715"/>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52" t="s">
        <v>1336</v>
      </c>
      <c r="L48" s="3652"/>
      <c r="M48" s="3655" t="e">
        <f ca="1">H101</f>
        <v>#REF!</v>
      </c>
      <c r="N48" s="3655"/>
      <c r="O48" s="3655"/>
    </row>
    <row r="49" spans="1:35" ht="25.5" customHeight="1">
      <c r="A49" s="2331" t="s">
        <v>1337</v>
      </c>
      <c r="B49" s="3700" t="s">
        <v>1338</v>
      </c>
      <c r="C49" s="3700"/>
      <c r="D49" s="1590">
        <v>0</v>
      </c>
      <c r="E49" s="324" t="s">
        <v>1339</v>
      </c>
      <c r="F49" s="2421" t="s">
        <v>24</v>
      </c>
      <c r="G49" s="3683"/>
      <c r="H49" s="2308" t="s">
        <v>2126</v>
      </c>
      <c r="I49" s="2309"/>
      <c r="J49" s="2520">
        <v>4</v>
      </c>
      <c r="K49" s="3652" t="str">
        <f>IF(项目基本情况!E8="房地产抵押价值","房地产抵押价值","抵押担保权已注销时的房地产抵押价值")</f>
        <v>抵押担保权已注销时的房地产抵押价值</v>
      </c>
      <c r="L49" s="3652"/>
      <c r="M49" s="3655" t="str">
        <f>IF(项目基本情况!E8="房地产抵押价值",H107,H109)</f>
        <v>——</v>
      </c>
      <c r="N49" s="3655"/>
      <c r="O49" s="3655"/>
    </row>
    <row r="50" spans="1:35" ht="25.5" customHeight="1">
      <c r="A50" s="2548"/>
      <c r="B50" s="3700" t="s">
        <v>1340</v>
      </c>
      <c r="C50" s="3700"/>
      <c r="D50" s="2549"/>
      <c r="E50" s="332"/>
      <c r="F50" s="2421"/>
      <c r="G50" s="3684"/>
      <c r="H50" s="2310" t="s">
        <v>2127</v>
      </c>
      <c r="I50" s="2309"/>
      <c r="J50" s="3651" t="s">
        <v>1341</v>
      </c>
      <c r="K50" s="3651"/>
      <c r="L50" s="3651"/>
      <c r="M50" s="3651"/>
      <c r="N50" s="3651"/>
      <c r="O50" s="3651"/>
    </row>
    <row r="51" spans="1:35" ht="20.45" customHeight="1">
      <c r="A51" s="2550"/>
      <c r="B51" s="3700" t="s">
        <v>1342</v>
      </c>
      <c r="C51" s="3700"/>
      <c r="D51" s="1087"/>
      <c r="E51" s="327"/>
      <c r="F51" s="2421"/>
      <c r="G51" s="3685"/>
      <c r="H51" s="2310" t="s">
        <v>2128</v>
      </c>
      <c r="I51" s="2309"/>
      <c r="J51" s="2521" t="s">
        <v>1343</v>
      </c>
      <c r="K51" s="3652" t="s">
        <v>1344</v>
      </c>
      <c r="L51" s="3652"/>
      <c r="M51" s="2521" t="s">
        <v>1345</v>
      </c>
      <c r="N51" s="2521" t="s">
        <v>1346</v>
      </c>
      <c r="O51" s="2521" t="s">
        <v>1347</v>
      </c>
    </row>
    <row r="52" spans="1:35" ht="24" customHeight="1">
      <c r="A52" s="2333" t="s">
        <v>1348</v>
      </c>
      <c r="B52" s="3700" t="s">
        <v>1349</v>
      </c>
      <c r="C52" s="3700"/>
      <c r="D52" s="1087" t="e">
        <f ca="1">ROUND(D45*'数据-取费表'!B41/(1+'数据-取费表'!C42),0)</f>
        <v>#REF!</v>
      </c>
      <c r="E52" s="2332" t="s">
        <v>1350</v>
      </c>
      <c r="F52" s="2551">
        <f>'数据-取费表'!B41</f>
        <v>5.6000000000000001E-2</v>
      </c>
      <c r="G52" s="2552"/>
      <c r="H52" s="2541"/>
      <c r="I52" s="1807"/>
      <c r="J52" s="2520">
        <v>1</v>
      </c>
      <c r="K52" s="3677" t="s">
        <v>1351</v>
      </c>
      <c r="L52" s="3677"/>
      <c r="M52" s="2522" t="b">
        <f>D48</f>
        <v>0</v>
      </c>
      <c r="N52" s="2520" t="str">
        <f>E48</f>
        <v>销售额×税（费）率</v>
      </c>
      <c r="O52" s="2523">
        <f>F48</f>
        <v>5.6000000000000001E-2</v>
      </c>
    </row>
    <row r="53" spans="1:35" ht="12" customHeight="1">
      <c r="A53" s="2333" t="s">
        <v>1352</v>
      </c>
      <c r="B53" s="3701" t="s">
        <v>2283</v>
      </c>
      <c r="C53" s="3702"/>
      <c r="D53" s="1087" t="e">
        <f ca="1">ROUND(D45*'数据-取费表'!B41/(1+'数据-取费表'!C42),0)</f>
        <v>#REF!</v>
      </c>
      <c r="E53" s="2332" t="s">
        <v>1350</v>
      </c>
      <c r="F53" s="2551">
        <f>'数据-取费表'!B41</f>
        <v>5.6000000000000001E-2</v>
      </c>
      <c r="G53" s="2552"/>
      <c r="H53" s="2541"/>
      <c r="I53" s="1807"/>
      <c r="J53" s="2520">
        <v>2</v>
      </c>
      <c r="K53" s="3677" t="s">
        <v>1353</v>
      </c>
      <c r="L53" s="3677"/>
      <c r="M53" s="2522" t="e">
        <f t="shared" ref="M53:O54" ca="1" si="0">D55</f>
        <v>#REF!</v>
      </c>
      <c r="N53" s="2520" t="str">
        <f t="shared" si="0"/>
        <v>销售额×税（费）率</v>
      </c>
      <c r="O53" s="2523" t="str">
        <f t="shared" si="0"/>
        <v>免征</v>
      </c>
    </row>
    <row r="54" spans="1:35" ht="12" customHeight="1">
      <c r="A54" s="2333" t="s">
        <v>1354</v>
      </c>
      <c r="B54" s="3701" t="s">
        <v>2284</v>
      </c>
      <c r="C54" s="3702"/>
      <c r="D54" s="1087" t="e">
        <f ca="1">C68</f>
        <v>#REF!</v>
      </c>
      <c r="E54" s="327" t="s">
        <v>1355</v>
      </c>
      <c r="F54" s="2551">
        <f>'数据-取费表'!B41</f>
        <v>5.6000000000000001E-2</v>
      </c>
      <c r="G54" s="2552"/>
      <c r="H54" s="2553"/>
      <c r="I54" s="1807"/>
      <c r="J54" s="2520">
        <v>3</v>
      </c>
      <c r="K54" s="3677" t="s">
        <v>1356</v>
      </c>
      <c r="L54" s="3677"/>
      <c r="M54" s="2522" t="e">
        <f t="shared" ca="1" si="0"/>
        <v>#REF!</v>
      </c>
      <c r="N54" s="2520" t="str">
        <f t="shared" si="0"/>
        <v>增值额×税（费）率</v>
      </c>
      <c r="O54" s="2524" t="str">
        <f t="shared" si="0"/>
        <v>免征</v>
      </c>
    </row>
    <row r="55" spans="1:35" ht="24" customHeight="1">
      <c r="A55" s="3737" t="s">
        <v>1357</v>
      </c>
      <c r="B55" s="3715"/>
      <c r="C55" s="3715"/>
      <c r="D55" s="2322" t="e">
        <f ca="1">IF(H55="个人住宅",0,ROUND(D45*I55,0))</f>
        <v>#REF!</v>
      </c>
      <c r="E55" s="2332" t="s">
        <v>1358</v>
      </c>
      <c r="F55" s="2551" t="str">
        <f>IF(H55="正常",I55,"免征")</f>
        <v>免征</v>
      </c>
      <c r="G55" s="2552"/>
      <c r="H55" s="2547"/>
      <c r="I55" s="165">
        <f>'数据-取费表'!B49</f>
        <v>5.0000000000000001E-4</v>
      </c>
      <c r="J55" s="2520">
        <f>IF(H59="非个人房产","",4)</f>
        <v>4</v>
      </c>
      <c r="K55" s="3677" t="str">
        <f>IF(H59="非个人房产","——","个人所得税")</f>
        <v>个人所得税</v>
      </c>
      <c r="L55" s="3677"/>
      <c r="M55" s="2525" t="e">
        <f ca="1">D59</f>
        <v>#REF!</v>
      </c>
      <c r="N55" s="2038" t="str">
        <f>E59</f>
        <v>差额计税</v>
      </c>
      <c r="O55" s="2526">
        <f>F59</f>
        <v>0.01</v>
      </c>
    </row>
    <row r="56" spans="1:35" ht="24.75">
      <c r="A56" s="3737" t="s">
        <v>1359</v>
      </c>
      <c r="B56" s="3715"/>
      <c r="C56" s="3715"/>
      <c r="D56" s="2322" t="e">
        <f ca="1">IF(H56="个人住宅",D57,D58)</f>
        <v>#REF!</v>
      </c>
      <c r="E56" s="2332" t="s">
        <v>1360</v>
      </c>
      <c r="F56" s="2551" t="str">
        <f>IF(H56="正常",F58,"免征")</f>
        <v>免征</v>
      </c>
      <c r="G56" s="2554" t="s">
        <v>1361</v>
      </c>
      <c r="H56" s="2555"/>
      <c r="I56" s="1808"/>
      <c r="J56" s="2520" t="str">
        <f>IF(项目基本情况!K6="上海银行",IF(J55="",4,J55+1),"")</f>
        <v/>
      </c>
      <c r="K56" s="3658" t="str">
        <f>IF(项目基本情况!K6="上海银行","其他处置费用","")</f>
        <v/>
      </c>
      <c r="L56" s="3659"/>
      <c r="M56" s="2522" t="str">
        <f>IF(项目基本情况!K6="上海银行",M69,"")</f>
        <v/>
      </c>
      <c r="N56" s="3658" t="str">
        <f>IF(项目基本情况!K6="上海银行","包含处置中涉及的律师、诉讼、拍卖、评估等费用","")</f>
        <v/>
      </c>
      <c r="O56" s="3661"/>
    </row>
    <row r="57" spans="1:35" ht="12.75">
      <c r="A57" s="2333" t="s">
        <v>1337</v>
      </c>
      <c r="B57" s="3701" t="s">
        <v>1362</v>
      </c>
      <c r="C57" s="3702"/>
      <c r="D57" s="1590">
        <v>0</v>
      </c>
      <c r="E57" s="324" t="s">
        <v>1339</v>
      </c>
      <c r="F57" s="302"/>
      <c r="G57" s="2552"/>
      <c r="H57" s="2556"/>
      <c r="I57" s="1808"/>
      <c r="J57" s="3677">
        <f>IF(AND(J55="",J56=""),4,IF(项目基本情况!K6="上海银行",结果表!J56+1,结果表!J55+1))</f>
        <v>5</v>
      </c>
      <c r="K57" s="3677" t="s">
        <v>1363</v>
      </c>
      <c r="L57" s="2527" t="s">
        <v>1364</v>
      </c>
      <c r="M57" s="2528"/>
      <c r="N57" s="2529">
        <f ca="1">SUMIF(M52:M56,"&lt;9e307")</f>
        <v>0</v>
      </c>
      <c r="O57" s="2530"/>
      <c r="P57" s="2687" t="e">
        <f ca="1">N57/M49</f>
        <v>#VALUE!</v>
      </c>
    </row>
    <row r="58" spans="1:35" ht="24.75">
      <c r="A58" s="2333" t="s">
        <v>1348</v>
      </c>
      <c r="B58" s="3701" t="s">
        <v>1365</v>
      </c>
      <c r="C58" s="3700"/>
      <c r="D58" s="2322" t="e">
        <f ca="1">IF(H58="转让取得",C81,C97)</f>
        <v>#REF!</v>
      </c>
      <c r="E58" s="2332" t="s">
        <v>1360</v>
      </c>
      <c r="F58" s="302" t="s">
        <v>24</v>
      </c>
      <c r="G58" s="2552"/>
      <c r="H58" s="2555"/>
      <c r="I58" s="1808"/>
      <c r="J58" s="3677"/>
      <c r="K58" s="3677"/>
      <c r="L58" s="2527" t="s">
        <v>1366</v>
      </c>
      <c r="M58" s="2531"/>
      <c r="N58" s="2532" t="str">
        <f ca="1">NUMBERSTRING(INT(N57*10000),2)&amp;"元整"</f>
        <v>零元整</v>
      </c>
      <c r="O58" s="2533"/>
    </row>
    <row r="59" spans="1:35" ht="24.75" thickBot="1">
      <c r="A59" s="3681" t="s">
        <v>1367</v>
      </c>
      <c r="B59" s="3682"/>
      <c r="C59" s="3682"/>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79">
        <f>J57+1</f>
        <v>6</v>
      </c>
      <c r="K59" s="3677" t="s">
        <v>1368</v>
      </c>
      <c r="L59" s="2520" t="s">
        <v>1364</v>
      </c>
      <c r="M59" s="2534"/>
      <c r="N59" s="2535" t="e">
        <f ca="1">M49-N57</f>
        <v>#VALUE!</v>
      </c>
      <c r="O59" s="2536"/>
    </row>
    <row r="60" spans="1:35" ht="12" customHeight="1">
      <c r="A60" s="1809"/>
      <c r="B60" s="1747"/>
      <c r="C60" s="1747"/>
      <c r="D60" s="1747"/>
      <c r="E60" s="1578"/>
      <c r="F60" s="1808"/>
      <c r="G60" s="1808"/>
      <c r="H60" s="1810"/>
      <c r="I60" s="129"/>
      <c r="J60" s="3680"/>
      <c r="K60" s="3677"/>
      <c r="L60" s="2527" t="s">
        <v>1366</v>
      </c>
      <c r="M60" s="2531"/>
      <c r="N60" s="2532" t="e">
        <f ca="1">NUMBERSTRING(INT(N59*10000),2)&amp;"元整"</f>
        <v>#VALUE!</v>
      </c>
      <c r="O60" s="2533"/>
    </row>
    <row r="61" spans="1:35" ht="13.5" thickBot="1">
      <c r="A61" s="3736" t="s">
        <v>1369</v>
      </c>
      <c r="B61" s="3736"/>
      <c r="C61" s="3736"/>
      <c r="D61" s="3736"/>
      <c r="E61" s="3736"/>
      <c r="F61" s="1808"/>
      <c r="G61" s="1808"/>
      <c r="H61" s="1810"/>
      <c r="I61" s="129"/>
      <c r="J61" s="2520">
        <f>J59+1</f>
        <v>7</v>
      </c>
      <c r="K61" s="3677" t="s">
        <v>1370</v>
      </c>
      <c r="L61" s="3677"/>
      <c r="M61" s="2537"/>
      <c r="N61" s="2538" t="e">
        <f ca="1">ROUND(N59*10000/'数据-汇总表'!E3,0)</f>
        <v>#VALUE!</v>
      </c>
      <c r="O61" s="2539"/>
    </row>
    <row r="62" spans="1:35" ht="12.75">
      <c r="A62" s="3696" t="s">
        <v>1371</v>
      </c>
      <c r="B62" s="3697"/>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60"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60"/>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60"/>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60"/>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60"/>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60"/>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60"/>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4" t="s">
        <v>1390</v>
      </c>
      <c r="B70" s="3705"/>
      <c r="C70" s="3705"/>
      <c r="D70" s="3705"/>
      <c r="E70" s="3705"/>
      <c r="F70" s="3705"/>
      <c r="G70" s="3705"/>
      <c r="H70" s="3705"/>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6" t="s">
        <v>1371</v>
      </c>
      <c r="B71" s="3697"/>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701" t="s">
        <v>1398</v>
      </c>
      <c r="F76" s="3700"/>
      <c r="G76" s="3700"/>
      <c r="H76" s="37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93" t="s">
        <v>1402</v>
      </c>
      <c r="F78" s="3694"/>
      <c r="G78" s="3694"/>
      <c r="H78" s="36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4" t="s">
        <v>1406</v>
      </c>
      <c r="B83" s="3705"/>
      <c r="C83" s="3705"/>
      <c r="D83" s="3705"/>
      <c r="E83" s="3705"/>
      <c r="F83" s="3705"/>
      <c r="G83" s="3705"/>
      <c r="H83" s="37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6" t="s">
        <v>1371</v>
      </c>
      <c r="B84" s="3697"/>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62" t="s">
        <v>2121</v>
      </c>
      <c r="H90" s="3663"/>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93" t="s">
        <v>1415</v>
      </c>
      <c r="F91" s="3694"/>
      <c r="G91" s="36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93" t="s">
        <v>1418</v>
      </c>
      <c r="F92" s="3694"/>
      <c r="G92" s="3694"/>
      <c r="H92" s="3695"/>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93" t="s">
        <v>1402</v>
      </c>
      <c r="F93" s="3694"/>
      <c r="G93" s="3694"/>
      <c r="H93" s="36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38" t="s">
        <v>1422</v>
      </c>
      <c r="F94" s="3739"/>
      <c r="G94" s="3739"/>
      <c r="H94" s="37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43" t="s">
        <v>1424</v>
      </c>
      <c r="B100" s="3644"/>
      <c r="C100" s="3644"/>
      <c r="D100" s="3678"/>
      <c r="E100" s="3644" t="s">
        <v>1425</v>
      </c>
      <c r="F100" s="3644"/>
      <c r="G100" s="3644"/>
      <c r="H100" s="3678"/>
      <c r="I100" s="129"/>
    </row>
    <row r="101" spans="1:35" ht="18.75" customHeight="1">
      <c r="A101" s="3686" t="s">
        <v>1426</v>
      </c>
      <c r="B101" s="3687"/>
      <c r="C101" s="2582" t="str">
        <f>C4</f>
        <v>比较法-住宅</v>
      </c>
      <c r="D101" s="2583" t="str">
        <f>D4</f>
        <v>收益法 (元)</v>
      </c>
      <c r="E101" s="3656" t="s">
        <v>1427</v>
      </c>
      <c r="F101" s="3657"/>
      <c r="G101" s="1827" t="s">
        <v>1428</v>
      </c>
      <c r="H101" s="2592" t="e">
        <f ca="1">H118</f>
        <v>#REF!</v>
      </c>
      <c r="I101" s="129"/>
    </row>
    <row r="102" spans="1:35" ht="18.75" customHeight="1">
      <c r="A102" s="3688" t="s">
        <v>1429</v>
      </c>
      <c r="B102" s="2581" t="s">
        <v>1428</v>
      </c>
      <c r="C102" s="2582">
        <f ca="1">IF(D32="楼面单价",ROUND(C19,0),C19)</f>
        <v>656.91869999999994</v>
      </c>
      <c r="D102" s="2583" t="e">
        <f ca="1">IF(D32="楼面单价",ROUND(D19,0),D19)</f>
        <v>#DIV/0!</v>
      </c>
      <c r="E102" s="3656"/>
      <c r="F102" s="3657"/>
      <c r="G102" s="1827" t="s">
        <v>1430</v>
      </c>
      <c r="H102" s="2552" t="e">
        <f ca="1">I118</f>
        <v>#REF!</v>
      </c>
      <c r="I102" s="129"/>
    </row>
    <row r="103" spans="1:35" ht="42.75" customHeight="1">
      <c r="A103" s="3688"/>
      <c r="B103" s="2581" t="s">
        <v>1430</v>
      </c>
      <c r="C103" s="2584">
        <f ca="1">C20</f>
        <v>110966</v>
      </c>
      <c r="D103" s="2585">
        <f ca="1">D20</f>
        <v>0</v>
      </c>
      <c r="E103" s="3649" t="s">
        <v>1431</v>
      </c>
      <c r="F103" s="3650"/>
      <c r="G103" s="1828" t="s">
        <v>1432</v>
      </c>
      <c r="H103" s="2592">
        <f>IF(D36="正常操作",H104+H105+H106,H105+H106)</f>
        <v>0</v>
      </c>
      <c r="I103" s="129"/>
    </row>
    <row r="104" spans="1:35" ht="18.75" customHeight="1">
      <c r="A104" s="3688"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8"/>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9" t="str">
        <f>IF(项目基本情况!E8="已注销","——","3.房地产抵押价值")</f>
        <v>3.房地产抵押价值</v>
      </c>
      <c r="F107" s="3657"/>
      <c r="G107" s="1827" t="s">
        <v>1428</v>
      </c>
      <c r="H107" s="2592" t="e">
        <f ca="1">IF(E107="——","——",H101-H103)</f>
        <v>#REF!</v>
      </c>
      <c r="I107" s="129"/>
    </row>
    <row r="108" spans="1:35" ht="18.75" customHeight="1">
      <c r="A108" s="129"/>
      <c r="B108" s="129"/>
      <c r="C108" s="129"/>
      <c r="D108" s="129"/>
      <c r="E108" s="3689"/>
      <c r="F108" s="3657"/>
      <c r="G108" s="1827" t="s">
        <v>1430</v>
      </c>
      <c r="H108" s="2552">
        <f ca="1">IF(H107=H101,H102,ROUND(H107*10000/'数据-汇总表'!E3,0))</f>
        <v>0</v>
      </c>
      <c r="I108" s="129"/>
    </row>
    <row r="109" spans="1:35" ht="18.75" customHeight="1">
      <c r="A109" s="129"/>
      <c r="B109" s="129"/>
      <c r="C109" s="129"/>
      <c r="D109" s="129"/>
      <c r="E109" s="3689" t="str">
        <f>IF(项目基本情况!E8="已注销及未注销","4.抵押担保权已注销时的房地产抵押价值",IF(项目基本情况!E8="已注销","3.抵押担保权已注销时的房地产抵押价值","——"))</f>
        <v>——</v>
      </c>
      <c r="F109" s="3657"/>
      <c r="G109" s="1827" t="s">
        <v>1428</v>
      </c>
      <c r="H109" s="2595" t="str">
        <f>IF(E109="——","——",H101-H105-H106)</f>
        <v>——</v>
      </c>
      <c r="I109" s="129"/>
    </row>
    <row r="110" spans="1:35" ht="18.75" customHeight="1">
      <c r="A110" s="129"/>
      <c r="B110" s="129"/>
      <c r="C110" s="129"/>
      <c r="D110" s="129"/>
      <c r="E110" s="3689"/>
      <c r="F110" s="3657"/>
      <c r="G110" s="1827" t="s">
        <v>1430</v>
      </c>
      <c r="H110" s="2552" t="str">
        <f>IF(H109="——","——",ROUND(H109*10000/'数据-汇总表'!E3,0))</f>
        <v>——</v>
      </c>
      <c r="I110" s="129"/>
    </row>
    <row r="111" spans="1:35" ht="18.75" customHeight="1">
      <c r="A111" s="129"/>
      <c r="B111" s="129"/>
      <c r="C111" s="129"/>
      <c r="D111" s="129"/>
      <c r="E111" s="3690" t="str">
        <f>IF(项目基本情况!E9="抵押净值",IF(OR(项目基本情况!E8="已注销",项目基本情况!E8="房地产抵押价值"),"4.抵押净值","5.抵押净值"),"——")</f>
        <v>——</v>
      </c>
      <c r="F111" s="3676"/>
      <c r="G111" s="1827" t="s">
        <v>1428</v>
      </c>
      <c r="H111" s="2592" t="str">
        <f>IF(E111="——","——",N59)</f>
        <v>——</v>
      </c>
      <c r="I111" s="129"/>
    </row>
    <row r="112" spans="1:35" ht="18.75" customHeight="1" thickBot="1">
      <c r="A112" s="129"/>
      <c r="B112" s="129"/>
      <c r="C112" s="129"/>
      <c r="D112" s="129"/>
      <c r="E112" s="3691"/>
      <c r="F112" s="3692"/>
      <c r="G112" s="1830" t="s">
        <v>1430</v>
      </c>
      <c r="H112" s="2596" t="str">
        <f>IF(E111="——","——",N61)</f>
        <v>——</v>
      </c>
      <c r="I112" s="129"/>
    </row>
    <row r="113" spans="1:27" ht="18.75" customHeight="1">
      <c r="A113" s="129"/>
      <c r="B113" s="129"/>
      <c r="C113" s="129"/>
      <c r="D113" s="129"/>
      <c r="E113" s="3699" t="s">
        <v>1436</v>
      </c>
      <c r="F113" s="3699"/>
      <c r="G113" s="3699"/>
      <c r="H113" s="3699"/>
      <c r="I113" s="129"/>
    </row>
    <row r="114" spans="1:27" ht="3.75" customHeight="1">
      <c r="A114" s="1747"/>
      <c r="B114" s="1747"/>
      <c r="C114" s="1747"/>
      <c r="D114" s="1747"/>
      <c r="E114" s="1809"/>
      <c r="F114" s="1809"/>
      <c r="G114" s="1809"/>
      <c r="H114" s="1809"/>
      <c r="I114" s="1747"/>
    </row>
    <row r="115" spans="1:27" ht="18.75" customHeight="1">
      <c r="A115" s="3707" t="s">
        <v>1438</v>
      </c>
      <c r="B115" s="3708"/>
      <c r="C115" s="3708"/>
      <c r="D115" s="3708"/>
      <c r="E115" s="3708"/>
      <c r="F115" s="3708"/>
      <c r="G115" s="3708"/>
      <c r="H115" s="3708"/>
      <c r="I115" s="3709"/>
    </row>
    <row r="116" spans="1:27" ht="27" customHeight="1">
      <c r="A116" s="3664" t="s">
        <v>1439</v>
      </c>
      <c r="B116" s="3668" t="s">
        <v>1440</v>
      </c>
      <c r="C116" s="3668" t="s">
        <v>1441</v>
      </c>
      <c r="D116" s="3674" t="s">
        <v>1442</v>
      </c>
      <c r="E116" s="3675"/>
      <c r="F116" s="3706" t="s">
        <v>1443</v>
      </c>
      <c r="G116" s="3706"/>
      <c r="H116" s="3664" t="s">
        <v>1444</v>
      </c>
      <c r="I116" s="3664"/>
    </row>
    <row r="117" spans="1:27" ht="18.75" customHeight="1">
      <c r="A117" s="3664"/>
      <c r="B117" s="3669"/>
      <c r="C117" s="3669"/>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59.2</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4" t="s">
        <v>1448</v>
      </c>
      <c r="B119" s="3664"/>
      <c r="C119" s="3664"/>
      <c r="D119" s="3670" t="e">
        <f ca="1">NUMBERSTRING(INT(D118*10000),2)&amp;"元整"</f>
        <v>#REF!</v>
      </c>
      <c r="E119" s="3671"/>
      <c r="F119" s="3670" t="e">
        <f ca="1">NUMBERSTRING(INT(F118*10000),2)&amp;"元整"</f>
        <v>#REF!</v>
      </c>
      <c r="G119" s="3671"/>
      <c r="H119" s="3670" t="e">
        <f ca="1">NUMBERSTRING(INT(H118*10000),2)&amp;"元整"</f>
        <v>#REF!</v>
      </c>
      <c r="I119" s="3671"/>
    </row>
    <row r="120" spans="1:27" ht="18.75" customHeight="1">
      <c r="A120" s="3665" t="str">
        <f>IF(项目基本情况!B9="房地产市场价值","",MID(E103,3,LEN(E103)-2))</f>
        <v/>
      </c>
      <c r="B120" s="3666"/>
      <c r="C120" s="3667"/>
      <c r="D120" s="3665">
        <f>H103</f>
        <v>0</v>
      </c>
      <c r="E120" s="3666"/>
      <c r="F120" s="3666"/>
      <c r="G120" s="3666"/>
      <c r="H120" s="3666"/>
      <c r="I120" s="36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70" t="s">
        <v>1448</v>
      </c>
      <c r="B121" s="3672"/>
      <c r="C121" s="3671"/>
      <c r="D121" s="3670" t="str">
        <f>IF(D120=0,"零元整",NUMBERSTRING(INT(D120*10000),2)&amp;"元整")</f>
        <v>零元整</v>
      </c>
      <c r="E121" s="3672"/>
      <c r="F121" s="3672"/>
      <c r="G121" s="3672"/>
      <c r="H121" s="3672"/>
      <c r="I121" s="3671"/>
      <c r="AA121" s="725"/>
    </row>
    <row r="122" spans="1:27" ht="18.75" customHeight="1">
      <c r="A122" s="3676" t="str">
        <f>IF(项目基本情况!B9="房地产市场价值","",MID(E107,3,LEN(E107)-2))</f>
        <v/>
      </c>
      <c r="B122" s="3676"/>
      <c r="C122" s="3676"/>
      <c r="D122" s="3665" t="e">
        <f ca="1">H107</f>
        <v>#REF!</v>
      </c>
      <c r="E122" s="3666"/>
      <c r="F122" s="3666"/>
      <c r="G122" s="3666"/>
      <c r="H122" s="3666"/>
      <c r="I122" s="3667"/>
      <c r="AA122" s="725"/>
    </row>
    <row r="123" spans="1:27" ht="18.75" customHeight="1">
      <c r="A123" s="3664" t="s">
        <v>1448</v>
      </c>
      <c r="B123" s="3664"/>
      <c r="C123" s="3664"/>
      <c r="D123" s="3670" t="e">
        <f ca="1">NUMBERSTRING(INT(D122*10000),2)&amp;"元整"</f>
        <v>#REF!</v>
      </c>
      <c r="E123" s="3672"/>
      <c r="F123" s="3672"/>
      <c r="G123" s="3672"/>
      <c r="H123" s="3672"/>
      <c r="I123" s="3671"/>
      <c r="AA123" s="725"/>
    </row>
    <row r="124" spans="1:27" ht="18.75" customHeight="1">
      <c r="A124" s="3676" t="str">
        <f>IF(项目基本情况!B9="房地产市场价值","",MID(E109,3,LEN(E109)-2))</f>
        <v/>
      </c>
      <c r="B124" s="3676"/>
      <c r="C124" s="3676"/>
      <c r="D124" s="3665" t="str">
        <f>H109</f>
        <v>——</v>
      </c>
      <c r="E124" s="3666"/>
      <c r="F124" s="3666"/>
      <c r="G124" s="3666"/>
      <c r="H124" s="3666"/>
      <c r="I124" s="3667"/>
      <c r="AA124" s="725"/>
    </row>
    <row r="125" spans="1:27" ht="18.75" customHeight="1">
      <c r="A125" s="3664" t="s">
        <v>1448</v>
      </c>
      <c r="B125" s="3664"/>
      <c r="C125" s="3664"/>
      <c r="D125" s="3670" t="e">
        <f>NUMBERSTRING(INT(D124*10000),2)&amp;"元整"</f>
        <v>#VALUE!</v>
      </c>
      <c r="E125" s="3672"/>
      <c r="F125" s="3672"/>
      <c r="G125" s="3672"/>
      <c r="H125" s="3672"/>
      <c r="I125" s="3671"/>
      <c r="AA125" s="725"/>
    </row>
    <row r="126" spans="1:27" ht="18.75" customHeight="1">
      <c r="A126" s="3676" t="str">
        <f>IF(项目基本情况!B9="房地产市场价值","",MID(E111,3,LEN(E111)-2))</f>
        <v/>
      </c>
      <c r="B126" s="3676"/>
      <c r="C126" s="3676"/>
      <c r="D126" s="3665" t="str">
        <f>H111</f>
        <v>——</v>
      </c>
      <c r="E126" s="3666"/>
      <c r="F126" s="3666"/>
      <c r="G126" s="3666"/>
      <c r="H126" s="3666"/>
      <c r="I126" s="3667"/>
      <c r="AA126" s="725"/>
    </row>
    <row r="127" spans="1:27" ht="18.75" customHeight="1">
      <c r="A127" s="3664" t="s">
        <v>1448</v>
      </c>
      <c r="B127" s="3664"/>
      <c r="C127" s="3664"/>
      <c r="D127" s="3670" t="e">
        <f>NUMBERSTRING(INT(D126*10000),2)&amp;"元整"</f>
        <v>#VALUE!</v>
      </c>
      <c r="E127" s="3672"/>
      <c r="F127" s="3672"/>
      <c r="G127" s="3672"/>
      <c r="H127" s="3672"/>
      <c r="I127" s="3671"/>
      <c r="AA127" s="725"/>
    </row>
    <row r="128" spans="1:27" ht="21.75" customHeight="1">
      <c r="A128" s="3673" t="s">
        <v>1449</v>
      </c>
      <c r="B128" s="3673"/>
      <c r="C128" s="3673"/>
      <c r="D128" s="3673"/>
      <c r="E128" s="3673"/>
      <c r="F128" s="3673"/>
      <c r="G128" s="3673"/>
      <c r="H128" s="3673"/>
      <c r="I128" s="3673"/>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59.2</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59.2</v>
      </c>
      <c r="E19" s="211">
        <f>'数据-取费表'!B31</f>
        <v>200</v>
      </c>
      <c r="F19" s="231"/>
      <c r="G19" s="1856"/>
    </row>
    <row r="20" spans="1:7" s="214" customFormat="1" ht="13.5" customHeight="1">
      <c r="A20" s="255" t="s">
        <v>1489</v>
      </c>
      <c r="B20" s="210" t="s">
        <v>1490</v>
      </c>
      <c r="C20" s="232">
        <f ca="1">ROUND((C5+C19)*F20,0)</f>
        <v>0</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0</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0</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1</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1</v>
      </c>
      <c r="D37" s="217">
        <f ca="1">D19</f>
        <v>59.2</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43" t="s">
        <v>1540</v>
      </c>
    </row>
    <row r="43" spans="1:7" ht="13.5" customHeight="1">
      <c r="A43" s="780" t="s">
        <v>343</v>
      </c>
      <c r="B43" s="215" t="s">
        <v>1541</v>
      </c>
      <c r="C43" s="238">
        <f ca="1">ROUND(IF('数据-取费表'!B22&lt;=1,C39*F22*'数据-取费表'!B21/2,C39*(POWER((1+F22),'数据-取费表'!B21/2)-1)),0)</f>
        <v>0</v>
      </c>
      <c r="D43" s="238"/>
      <c r="E43" s="238"/>
      <c r="F43" s="239"/>
      <c r="G43" s="3744"/>
    </row>
    <row r="44" spans="1:7" ht="13.5" customHeight="1">
      <c r="A44" s="780" t="s">
        <v>344</v>
      </c>
      <c r="B44" s="215" t="s">
        <v>1542</v>
      </c>
      <c r="C44" s="238">
        <f ca="1">ROUND(IF('数据-取费表'!B22&lt;=1,C40*F22*'数据-取费表'!B21/2,C40*(POWER((1+F22),'数据-取费表'!B21/2)-1)),4)</f>
        <v>6.9999999999999999E-4</v>
      </c>
      <c r="D44" s="238"/>
      <c r="E44" s="238"/>
      <c r="F44" s="239"/>
      <c r="G44" s="3745"/>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9472</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9472</v>
      </c>
      <c r="D8" s="222"/>
      <c r="E8" s="220"/>
      <c r="F8" s="221"/>
      <c r="G8" s="1856"/>
    </row>
    <row r="9" spans="1:8" s="214" customFormat="1" ht="13.5" customHeight="1">
      <c r="A9" s="779" t="s">
        <v>351</v>
      </c>
      <c r="B9" s="224" t="s">
        <v>1474</v>
      </c>
      <c r="C9" s="225">
        <f ca="1">ROUND(D9*E9,0)</f>
        <v>9472</v>
      </c>
      <c r="D9" s="845">
        <f ca="1">IF(B1="",'数据-汇总表'!E5,IF(INDIRECT("'数据-取费表'!c"&amp;$G$1)="住宅",INDIRECT("'数据-取费表'!k"&amp;$G$1),0))</f>
        <v>59.2</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11840</v>
      </c>
      <c r="D19" s="849">
        <f ca="1">D9+D10</f>
        <v>59.2</v>
      </c>
      <c r="E19" s="211">
        <f>'数据-取费表'!B31</f>
        <v>200</v>
      </c>
      <c r="F19" s="231"/>
      <c r="G19" s="1856"/>
    </row>
    <row r="20" spans="1:7" s="214" customFormat="1" ht="13.5" customHeight="1">
      <c r="A20" s="255" t="s">
        <v>1570</v>
      </c>
      <c r="B20" s="210" t="s">
        <v>1571</v>
      </c>
      <c r="C20" s="232">
        <f ca="1">ROUND((C5+C19)*F20,0)</f>
        <v>426</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1600</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704</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880</v>
      </c>
      <c r="D24" s="238"/>
      <c r="E24" s="238"/>
      <c r="F24" s="239"/>
      <c r="G24" s="240" t="s">
        <v>1582</v>
      </c>
    </row>
    <row r="25" spans="1:7" s="214" customFormat="1" ht="24">
      <c r="A25" s="780" t="s">
        <v>1472</v>
      </c>
      <c r="B25" s="215" t="s">
        <v>1583</v>
      </c>
      <c r="C25" s="1128">
        <f ca="1">ROUND(IF('数据-取费表'!B22&lt;=1,C20*F22*'数据-取费表'!B22/2,C20*(POWER((1+F22),'数据-取费表'!B22/2)-1)),0)</f>
        <v>16</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11840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11840</v>
      </c>
      <c r="D37" s="217">
        <f ca="1">D19</f>
        <v>59.2</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237</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441</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432</v>
      </c>
      <c r="D42" s="238"/>
      <c r="E42" s="238"/>
      <c r="F42" s="239"/>
      <c r="G42" s="3743" t="s">
        <v>1587</v>
      </c>
    </row>
    <row r="43" spans="1:7" ht="13.5" customHeight="1">
      <c r="A43" s="780" t="s">
        <v>343</v>
      </c>
      <c r="B43" s="215" t="s">
        <v>1541</v>
      </c>
      <c r="C43" s="238">
        <f ca="1">ROUND(IF('数据-取费表'!B22&lt;=1,C39*F22*'数据-取费表'!B20/2,C39*(POWER((1+F22),'数据-取费表'!B20/2)-1)),0)</f>
        <v>9</v>
      </c>
      <c r="D43" s="238"/>
      <c r="E43" s="238"/>
      <c r="F43" s="239"/>
      <c r="G43" s="3744"/>
    </row>
    <row r="44" spans="1:7" ht="13.5" customHeight="1">
      <c r="A44" s="780" t="s">
        <v>344</v>
      </c>
      <c r="B44" s="215" t="s">
        <v>1542</v>
      </c>
      <c r="C44" s="238">
        <f ca="1">ROUND(IF('数据-取费表'!B22&lt;=1,C40*F22*'数据-取费表'!B20/2,C40*(POWER((1+F22),'数据-取费表'!B20/2)-1)),4)</f>
        <v>6.9999999999999999E-4</v>
      </c>
      <c r="D44" s="238"/>
      <c r="E44" s="238"/>
      <c r="F44" s="239"/>
      <c r="G44" s="3745"/>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60" t="str">
        <f>项目基本情况!B1</f>
        <v>北京市房地产市场价值预评估</v>
      </c>
      <c r="C37" s="3560"/>
      <c r="D37" s="3560"/>
      <c r="E37" s="3560"/>
      <c r="F37" s="3560"/>
      <c r="G37" s="3560"/>
      <c r="H37" s="3560"/>
      <c r="I37" s="3560"/>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59.2</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59.2</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59.2</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v>
      </c>
      <c r="D21" s="815"/>
      <c r="E21" s="281"/>
      <c r="F21" s="281"/>
      <c r="G21" s="131" t="s">
        <v>1625</v>
      </c>
      <c r="H21" s="807"/>
      <c r="I21" s="807"/>
      <c r="J21" s="807"/>
      <c r="K21" s="808"/>
    </row>
    <row r="22" spans="1:33" s="803" customFormat="1" ht="13.5" customHeight="1">
      <c r="A22" s="790" t="s">
        <v>1597</v>
      </c>
      <c r="B22" s="813" t="s">
        <v>1626</v>
      </c>
      <c r="C22" s="814">
        <f ca="1">ROUND(C21*F22,0)</f>
        <v>0</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8" t="s">
        <v>690</v>
      </c>
      <c r="C6" s="1074">
        <f ca="1">ROUND(F6*F8*F7*(1-F9)/10000,0)</f>
        <v>0</v>
      </c>
      <c r="D6" s="155" t="s">
        <v>2101</v>
      </c>
      <c r="E6" s="302" t="s">
        <v>692</v>
      </c>
      <c r="F6" s="303">
        <f ca="1">INDIRECT("'数据-取费表'!u"&amp;$G$1)</f>
        <v>0</v>
      </c>
      <c r="G6" s="1384"/>
      <c r="H6" s="1069" t="s">
        <v>394</v>
      </c>
      <c r="I6" s="3748" t="s">
        <v>690</v>
      </c>
      <c r="J6" s="301">
        <f ca="1">ROUND(M6*M8*M7*(1-M9)/10000,0)</f>
        <v>0</v>
      </c>
      <c r="K6" s="155" t="s">
        <v>2100</v>
      </c>
      <c r="L6" s="302" t="s">
        <v>692</v>
      </c>
      <c r="M6" s="303">
        <f ca="1">INDIRECT("'数据-取费表'!z"&amp;$G$1)</f>
        <v>0</v>
      </c>
    </row>
    <row r="7" spans="1:37" ht="18" customHeight="1">
      <c r="A7" s="1073"/>
      <c r="B7" s="3749"/>
      <c r="C7" s="1075"/>
      <c r="D7" s="307"/>
      <c r="E7" s="1076" t="s">
        <v>693</v>
      </c>
      <c r="F7" s="303">
        <f ca="1">IF(INDIRECT("'数据-取费表'!ah"&amp;$G$1)="",INDIRECT("'数据-取费表'!k"&amp;$G$1),INDIRECT("'数据-取费表'!ah"&amp;$G$1))</f>
        <v>0</v>
      </c>
      <c r="G7" s="1384"/>
      <c r="H7" s="304"/>
      <c r="I7" s="3749"/>
      <c r="J7" s="306"/>
      <c r="K7" s="307"/>
      <c r="L7" s="302" t="s">
        <v>693</v>
      </c>
      <c r="M7" s="303">
        <f ca="1">F7</f>
        <v>0</v>
      </c>
    </row>
    <row r="8" spans="1:37" ht="18" customHeight="1">
      <c r="A8" s="304"/>
      <c r="B8" s="3749"/>
      <c r="C8" s="306"/>
      <c r="D8" s="307"/>
      <c r="E8" s="302" t="s">
        <v>694</v>
      </c>
      <c r="F8" s="303">
        <f ca="1">INDIRECT("'数据-取费表'!ai"&amp;$G$1)</f>
        <v>0</v>
      </c>
      <c r="G8" s="1384"/>
      <c r="H8" s="304"/>
      <c r="I8" s="3749"/>
      <c r="J8" s="306"/>
      <c r="K8" s="307"/>
      <c r="L8" s="302" t="s">
        <v>694</v>
      </c>
      <c r="M8" s="303">
        <f ca="1">INDIRECT("'数据-取费表'!ai"&amp;$G$1)</f>
        <v>0</v>
      </c>
    </row>
    <row r="9" spans="1:37" ht="18" customHeight="1">
      <c r="A9" s="304"/>
      <c r="B9" s="3750"/>
      <c r="C9" s="306"/>
      <c r="D9" s="307"/>
      <c r="E9" s="302" t="s">
        <v>695</v>
      </c>
      <c r="F9" s="312">
        <f ca="1">INDIRECT("'数据-取费表'!w"&amp;$G$1)</f>
        <v>0</v>
      </c>
      <c r="G9" s="1384"/>
      <c r="H9" s="304"/>
      <c r="I9" s="3750"/>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6" t="s">
        <v>833</v>
      </c>
      <c r="L53" s="3747"/>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8" t="s">
        <v>690</v>
      </c>
      <c r="C6" s="1074">
        <f ca="1">ROUND(F6*F8*F7*(1-F9),0)</f>
        <v>0</v>
      </c>
      <c r="D6" s="155" t="s">
        <v>2098</v>
      </c>
      <c r="E6" s="302" t="s">
        <v>692</v>
      </c>
      <c r="F6" s="303">
        <f ca="1">INDIRECT("'数据-取费表'!u"&amp;$G$1)</f>
        <v>0</v>
      </c>
      <c r="G6" s="1384"/>
      <c r="H6" s="1069" t="s">
        <v>394</v>
      </c>
      <c r="I6" s="3748" t="s">
        <v>690</v>
      </c>
      <c r="J6" s="301">
        <f ca="1">ROUND(M6*M8*M7*(1-M9),0)</f>
        <v>0</v>
      </c>
      <c r="K6" s="1376" t="s">
        <v>2099</v>
      </c>
      <c r="L6" s="302" t="s">
        <v>692</v>
      </c>
      <c r="M6" s="303">
        <f ca="1">INDIRECT("'数据-取费表'!z"&amp;$G$1)</f>
        <v>0</v>
      </c>
    </row>
    <row r="7" spans="1:37" ht="18" customHeight="1">
      <c r="A7" s="1073"/>
      <c r="B7" s="3749"/>
      <c r="C7" s="1075"/>
      <c r="D7" s="307"/>
      <c r="E7" s="1076" t="s">
        <v>693</v>
      </c>
      <c r="F7" s="303">
        <f ca="1">IF(INDIRECT("'数据-取费表'!ah"&amp;$G$1)="",INDIRECT("'数据-取费表'!k"&amp;$G$1),INDIRECT("'数据-取费表'!ah"&amp;$G$1))</f>
        <v>0</v>
      </c>
      <c r="G7" s="1384"/>
      <c r="H7" s="304"/>
      <c r="I7" s="3749"/>
      <c r="J7" s="306"/>
      <c r="K7" s="307"/>
      <c r="L7" s="302" t="s">
        <v>693</v>
      </c>
      <c r="M7" s="303">
        <f ca="1">F7</f>
        <v>0</v>
      </c>
    </row>
    <row r="8" spans="1:37" ht="18" customHeight="1">
      <c r="A8" s="304"/>
      <c r="B8" s="3749"/>
      <c r="C8" s="306"/>
      <c r="D8" s="307"/>
      <c r="E8" s="302" t="s">
        <v>694</v>
      </c>
      <c r="F8" s="303">
        <f ca="1">INDIRECT("'数据-取费表'!ai"&amp;$G$1)</f>
        <v>0</v>
      </c>
      <c r="G8" s="1384"/>
      <c r="H8" s="304"/>
      <c r="I8" s="3749"/>
      <c r="J8" s="306"/>
      <c r="K8" s="307"/>
      <c r="L8" s="302" t="s">
        <v>694</v>
      </c>
      <c r="M8" s="303">
        <f ca="1">INDIRECT("'数据-取费表'!ai"&amp;$G$1)</f>
        <v>0</v>
      </c>
    </row>
    <row r="9" spans="1:37" ht="18" customHeight="1">
      <c r="A9" s="304"/>
      <c r="B9" s="3750"/>
      <c r="C9" s="306"/>
      <c r="D9" s="307"/>
      <c r="E9" s="302" t="s">
        <v>695</v>
      </c>
      <c r="F9" s="312">
        <f ca="1">INDIRECT("'数据-取费表'!w"&amp;$G$1)</f>
        <v>0</v>
      </c>
      <c r="G9" s="1384"/>
      <c r="H9" s="304"/>
      <c r="I9" s="3750"/>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6" t="s">
        <v>833</v>
      </c>
      <c r="L53" s="3747"/>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51" t="s">
        <v>2313</v>
      </c>
      <c r="K2" s="3752"/>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53" t="s">
        <v>2323</v>
      </c>
      <c r="K3" s="3754"/>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53" t="s">
        <v>2325</v>
      </c>
      <c r="K4" s="3754"/>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55" t="s">
        <v>2329</v>
      </c>
      <c r="B6" s="3756"/>
      <c r="C6" s="3757"/>
      <c r="D6" s="2867"/>
      <c r="E6" s="2868"/>
      <c r="F6" s="2869"/>
      <c r="G6" s="2870"/>
      <c r="H6" s="2845"/>
      <c r="I6" s="2846"/>
      <c r="J6" s="3758">
        <v>1</v>
      </c>
      <c r="K6" s="3759"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58"/>
      <c r="K7" s="3760"/>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62" t="s">
        <v>2343</v>
      </c>
      <c r="C8" s="3763"/>
      <c r="D8" s="2886" t="s">
        <v>2344</v>
      </c>
      <c r="E8" s="2887" t="s">
        <v>2345</v>
      </c>
      <c r="F8" s="2888" t="s">
        <v>2346</v>
      </c>
      <c r="G8" s="2889"/>
      <c r="H8" s="2845"/>
      <c r="I8" s="2846"/>
      <c r="J8" s="3758"/>
      <c r="K8" s="3760"/>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62" t="s">
        <v>2349</v>
      </c>
      <c r="C9" s="3763"/>
      <c r="D9" s="2886">
        <f>ROUND(D6*E9,0)</f>
        <v>0</v>
      </c>
      <c r="E9" s="2890"/>
      <c r="F9" s="2891" t="s">
        <v>2350</v>
      </c>
      <c r="G9" s="2870"/>
      <c r="H9" s="2845"/>
      <c r="I9" s="2846"/>
      <c r="J9" s="3758"/>
      <c r="K9" s="3760"/>
      <c r="L9" s="2880" t="s">
        <v>2351</v>
      </c>
      <c r="M9" s="2881"/>
      <c r="N9" s="2857"/>
      <c r="O9" s="2882"/>
      <c r="P9" s="2882"/>
      <c r="Q9" s="2883">
        <v>365</v>
      </c>
      <c r="R9" s="2884">
        <f t="shared" si="0"/>
        <v>0</v>
      </c>
      <c r="S9" s="2838"/>
      <c r="T9" s="2838"/>
      <c r="U9" s="2838"/>
      <c r="V9" s="2846"/>
    </row>
    <row r="10" spans="1:22" s="2850" customFormat="1" ht="13.15" customHeight="1">
      <c r="A10" s="2885">
        <v>2</v>
      </c>
      <c r="B10" s="3762" t="s">
        <v>2352</v>
      </c>
      <c r="C10" s="3763"/>
      <c r="D10" s="2886">
        <f>ROUND(D6*E10,0)</f>
        <v>0</v>
      </c>
      <c r="E10" s="2890"/>
      <c r="F10" s="2891" t="s">
        <v>2353</v>
      </c>
      <c r="G10" s="2870"/>
      <c r="H10" s="2845"/>
      <c r="I10" s="2846"/>
      <c r="J10" s="3758"/>
      <c r="K10" s="3760"/>
      <c r="L10" s="2880" t="s">
        <v>2354</v>
      </c>
      <c r="M10" s="2881"/>
      <c r="N10" s="2857"/>
      <c r="O10" s="2882"/>
      <c r="P10" s="2882"/>
      <c r="Q10" s="2883">
        <v>365</v>
      </c>
      <c r="R10" s="2884">
        <f t="shared" si="0"/>
        <v>0</v>
      </c>
      <c r="S10" s="2838"/>
      <c r="T10" s="2838"/>
      <c r="U10" s="2838"/>
      <c r="V10" s="2846"/>
    </row>
    <row r="11" spans="1:22" s="2850" customFormat="1" ht="13.15" customHeight="1">
      <c r="A11" s="2885">
        <v>3</v>
      </c>
      <c r="B11" s="3762" t="s">
        <v>2355</v>
      </c>
      <c r="C11" s="3763"/>
      <c r="D11" s="2886">
        <f>D12+D14+D15+D16</f>
        <v>0</v>
      </c>
      <c r="E11" s="2892" t="e">
        <f>D11/D6</f>
        <v>#DIV/0!</v>
      </c>
      <c r="F11" s="2888"/>
      <c r="G11" s="2889"/>
      <c r="H11" s="2845"/>
      <c r="I11" s="2846"/>
      <c r="J11" s="3758"/>
      <c r="K11" s="3760"/>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64" t="s">
        <v>2358</v>
      </c>
      <c r="C12" s="3765"/>
      <c r="D12" s="2894">
        <f>ROUND(D13*1.2%*(1-30%),0)</f>
        <v>0</v>
      </c>
      <c r="E12" s="2895">
        <v>1.2E-2</v>
      </c>
      <c r="F12" s="2888" t="s">
        <v>2359</v>
      </c>
      <c r="G12" s="2889"/>
      <c r="H12" s="2845"/>
      <c r="I12" s="2846"/>
      <c r="J12" s="3758"/>
      <c r="K12" s="3760"/>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58"/>
      <c r="K13" s="3760"/>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64" t="s">
        <v>2364</v>
      </c>
      <c r="C14" s="3765"/>
      <c r="D14" s="2894">
        <f>ROUND(E14*B5/10000,0)</f>
        <v>0</v>
      </c>
      <c r="E14" s="2883"/>
      <c r="F14" s="2888" t="s">
        <v>2365</v>
      </c>
      <c r="G14" s="2889"/>
      <c r="H14" s="2845"/>
      <c r="I14" s="2846"/>
      <c r="J14" s="3758"/>
      <c r="K14" s="3761"/>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64" t="s">
        <v>2368</v>
      </c>
      <c r="C15" s="3765"/>
      <c r="D15" s="2894">
        <f>ROUND(D6*E15,0)</f>
        <v>0</v>
      </c>
      <c r="E15" s="2895">
        <v>5.5E-2</v>
      </c>
      <c r="F15" s="2888" t="s">
        <v>2369</v>
      </c>
      <c r="G15" s="2870"/>
      <c r="H15" s="2845"/>
      <c r="I15" s="2846"/>
      <c r="J15" s="3758">
        <v>2</v>
      </c>
      <c r="K15" s="3759"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64" t="s">
        <v>2377</v>
      </c>
      <c r="C16" s="3765"/>
      <c r="D16" s="2905">
        <f>D6*E16</f>
        <v>0</v>
      </c>
      <c r="E16" s="2906"/>
      <c r="F16" s="2891" t="s">
        <v>2378</v>
      </c>
      <c r="G16" s="2870"/>
      <c r="H16" s="2845"/>
      <c r="I16" s="2846"/>
      <c r="J16" s="3758"/>
      <c r="K16" s="3760"/>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66" t="s">
        <v>2380</v>
      </c>
      <c r="C17" s="3767"/>
      <c r="D17" s="2908">
        <f>ROUND(D6*E17,0)</f>
        <v>0</v>
      </c>
      <c r="E17" s="2909"/>
      <c r="F17" s="2910" t="s">
        <v>2381</v>
      </c>
      <c r="G17" s="2870"/>
      <c r="H17" s="2845"/>
      <c r="I17" s="2846"/>
      <c r="J17" s="3758"/>
      <c r="K17" s="3760"/>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58"/>
      <c r="K18" s="3760"/>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58"/>
      <c r="K19" s="3761"/>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8">
        <v>3</v>
      </c>
      <c r="K20" s="3759"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58"/>
      <c r="K21" s="3760"/>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58"/>
      <c r="K22" s="3760"/>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58"/>
      <c r="K23" s="3760"/>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58"/>
      <c r="K24" s="3761"/>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68">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6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51" t="s">
        <v>2313</v>
      </c>
      <c r="K32" s="3752"/>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53" t="s">
        <v>2323</v>
      </c>
      <c r="K33" s="3754"/>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53" t="s">
        <v>2325</v>
      </c>
      <c r="K34" s="375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58">
        <v>1</v>
      </c>
      <c r="K36" s="3759"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58"/>
      <c r="K37" s="3760"/>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8"/>
      <c r="K38" s="3760"/>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58"/>
      <c r="K39" s="3760"/>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58"/>
      <c r="K40" s="3761"/>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8">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6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70" t="s">
        <v>1650</v>
      </c>
      <c r="C5" s="3771"/>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tabSelected="1" view="pageBreakPreview" topLeftCell="A34" zoomScaleNormal="100" zoomScaleSheetLayoutView="100" workbookViewId="0">
      <selection activeCell="E53" sqref="E53"/>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74" t="s">
        <v>3372</v>
      </c>
      <c r="B1" s="3774"/>
      <c r="C1" s="3774"/>
      <c r="D1" s="3774"/>
      <c r="E1" s="3774"/>
      <c r="F1" s="3774"/>
      <c r="G1" s="3774"/>
      <c r="H1" s="3774"/>
      <c r="I1" s="3774"/>
      <c r="K1" s="3775" t="s">
        <v>3373</v>
      </c>
      <c r="L1" s="3453" t="s">
        <v>3374</v>
      </c>
      <c r="M1" s="3454">
        <v>0</v>
      </c>
      <c r="N1" s="3524"/>
      <c r="O1" s="3524"/>
    </row>
    <row r="2" spans="1:16" ht="15.75" customHeight="1">
      <c r="A2" s="3455" t="s">
        <v>2640</v>
      </c>
      <c r="B2" s="3456" t="s">
        <v>3375</v>
      </c>
      <c r="C2" s="3776" t="s">
        <v>3376</v>
      </c>
      <c r="D2" s="3777"/>
      <c r="E2" s="3777"/>
      <c r="F2" s="3778"/>
      <c r="G2" s="3457" t="s">
        <v>3377</v>
      </c>
      <c r="H2" s="3779" t="s">
        <v>3378</v>
      </c>
      <c r="I2" s="3779"/>
      <c r="K2" s="3775"/>
      <c r="L2" s="3525"/>
    </row>
    <row r="3" spans="1:16">
      <c r="A3" s="3457" t="s">
        <v>3379</v>
      </c>
      <c r="B3" s="3460" t="s">
        <v>3380</v>
      </c>
      <c r="C3" s="3776">
        <f>ROUND('比较法-住宅'!C48*'比较法-住宅'!C33,0)</f>
        <v>6569187</v>
      </c>
      <c r="D3" s="3777"/>
      <c r="E3" s="3777"/>
      <c r="F3" s="3778"/>
      <c r="G3" s="3457" t="s">
        <v>3381</v>
      </c>
      <c r="H3" s="3460" t="s">
        <v>3382</v>
      </c>
      <c r="I3" s="3461">
        <f>'数据-汇总表'!E3</f>
        <v>59.2</v>
      </c>
      <c r="K3" s="3775"/>
      <c r="L3" s="3453" t="s">
        <v>3383</v>
      </c>
      <c r="M3" s="3458" t="s">
        <v>3384</v>
      </c>
      <c r="N3" s="3459"/>
      <c r="O3" s="3459"/>
    </row>
    <row r="4" spans="1:16">
      <c r="A4" s="3779" t="s">
        <v>3385</v>
      </c>
      <c r="B4" s="3780" t="s">
        <v>3386</v>
      </c>
      <c r="C4" s="3781">
        <f>ROUND(C3*(I4-I6)/(1-((1+I6)/(1+I4))^I5),0)</f>
        <v>226902</v>
      </c>
      <c r="D4" s="3782"/>
      <c r="E4" s="3782"/>
      <c r="F4" s="3783"/>
      <c r="G4" s="3779" t="s">
        <v>3387</v>
      </c>
      <c r="H4" s="3462" t="s">
        <v>3388</v>
      </c>
      <c r="I4" s="3463">
        <v>0.05</v>
      </c>
      <c r="K4" s="3775"/>
      <c r="L4" s="3453" t="s">
        <v>3389</v>
      </c>
      <c r="M4" s="3526">
        <f>ROUND(1-(1-M1)*M2/M3,2)</f>
        <v>1</v>
      </c>
      <c r="N4" s="3459"/>
      <c r="O4" s="3459"/>
    </row>
    <row r="5" spans="1:16" s="3527" customFormat="1" ht="18" customHeight="1">
      <c r="A5" s="3779"/>
      <c r="B5" s="3780"/>
      <c r="C5" s="3784"/>
      <c r="D5" s="3785"/>
      <c r="E5" s="3785"/>
      <c r="F5" s="3786"/>
      <c r="G5" s="3779"/>
      <c r="H5" s="3460" t="s">
        <v>3390</v>
      </c>
      <c r="I5" s="3464">
        <f>项目基本情况!C15</f>
        <v>70</v>
      </c>
      <c r="J5" s="3465"/>
      <c r="K5" s="3775"/>
      <c r="L5" s="3453" t="s">
        <v>3391</v>
      </c>
      <c r="M5" s="3466">
        <v>0.5</v>
      </c>
      <c r="N5" s="3459"/>
      <c r="O5" s="3459"/>
    </row>
    <row r="6" spans="1:16" s="3527" customFormat="1" ht="18" customHeight="1">
      <c r="A6" s="3779"/>
      <c r="B6" s="3780"/>
      <c r="C6" s="3787"/>
      <c r="D6" s="3788"/>
      <c r="E6" s="3788"/>
      <c r="F6" s="3789"/>
      <c r="G6" s="3779"/>
      <c r="H6" s="3460" t="s">
        <v>3392</v>
      </c>
      <c r="I6" s="3463">
        <v>0.02</v>
      </c>
      <c r="J6" s="3467"/>
      <c r="K6" s="3790" t="s">
        <v>3393</v>
      </c>
      <c r="L6" s="3468" t="s">
        <v>3394</v>
      </c>
      <c r="M6" s="3469" t="s">
        <v>3395</v>
      </c>
      <c r="N6" s="3469" t="s">
        <v>3396</v>
      </c>
      <c r="O6" s="3469" t="s">
        <v>3397</v>
      </c>
      <c r="P6" s="3469" t="s">
        <v>3398</v>
      </c>
    </row>
    <row r="7" spans="1:16" s="3527" customFormat="1" ht="18" customHeight="1">
      <c r="A7" s="3457" t="s">
        <v>3399</v>
      </c>
      <c r="B7" s="3460" t="s">
        <v>3400</v>
      </c>
      <c r="C7" s="3776">
        <f>ROUND(C23*I7,0)</f>
        <v>234385</v>
      </c>
      <c r="D7" s="3777"/>
      <c r="E7" s="3777"/>
      <c r="F7" s="3778"/>
      <c r="G7" s="3457" t="s">
        <v>3401</v>
      </c>
      <c r="H7" s="3460" t="s">
        <v>3402</v>
      </c>
      <c r="I7" s="3470">
        <v>0.6</v>
      </c>
      <c r="K7" s="3790"/>
      <c r="L7" s="3468" t="s">
        <v>3403</v>
      </c>
      <c r="M7" s="3469">
        <v>100</v>
      </c>
      <c r="N7" s="3469" t="s">
        <v>3404</v>
      </c>
      <c r="O7" s="3469">
        <v>80</v>
      </c>
      <c r="P7" s="3471">
        <v>0.3</v>
      </c>
    </row>
    <row r="8" spans="1:16" s="3527" customFormat="1" ht="18" customHeight="1">
      <c r="A8" s="3455" t="s">
        <v>3405</v>
      </c>
      <c r="B8" s="3460" t="s">
        <v>3406</v>
      </c>
      <c r="C8" s="3776">
        <f>ROUND(I8*I3,0)</f>
        <v>236800</v>
      </c>
      <c r="D8" s="3777"/>
      <c r="E8" s="3777"/>
      <c r="F8" s="3778"/>
      <c r="G8" s="3457" t="s">
        <v>3407</v>
      </c>
      <c r="H8" s="3460" t="s">
        <v>3408</v>
      </c>
      <c r="I8" s="3457">
        <v>4000</v>
      </c>
      <c r="J8" s="3472">
        <f>D36</f>
        <v>175.9</v>
      </c>
      <c r="K8" s="3790"/>
      <c r="L8" s="3468" t="s">
        <v>3409</v>
      </c>
      <c r="M8" s="3469">
        <v>100</v>
      </c>
      <c r="N8" s="3469" t="s">
        <v>3404</v>
      </c>
      <c r="O8" s="3469">
        <v>80</v>
      </c>
      <c r="P8" s="3471">
        <v>0.5</v>
      </c>
    </row>
    <row r="9" spans="1:16" s="3527" customFormat="1" ht="18" customHeight="1">
      <c r="A9" s="3455" t="s">
        <v>3410</v>
      </c>
      <c r="B9" s="3460" t="s">
        <v>3411</v>
      </c>
      <c r="C9" s="3776">
        <f>ROUND(C8*H9,0)</f>
        <v>7104</v>
      </c>
      <c r="D9" s="3777"/>
      <c r="E9" s="3777"/>
      <c r="F9" s="3778"/>
      <c r="G9" s="3457" t="s">
        <v>3412</v>
      </c>
      <c r="H9" s="3791">
        <v>0.03</v>
      </c>
      <c r="I9" s="3791"/>
      <c r="J9" s="3472">
        <f>D37</f>
        <v>405.21</v>
      </c>
      <c r="K9" s="3790"/>
      <c r="L9" s="3468" t="s">
        <v>3413</v>
      </c>
      <c r="M9" s="3469">
        <v>100</v>
      </c>
      <c r="N9" s="3469" t="s">
        <v>3404</v>
      </c>
      <c r="O9" s="3469">
        <v>80</v>
      </c>
      <c r="P9" s="3471">
        <f>1-P7-P8</f>
        <v>0.19999999999999996</v>
      </c>
    </row>
    <row r="10" spans="1:16" s="3527" customFormat="1" ht="18" customHeight="1">
      <c r="A10" s="3455" t="s">
        <v>3414</v>
      </c>
      <c r="B10" s="3460" t="s">
        <v>3415</v>
      </c>
      <c r="C10" s="3776">
        <f>ROUND(C8*H10,0)</f>
        <v>23680</v>
      </c>
      <c r="D10" s="3777"/>
      <c r="E10" s="3777"/>
      <c r="F10" s="3778"/>
      <c r="G10" s="3457" t="s">
        <v>3412</v>
      </c>
      <c r="H10" s="3791">
        <v>0.1</v>
      </c>
      <c r="I10" s="3791"/>
      <c r="J10" s="3472">
        <f>D38</f>
        <v>175.9</v>
      </c>
      <c r="K10" s="3790"/>
      <c r="L10" s="3473" t="s">
        <v>3391</v>
      </c>
      <c r="M10" s="3474">
        <f>1-M5</f>
        <v>0.5</v>
      </c>
      <c r="N10" s="3469" t="s">
        <v>3389</v>
      </c>
      <c r="O10" s="3473">
        <f>ROUND((O7*P7+O8*P8+O9*P9)/100,2)</f>
        <v>0.8</v>
      </c>
      <c r="P10" s="3475"/>
    </row>
    <row r="11" spans="1:16" s="3527" customFormat="1" ht="29.25" customHeight="1">
      <c r="A11" s="3455" t="s">
        <v>3416</v>
      </c>
      <c r="B11" s="3460" t="s">
        <v>3417</v>
      </c>
      <c r="C11" s="3776">
        <f>ROUND(I11*I3,0)</f>
        <v>11840</v>
      </c>
      <c r="D11" s="3777"/>
      <c r="E11" s="3777"/>
      <c r="F11" s="3778"/>
      <c r="G11" s="3457" t="s">
        <v>3418</v>
      </c>
      <c r="H11" s="3460" t="s">
        <v>3419</v>
      </c>
      <c r="I11" s="3457">
        <v>200</v>
      </c>
      <c r="J11" s="3465"/>
      <c r="K11" s="3523"/>
      <c r="L11" s="3523"/>
    </row>
    <row r="12" spans="1:16" s="3527" customFormat="1" ht="18" customHeight="1">
      <c r="A12" s="3455" t="s">
        <v>3420</v>
      </c>
      <c r="B12" s="3460" t="s">
        <v>3421</v>
      </c>
      <c r="C12" s="3776">
        <f>ROUND(C8*H12,0)</f>
        <v>3552</v>
      </c>
      <c r="D12" s="3777"/>
      <c r="E12" s="3777"/>
      <c r="F12" s="3778"/>
      <c r="G12" s="3457" t="s">
        <v>3412</v>
      </c>
      <c r="H12" s="3791">
        <v>1.4999999999999999E-2</v>
      </c>
      <c r="I12" s="3791"/>
      <c r="J12" s="3476" t="s">
        <v>3422</v>
      </c>
      <c r="L12" s="3477"/>
    </row>
    <row r="13" spans="1:16" s="3527" customFormat="1" ht="18" customHeight="1">
      <c r="A13" s="3455" t="s">
        <v>434</v>
      </c>
      <c r="B13" s="3460" t="s">
        <v>3423</v>
      </c>
      <c r="C13" s="3776">
        <f>SUM(C8:F12)</f>
        <v>282976</v>
      </c>
      <c r="D13" s="3777"/>
      <c r="E13" s="3777"/>
      <c r="F13" s="3778"/>
      <c r="G13" s="3779" t="s">
        <v>3424</v>
      </c>
      <c r="H13" s="3779"/>
      <c r="I13" s="3779"/>
      <c r="J13" s="3476" t="s">
        <v>3425</v>
      </c>
      <c r="L13" s="3477"/>
    </row>
    <row r="14" spans="1:16" s="3527" customFormat="1" ht="18" customHeight="1">
      <c r="A14" s="3455" t="s">
        <v>3426</v>
      </c>
      <c r="B14" s="3460" t="s">
        <v>3427</v>
      </c>
      <c r="C14" s="3776">
        <f>ROUND(C13*H14,0)</f>
        <v>5660</v>
      </c>
      <c r="D14" s="3777"/>
      <c r="E14" s="3777"/>
      <c r="F14" s="3778"/>
      <c r="G14" s="3457" t="s">
        <v>3428</v>
      </c>
      <c r="H14" s="3791">
        <v>0.02</v>
      </c>
      <c r="I14" s="3791"/>
      <c r="J14" s="3465"/>
      <c r="L14" s="3477"/>
    </row>
    <row r="15" spans="1:16" s="3527" customFormat="1" ht="18" customHeight="1">
      <c r="A15" s="3455" t="s">
        <v>389</v>
      </c>
      <c r="B15" s="3460" t="s">
        <v>3429</v>
      </c>
      <c r="C15" s="3796">
        <f>H15</f>
        <v>0.02</v>
      </c>
      <c r="D15" s="3797"/>
      <c r="E15" s="3794" t="str">
        <f>E18</f>
        <v>V</v>
      </c>
      <c r="F15" s="3795"/>
      <c r="G15" s="3457" t="s">
        <v>3430</v>
      </c>
      <c r="H15" s="3791">
        <v>0.02</v>
      </c>
      <c r="I15" s="3791"/>
      <c r="J15" s="3478"/>
      <c r="K15" s="3528"/>
    </row>
    <row r="16" spans="1:16" s="3527" customFormat="1" ht="18" customHeight="1">
      <c r="A16" s="3479" t="s">
        <v>390</v>
      </c>
      <c r="B16" s="3480" t="s">
        <v>3431</v>
      </c>
      <c r="C16" s="3481">
        <f>C17</f>
        <v>13710</v>
      </c>
      <c r="D16" s="3482" t="s">
        <v>3432</v>
      </c>
      <c r="E16" s="3483">
        <f>C18</f>
        <v>9.5E-4</v>
      </c>
      <c r="F16" s="3484" t="str">
        <f>E18</f>
        <v>V</v>
      </c>
      <c r="G16" s="3776" t="s">
        <v>3433</v>
      </c>
      <c r="H16" s="3777"/>
      <c r="I16" s="3778"/>
      <c r="J16" s="3465"/>
      <c r="K16" s="3523"/>
    </row>
    <row r="17" spans="1:12" s="3527" customFormat="1" ht="18" customHeight="1">
      <c r="A17" s="3455" t="s">
        <v>3434</v>
      </c>
      <c r="B17" s="3460" t="s">
        <v>3435</v>
      </c>
      <c r="C17" s="3776">
        <f>ROUND((C13+C14)*I18*(I17/2),0)</f>
        <v>13710</v>
      </c>
      <c r="D17" s="3777"/>
      <c r="E17" s="3777"/>
      <c r="F17" s="3778"/>
      <c r="G17" s="3481" t="s">
        <v>3436</v>
      </c>
      <c r="H17" s="3460" t="s">
        <v>3437</v>
      </c>
      <c r="I17" s="3457">
        <v>2</v>
      </c>
      <c r="J17" s="3476" t="s">
        <v>3438</v>
      </c>
      <c r="K17" s="3523"/>
      <c r="L17" s="3523"/>
    </row>
    <row r="18" spans="1:12" s="3527" customFormat="1" ht="18" customHeight="1">
      <c r="A18" s="3455" t="s">
        <v>3439</v>
      </c>
      <c r="B18" s="3460" t="s">
        <v>3440</v>
      </c>
      <c r="C18" s="3792">
        <f>H15*I18*I17/2</f>
        <v>9.5E-4</v>
      </c>
      <c r="D18" s="3793"/>
      <c r="E18" s="3794" t="s">
        <v>3441</v>
      </c>
      <c r="F18" s="3795"/>
      <c r="G18" s="3481" t="s">
        <v>3442</v>
      </c>
      <c r="H18" s="3460" t="s">
        <v>3443</v>
      </c>
      <c r="I18" s="3485">
        <v>4.7500000000000001E-2</v>
      </c>
      <c r="J18" s="3476" t="s">
        <v>3444</v>
      </c>
      <c r="K18" s="3523"/>
      <c r="L18" s="3523"/>
    </row>
    <row r="19" spans="1:12" s="3527" customFormat="1" ht="27" customHeight="1">
      <c r="A19" s="3455" t="s">
        <v>391</v>
      </c>
      <c r="B19" s="3460" t="s">
        <v>3445</v>
      </c>
      <c r="C19" s="3481">
        <f>C20</f>
        <v>57727</v>
      </c>
      <c r="D19" s="3482" t="s">
        <v>3432</v>
      </c>
      <c r="E19" s="3482">
        <f>C21</f>
        <v>4.0000000000000001E-3</v>
      </c>
      <c r="F19" s="3484" t="str">
        <f>E21</f>
        <v>V</v>
      </c>
      <c r="G19" s="3776" t="s">
        <v>3446</v>
      </c>
      <c r="H19" s="3777"/>
      <c r="I19" s="3778"/>
      <c r="J19" s="3465"/>
      <c r="K19" s="3523"/>
      <c r="L19" s="3523"/>
    </row>
    <row r="20" spans="1:12" s="3527" customFormat="1" ht="26.25" customHeight="1">
      <c r="A20" s="3455" t="s">
        <v>3447</v>
      </c>
      <c r="B20" s="3460" t="s">
        <v>3448</v>
      </c>
      <c r="C20" s="3776">
        <f>ROUND((C13+C14)*I20,0)</f>
        <v>57727</v>
      </c>
      <c r="D20" s="3777"/>
      <c r="E20" s="3777"/>
      <c r="F20" s="3778"/>
      <c r="G20" s="3457" t="s">
        <v>3449</v>
      </c>
      <c r="H20" s="3800" t="s">
        <v>3450</v>
      </c>
      <c r="I20" s="3802">
        <v>0.2</v>
      </c>
      <c r="J20" s="3476" t="s">
        <v>3451</v>
      </c>
      <c r="K20" s="3523"/>
      <c r="L20" s="3523"/>
    </row>
    <row r="21" spans="1:12" s="3527" customFormat="1" ht="27" customHeight="1">
      <c r="A21" s="3455" t="s">
        <v>3447</v>
      </c>
      <c r="B21" s="3460" t="s">
        <v>3452</v>
      </c>
      <c r="C21" s="3796">
        <f>H15*I20</f>
        <v>4.0000000000000001E-3</v>
      </c>
      <c r="D21" s="3797"/>
      <c r="E21" s="3794" t="s">
        <v>3441</v>
      </c>
      <c r="F21" s="3795"/>
      <c r="G21" s="3457" t="s">
        <v>3453</v>
      </c>
      <c r="H21" s="3801"/>
      <c r="I21" s="3802"/>
      <c r="J21" s="3465"/>
      <c r="K21" s="3523"/>
      <c r="L21" s="3523"/>
    </row>
    <row r="22" spans="1:12" s="3527" customFormat="1" ht="18" customHeight="1">
      <c r="A22" s="3455" t="s">
        <v>392</v>
      </c>
      <c r="B22" s="3460" t="s">
        <v>3454</v>
      </c>
      <c r="C22" s="3796">
        <f>ROUND(H22/1.05,4)</f>
        <v>5.33E-2</v>
      </c>
      <c r="D22" s="3797"/>
      <c r="E22" s="3794" t="s">
        <v>3441</v>
      </c>
      <c r="F22" s="3795"/>
      <c r="G22" s="3457" t="s">
        <v>3455</v>
      </c>
      <c r="H22" s="3791">
        <v>5.6000000000000001E-2</v>
      </c>
      <c r="I22" s="3791"/>
      <c r="J22" s="3486"/>
      <c r="K22" s="3523"/>
      <c r="L22" s="3523"/>
    </row>
    <row r="23" spans="1:12" s="3527" customFormat="1" ht="18" customHeight="1">
      <c r="A23" s="3455" t="s">
        <v>3456</v>
      </c>
      <c r="B23" s="3460" t="s">
        <v>3457</v>
      </c>
      <c r="C23" s="3776">
        <f>ROUND((C13+C14+C17+C20)/(1-H15-C18-C21-C22),0)</f>
        <v>390641</v>
      </c>
      <c r="D23" s="3777"/>
      <c r="E23" s="3777"/>
      <c r="F23" s="3778"/>
      <c r="G23" s="3776" t="s">
        <v>3458</v>
      </c>
      <c r="H23" s="3777"/>
      <c r="I23" s="3778"/>
      <c r="J23" s="3486"/>
      <c r="K23" s="3523"/>
      <c r="L23" s="3523"/>
    </row>
    <row r="24" spans="1:12" s="3527" customFormat="1" ht="18" customHeight="1">
      <c r="A24" s="3455" t="s">
        <v>3459</v>
      </c>
      <c r="B24" s="3460" t="s">
        <v>3460</v>
      </c>
      <c r="C24" s="3487">
        <f>C27+C28</f>
        <v>8282</v>
      </c>
      <c r="D24" s="3488" t="s">
        <v>3461</v>
      </c>
      <c r="E24" s="3798">
        <f>H25+E29+E26</f>
        <v>0.13999999999999999</v>
      </c>
      <c r="F24" s="3799"/>
      <c r="G24" s="3779" t="s">
        <v>3462</v>
      </c>
      <c r="H24" s="3779"/>
      <c r="I24" s="3779"/>
      <c r="J24" s="3486"/>
      <c r="K24" s="3523"/>
      <c r="L24" s="3523"/>
    </row>
    <row r="25" spans="1:12" s="3527" customFormat="1" ht="18" customHeight="1">
      <c r="A25" s="3455" t="s">
        <v>434</v>
      </c>
      <c r="B25" s="3460" t="s">
        <v>3463</v>
      </c>
      <c r="C25" s="3796" t="s">
        <v>3464</v>
      </c>
      <c r="D25" s="3797"/>
      <c r="E25" s="3798">
        <f>ROUND(H25/1.05,4)</f>
        <v>0.1143</v>
      </c>
      <c r="F25" s="3799"/>
      <c r="G25" s="3457" t="s">
        <v>3465</v>
      </c>
      <c r="H25" s="3803">
        <v>0.12</v>
      </c>
      <c r="I25" s="3803"/>
      <c r="J25" s="3478"/>
      <c r="K25" s="3523"/>
      <c r="L25" s="3523"/>
    </row>
    <row r="26" spans="1:12" s="3527" customFormat="1" ht="18" customHeight="1">
      <c r="A26" s="3455" t="s">
        <v>3426</v>
      </c>
      <c r="B26" s="3460" t="s">
        <v>3466</v>
      </c>
      <c r="C26" s="3796" t="s">
        <v>3464</v>
      </c>
      <c r="D26" s="3797"/>
      <c r="E26" s="3798">
        <v>0</v>
      </c>
      <c r="F26" s="3799"/>
      <c r="G26" s="3457" t="s">
        <v>3467</v>
      </c>
      <c r="H26" s="3804">
        <v>0</v>
      </c>
      <c r="I26" s="3805"/>
      <c r="J26" s="3478"/>
      <c r="K26" s="3523"/>
      <c r="L26" s="3523"/>
    </row>
    <row r="27" spans="1:12" s="3527" customFormat="1" ht="18" customHeight="1">
      <c r="A27" s="3455" t="s">
        <v>389</v>
      </c>
      <c r="B27" s="3460" t="s">
        <v>3468</v>
      </c>
      <c r="C27" s="3776">
        <f>ROUND(C23*H27,0)</f>
        <v>7813</v>
      </c>
      <c r="D27" s="3777"/>
      <c r="E27" s="3777"/>
      <c r="F27" s="3778"/>
      <c r="G27" s="3457" t="s">
        <v>3469</v>
      </c>
      <c r="H27" s="3803">
        <v>0.02</v>
      </c>
      <c r="I27" s="3803"/>
      <c r="J27" s="3478"/>
      <c r="K27" s="3523"/>
      <c r="L27" s="3523"/>
    </row>
    <row r="28" spans="1:12" s="3527" customFormat="1" ht="18" customHeight="1">
      <c r="A28" s="3455" t="s">
        <v>390</v>
      </c>
      <c r="B28" s="3460" t="s">
        <v>3470</v>
      </c>
      <c r="C28" s="3776">
        <f>ROUND(C7*H28,0)</f>
        <v>469</v>
      </c>
      <c r="D28" s="3777"/>
      <c r="E28" s="3777"/>
      <c r="F28" s="3778"/>
      <c r="G28" s="3457" t="s">
        <v>3471</v>
      </c>
      <c r="H28" s="3806">
        <v>2E-3</v>
      </c>
      <c r="I28" s="3806"/>
      <c r="J28" s="3465"/>
      <c r="K28" s="3523"/>
      <c r="L28" s="3523"/>
    </row>
    <row r="29" spans="1:12" s="3527" customFormat="1" ht="18" customHeight="1">
      <c r="A29" s="3455" t="s">
        <v>391</v>
      </c>
      <c r="B29" s="3460" t="s">
        <v>3472</v>
      </c>
      <c r="C29" s="3796" t="s">
        <v>3464</v>
      </c>
      <c r="D29" s="3797"/>
      <c r="E29" s="3798">
        <f>H29</f>
        <v>0.02</v>
      </c>
      <c r="F29" s="3799"/>
      <c r="G29" s="3457" t="s">
        <v>3473</v>
      </c>
      <c r="H29" s="3803">
        <v>0.02</v>
      </c>
      <c r="I29" s="3803"/>
      <c r="J29" s="3492"/>
      <c r="K29" s="3523"/>
      <c r="L29" s="3523"/>
    </row>
    <row r="30" spans="1:12" s="3527" customFormat="1" ht="18" customHeight="1">
      <c r="A30" s="3457" t="s">
        <v>3474</v>
      </c>
      <c r="B30" s="3460" t="s">
        <v>3475</v>
      </c>
      <c r="C30" s="3776">
        <f>ROUND((C4+C24)/(1-E24),0)</f>
        <v>273470</v>
      </c>
      <c r="D30" s="3777"/>
      <c r="E30" s="3777"/>
      <c r="F30" s="3778"/>
      <c r="G30" s="3779" t="s">
        <v>3476</v>
      </c>
      <c r="H30" s="3779"/>
      <c r="I30" s="3779"/>
      <c r="J30" s="3489" t="s">
        <v>3477</v>
      </c>
      <c r="K30" s="3523"/>
      <c r="L30" s="3523"/>
    </row>
    <row r="31" spans="1:12" s="3527" customFormat="1" ht="18" customHeight="1">
      <c r="A31" s="3779" t="s">
        <v>3478</v>
      </c>
      <c r="B31" s="3780" t="s">
        <v>3479</v>
      </c>
      <c r="C31" s="3807">
        <f>ROUND(C30/I31/I32/I3,2)</f>
        <v>405.21</v>
      </c>
      <c r="D31" s="3808"/>
      <c r="E31" s="3808"/>
      <c r="F31" s="3809"/>
      <c r="G31" s="3779" t="s">
        <v>3480</v>
      </c>
      <c r="H31" s="3460" t="s">
        <v>3481</v>
      </c>
      <c r="I31" s="3457">
        <v>12</v>
      </c>
      <c r="J31" s="3490"/>
      <c r="K31" s="3523"/>
      <c r="L31" s="3523"/>
    </row>
    <row r="32" spans="1:12" s="3527" customFormat="1" ht="18" customHeight="1">
      <c r="A32" s="3779"/>
      <c r="B32" s="3780"/>
      <c r="C32" s="3810"/>
      <c r="D32" s="3811"/>
      <c r="E32" s="3811"/>
      <c r="F32" s="3812"/>
      <c r="G32" s="3779"/>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13" t="s">
        <v>3563</v>
      </c>
      <c r="C34" s="3813"/>
      <c r="D34" s="3813"/>
      <c r="E34" s="3813"/>
      <c r="F34" s="3813"/>
      <c r="G34" s="3493"/>
      <c r="H34" s="3494"/>
      <c r="I34" s="3525"/>
      <c r="J34" s="3465"/>
      <c r="K34" s="3523"/>
      <c r="L34" s="3523"/>
      <c r="M34" s="3525"/>
    </row>
    <row r="35" spans="1:13" s="3527" customFormat="1" ht="18" customHeight="1">
      <c r="A35" s="3525"/>
      <c r="B35" s="3495" t="s">
        <v>3483</v>
      </c>
      <c r="C35" s="3495" t="s">
        <v>3398</v>
      </c>
      <c r="D35" s="3814" t="s">
        <v>3484</v>
      </c>
      <c r="E35" s="3814"/>
      <c r="F35" s="3814"/>
      <c r="G35" s="3493"/>
      <c r="H35" s="3773" t="s">
        <v>3565</v>
      </c>
      <c r="I35" s="3773"/>
      <c r="J35" s="3486"/>
      <c r="K35" s="3525"/>
      <c r="L35" s="3525"/>
      <c r="M35" s="3525"/>
    </row>
    <row r="36" spans="1:13">
      <c r="B36" s="3495" t="s">
        <v>3485</v>
      </c>
      <c r="C36" s="3531">
        <v>1</v>
      </c>
      <c r="D36" s="3815">
        <f>'租金比较法-住宅 '!C49</f>
        <v>175.9</v>
      </c>
      <c r="E36" s="3815"/>
      <c r="F36" s="3815"/>
      <c r="G36" s="3493">
        <f>(D36-D37)/D37</f>
        <v>-0.56590409910910389</v>
      </c>
      <c r="H36" s="3534"/>
      <c r="I36" s="3535"/>
      <c r="K36" s="3525"/>
      <c r="L36" s="3525"/>
    </row>
    <row r="37" spans="1:13" ht="12.75" customHeight="1">
      <c r="B37" s="3495" t="s">
        <v>3486</v>
      </c>
      <c r="C37" s="3531">
        <f>1-C36</f>
        <v>0</v>
      </c>
      <c r="D37" s="3815">
        <f>C31</f>
        <v>405.21</v>
      </c>
      <c r="E37" s="3815"/>
      <c r="F37" s="3815"/>
      <c r="G37" s="3493"/>
      <c r="H37" s="3493"/>
      <c r="I37" s="3493"/>
      <c r="J37" s="3525"/>
      <c r="K37" s="3525"/>
      <c r="L37" s="3525"/>
    </row>
    <row r="38" spans="1:13" ht="22.5" customHeight="1">
      <c r="B38" s="3814" t="s">
        <v>3609</v>
      </c>
      <c r="C38" s="3814"/>
      <c r="D38" s="3816">
        <f>ROUND(C36*D36+C37*D37,1)</f>
        <v>175.9</v>
      </c>
      <c r="E38" s="3816"/>
      <c r="F38" s="3816"/>
      <c r="G38" s="3818" t="s">
        <v>3564</v>
      </c>
      <c r="H38" s="3773"/>
      <c r="I38" s="3773"/>
      <c r="J38" s="3525"/>
      <c r="K38" s="3525"/>
      <c r="L38" s="3525"/>
    </row>
    <row r="39" spans="1:13" ht="22.5" hidden="1" customHeight="1">
      <c r="B39" s="3495" t="s">
        <v>3487</v>
      </c>
      <c r="C39" s="3495">
        <f>ROUND(D38*0.9,1)</f>
        <v>158.30000000000001</v>
      </c>
      <c r="D39" s="3496" t="s">
        <v>3488</v>
      </c>
      <c r="E39" s="3817">
        <f>ROUND(D38*1.1,1)</f>
        <v>193.5</v>
      </c>
      <c r="F39" s="3817"/>
      <c r="G39" s="3493" t="s">
        <v>3489</v>
      </c>
      <c r="H39" s="3497">
        <v>11</v>
      </c>
      <c r="J39" s="3525"/>
      <c r="K39" s="3525"/>
      <c r="L39" s="3525"/>
    </row>
    <row r="40" spans="1:13" ht="18" hidden="1" customHeight="1">
      <c r="B40" s="3495" t="s">
        <v>3490</v>
      </c>
      <c r="C40" s="3495">
        <f>ROUND(C39+H40,1)</f>
        <v>158.5</v>
      </c>
      <c r="D40" s="3496" t="s">
        <v>3488</v>
      </c>
      <c r="E40" s="3817">
        <f>ROUND(E39+H40,1)</f>
        <v>193.7</v>
      </c>
      <c r="F40" s="3817"/>
      <c r="G40" s="3536" t="s">
        <v>3491</v>
      </c>
      <c r="H40" s="3498">
        <v>0.2</v>
      </c>
      <c r="J40" s="3525"/>
      <c r="K40" s="3525"/>
      <c r="L40" s="3525"/>
    </row>
    <row r="41" spans="1:13" ht="18" customHeight="1">
      <c r="B41" s="3772" t="s">
        <v>3607</v>
      </c>
      <c r="C41" s="3772"/>
      <c r="D41" s="3772">
        <f>ROUND(D38*I3,0)</f>
        <v>10413</v>
      </c>
      <c r="E41" s="3772"/>
      <c r="F41" s="3772"/>
      <c r="G41" s="3493"/>
      <c r="H41" s="3493"/>
      <c r="I41" s="3493"/>
      <c r="J41" s="3525"/>
    </row>
    <row r="42" spans="1:13" ht="18" hidden="1" customHeight="1">
      <c r="B42" s="3550" t="s">
        <v>3492</v>
      </c>
      <c r="C42" s="3551"/>
      <c r="D42" s="3494"/>
      <c r="E42" s="3493" t="s">
        <v>3493</v>
      </c>
      <c r="F42" s="3494"/>
      <c r="G42" s="3493"/>
      <c r="H42" s="3493" t="s">
        <v>3494</v>
      </c>
      <c r="I42" s="3530"/>
      <c r="J42" s="3525"/>
    </row>
    <row r="43" spans="1:13" ht="18" customHeight="1">
      <c r="B43" s="3772" t="s">
        <v>3608</v>
      </c>
      <c r="C43" s="3772"/>
      <c r="D43" s="3772">
        <f>ROUND(D41*(1+G43),0)</f>
        <v>11454</v>
      </c>
      <c r="E43" s="3772"/>
      <c r="F43" s="3772"/>
      <c r="G43" s="3552">
        <v>0.1</v>
      </c>
      <c r="H43" s="3553" t="s">
        <v>3604</v>
      </c>
      <c r="I43" s="3530"/>
      <c r="J43" s="3525"/>
    </row>
    <row r="44" spans="1:13" ht="18" customHeight="1">
      <c r="B44" s="3773" t="s">
        <v>3601</v>
      </c>
      <c r="C44" s="3773"/>
      <c r="D44" s="3773">
        <v>9000</v>
      </c>
      <c r="E44" s="3773"/>
      <c r="F44" s="3773"/>
      <c r="G44" s="3543"/>
      <c r="H44" s="3543"/>
      <c r="I44" s="3530"/>
      <c r="J44" s="3525"/>
    </row>
    <row r="45" spans="1:13" ht="18" customHeight="1">
      <c r="B45" s="3773" t="s">
        <v>3602</v>
      </c>
      <c r="C45" s="3773"/>
      <c r="D45" s="3773">
        <v>9500</v>
      </c>
      <c r="E45" s="3773"/>
      <c r="F45" s="3773"/>
      <c r="G45" s="3543">
        <f>D45+1500</f>
        <v>11000</v>
      </c>
      <c r="H45" s="3543"/>
      <c r="I45" s="3530"/>
      <c r="J45" s="3525"/>
    </row>
    <row r="46" spans="1:13" ht="15.75" hidden="1" customHeight="1">
      <c r="B46" s="3773" t="s">
        <v>3603</v>
      </c>
      <c r="C46" s="3773"/>
      <c r="D46" s="3773">
        <f>D45*24</f>
        <v>228000</v>
      </c>
      <c r="E46" s="3773"/>
      <c r="F46" s="3773"/>
      <c r="H46" s="3530"/>
      <c r="I46" s="3530"/>
    </row>
    <row r="47" spans="1:13" hidden="1">
      <c r="B47" s="3773" t="s">
        <v>3599</v>
      </c>
      <c r="C47" s="3773"/>
      <c r="D47" s="3773">
        <f>D46*G47</f>
        <v>0</v>
      </c>
      <c r="E47" s="3773"/>
      <c r="F47" s="3773"/>
      <c r="G47" s="3535"/>
      <c r="H47" s="3548" t="s">
        <v>3604</v>
      </c>
    </row>
    <row r="48" spans="1:13" hidden="1">
      <c r="B48" s="3773" t="s">
        <v>3600</v>
      </c>
      <c r="C48" s="3773"/>
      <c r="D48" s="3773">
        <f>D47/24</f>
        <v>0</v>
      </c>
      <c r="E48" s="3773"/>
      <c r="F48" s="3773"/>
    </row>
    <row r="49" spans="2:6" hidden="1">
      <c r="B49" s="3773" t="s">
        <v>3605</v>
      </c>
      <c r="C49" s="3773"/>
      <c r="D49" s="3773">
        <f>D45+D48</f>
        <v>9500</v>
      </c>
      <c r="E49" s="3773"/>
      <c r="F49" s="3773"/>
    </row>
    <row r="50" spans="2:6" ht="13.5" hidden="1" customHeight="1">
      <c r="B50" s="3773" t="s">
        <v>3606</v>
      </c>
      <c r="C50" s="3773"/>
      <c r="D50" s="3773">
        <f>D44+D48</f>
        <v>9000</v>
      </c>
      <c r="E50" s="3773"/>
      <c r="F50" s="3773"/>
    </row>
  </sheetData>
  <mergeCells count="90">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3:C43"/>
    <mergeCell ref="D43:F43"/>
    <mergeCell ref="D50:F50"/>
    <mergeCell ref="B50:C50"/>
    <mergeCell ref="B48:C48"/>
    <mergeCell ref="D48:F48"/>
    <mergeCell ref="D49:F49"/>
    <mergeCell ref="B45:C45"/>
    <mergeCell ref="D45:F45"/>
    <mergeCell ref="B49:C49"/>
    <mergeCell ref="B46:C46"/>
    <mergeCell ref="D46:F46"/>
    <mergeCell ref="B47:C47"/>
    <mergeCell ref="D47:F47"/>
    <mergeCell ref="B44:C44"/>
    <mergeCell ref="D44:F44"/>
  </mergeCells>
  <phoneticPr fontId="134" type="noConversion"/>
  <pageMargins left="0.7" right="0.7" top="0.75" bottom="0.75" header="0.3" footer="0.3"/>
  <pageSetup paperSize="9" scale="80" orientation="portrait" r:id="rId1"/>
  <rowBreaks count="1" manualBreakCount="1">
    <brk id="56" max="9" man="1"/>
  </rowBreaks>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1" zoomScale="80" zoomScaleNormal="60" zoomScaleSheetLayoutView="80" workbookViewId="0">
      <selection activeCell="G51" sqref="G5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3497</v>
      </c>
      <c r="E1" s="3423" t="s">
        <v>3502</v>
      </c>
      <c r="F1" s="1879" t="s">
        <v>3503</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656.91869999999994</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110966</v>
      </c>
      <c r="C3" s="354" t="s">
        <v>1660</v>
      </c>
      <c r="D3" s="353">
        <f>IF(D1="",'数据-汇总表'!E3,SUMIF('数据-汇总表'!$C19:$C33,D1,'数据-汇总表'!$E19:$E33))</f>
        <v>59.2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2"/>
      <c r="M4" s="2713"/>
      <c r="N4" s="2713"/>
      <c r="O4" s="2713"/>
      <c r="P4" s="3826" t="s">
        <v>1667</v>
      </c>
      <c r="Q4" s="3827"/>
      <c r="R4" s="3832" t="s">
        <v>1663</v>
      </c>
      <c r="S4" s="3833"/>
      <c r="T4" s="3832" t="s">
        <v>1664</v>
      </c>
      <c r="U4" s="3833"/>
      <c r="V4" s="3847" t="s">
        <v>1665</v>
      </c>
      <c r="W4" s="3847"/>
      <c r="X4" s="3451"/>
      <c r="Y4" s="3832" t="s">
        <v>1667</v>
      </c>
      <c r="Z4" s="3833"/>
      <c r="AA4" s="3819" t="s">
        <v>1663</v>
      </c>
      <c r="AB4" s="3819" t="s">
        <v>1664</v>
      </c>
      <c r="AC4" s="3819" t="s">
        <v>1665</v>
      </c>
    </row>
    <row r="5" spans="1:29" ht="15.75" thickBot="1">
      <c r="A5" s="358"/>
      <c r="B5" s="359"/>
      <c r="C5" s="3836" t="s">
        <v>3587</v>
      </c>
      <c r="D5" s="3837"/>
      <c r="E5" s="3838" t="str">
        <f>C5</f>
        <v>双榆树东里</v>
      </c>
      <c r="F5" s="3839"/>
      <c r="G5" s="3840" t="str">
        <f>C5</f>
        <v>双榆树东里</v>
      </c>
      <c r="H5" s="3837"/>
      <c r="I5" s="3840" t="str">
        <f>C5</f>
        <v>双榆树东里</v>
      </c>
      <c r="J5" s="3837"/>
      <c r="K5" s="1890"/>
      <c r="L5" s="2712"/>
      <c r="M5" s="2713"/>
      <c r="N5" s="2713"/>
      <c r="O5" s="2713"/>
      <c r="P5" s="3828"/>
      <c r="Q5" s="3829"/>
      <c r="R5" s="3834"/>
      <c r="S5" s="3835"/>
      <c r="T5" s="3834"/>
      <c r="U5" s="3835"/>
      <c r="V5" s="3847"/>
      <c r="W5" s="3847"/>
      <c r="X5" s="3451"/>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2"/>
      <c r="M6" s="2713"/>
      <c r="N6" s="2713"/>
      <c r="O6" s="2713"/>
      <c r="P6" s="3830"/>
      <c r="Q6" s="3831"/>
      <c r="R6" s="3834"/>
      <c r="S6" s="3835"/>
      <c r="T6" s="3845"/>
      <c r="U6" s="3846"/>
      <c r="V6" s="3847"/>
      <c r="W6" s="3847"/>
      <c r="X6" s="3451"/>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售价案例!G4</f>
        <v>44800</v>
      </c>
      <c r="H7" s="365">
        <f>SUMIF(58:58,YEAR(G7)&amp;"-"&amp;MONTH(G7),59:59)</f>
        <v>99</v>
      </c>
      <c r="I7" s="366">
        <f>售价案例!G5</f>
        <v>44919</v>
      </c>
      <c r="J7" s="365">
        <f>SUMIF(58:58,YEAR(I7)&amp;"-"&amp;MONTH(I7),59:59)</f>
        <v>99.5</v>
      </c>
      <c r="K7" s="1891"/>
      <c r="L7" s="2714"/>
      <c r="M7" s="2715"/>
      <c r="N7" s="2715"/>
      <c r="O7" s="2715"/>
      <c r="P7" s="3848" t="s">
        <v>1675</v>
      </c>
      <c r="Q7" s="3849"/>
      <c r="R7" s="701" t="s">
        <v>14</v>
      </c>
      <c r="S7" s="702">
        <f t="shared" ref="S7:S15" si="0">F7</f>
        <v>100</v>
      </c>
      <c r="T7" s="701" t="s">
        <v>14</v>
      </c>
      <c r="U7" s="702">
        <f t="shared" ref="U7:U15" si="1">H7</f>
        <v>99</v>
      </c>
      <c r="V7" s="701" t="s">
        <v>14</v>
      </c>
      <c r="W7" s="702">
        <f t="shared" ref="W7:W15" si="2">J7</f>
        <v>99.5</v>
      </c>
      <c r="X7" s="703"/>
      <c r="Y7" s="3848" t="s">
        <v>1675</v>
      </c>
      <c r="Z7" s="3850"/>
      <c r="AA7" s="704">
        <f>D7/F7</f>
        <v>1</v>
      </c>
      <c r="AB7" s="704">
        <f>D7/H7</f>
        <v>1.0101010101010102</v>
      </c>
      <c r="AC7" s="704">
        <f>D7/J7</f>
        <v>1.0050251256281406</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3497</v>
      </c>
      <c r="F9" s="372">
        <f>SUMIF(63:63,E9,64:64)-SUMIF(63:63,C9,64:64)+100</f>
        <v>100</v>
      </c>
      <c r="G9" s="371" t="s">
        <v>3497</v>
      </c>
      <c r="H9" s="126">
        <f>SUMIF(63:63,G9,64:64)-SUMIF(63:63,C9,64:64)+100</f>
        <v>100</v>
      </c>
      <c r="I9" s="371" t="s">
        <v>3497</v>
      </c>
      <c r="J9" s="126">
        <f>SUMIF(63:63,I9,64:64)-SUMIF(63:63,C9,64:64)+100</f>
        <v>100</v>
      </c>
      <c r="K9" s="1891"/>
      <c r="L9" s="2714"/>
      <c r="M9" s="2715"/>
      <c r="N9" s="2715"/>
      <c r="O9" s="2715"/>
      <c r="P9" s="3851" t="s">
        <v>1681</v>
      </c>
      <c r="Q9" s="3448" t="str">
        <f t="shared" ref="Q9:Q15" si="6">B9</f>
        <v>用途</v>
      </c>
      <c r="R9" s="701" t="s">
        <v>14</v>
      </c>
      <c r="S9" s="702">
        <f t="shared" si="0"/>
        <v>100</v>
      </c>
      <c r="T9" s="701" t="s">
        <v>14</v>
      </c>
      <c r="U9" s="702">
        <f t="shared" si="1"/>
        <v>100</v>
      </c>
      <c r="V9" s="701" t="s">
        <v>14</v>
      </c>
      <c r="W9" s="702">
        <f t="shared" si="2"/>
        <v>100</v>
      </c>
      <c r="X9" s="703"/>
      <c r="Y9" s="3719"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51"/>
      <c r="Q10" s="3448" t="str">
        <f t="shared" si="6"/>
        <v>土地使用年限（年）</v>
      </c>
      <c r="R10" s="701" t="s">
        <v>14</v>
      </c>
      <c r="S10" s="702">
        <f t="shared" si="0"/>
        <v>100</v>
      </c>
      <c r="T10" s="701" t="s">
        <v>14</v>
      </c>
      <c r="U10" s="702">
        <f t="shared" si="1"/>
        <v>100</v>
      </c>
      <c r="V10" s="701" t="s">
        <v>14</v>
      </c>
      <c r="W10" s="702">
        <f t="shared" si="2"/>
        <v>100</v>
      </c>
      <c r="X10" s="703"/>
      <c r="Y10" s="3719"/>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1"/>
      <c r="Q11" s="3448" t="str">
        <f t="shared" si="6"/>
        <v>容积率</v>
      </c>
      <c r="R11" s="701" t="s">
        <v>14</v>
      </c>
      <c r="S11" s="702">
        <f t="shared" si="0"/>
        <v>100</v>
      </c>
      <c r="T11" s="701" t="s">
        <v>14</v>
      </c>
      <c r="U11" s="702">
        <f t="shared" si="1"/>
        <v>100</v>
      </c>
      <c r="V11" s="701" t="s">
        <v>14</v>
      </c>
      <c r="W11" s="702">
        <f t="shared" si="2"/>
        <v>100</v>
      </c>
      <c r="X11" s="703"/>
      <c r="Y11" s="3719"/>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1"/>
      <c r="Q12" s="3448">
        <f t="shared" si="6"/>
        <v>111</v>
      </c>
      <c r="R12" s="701" t="s">
        <v>14</v>
      </c>
      <c r="S12" s="702">
        <f t="shared" si="0"/>
        <v>100</v>
      </c>
      <c r="T12" s="701" t="s">
        <v>14</v>
      </c>
      <c r="U12" s="702">
        <f t="shared" si="1"/>
        <v>100</v>
      </c>
      <c r="V12" s="701" t="s">
        <v>14</v>
      </c>
      <c r="W12" s="702">
        <f t="shared" si="2"/>
        <v>100</v>
      </c>
      <c r="X12" s="703"/>
      <c r="Y12" s="3719"/>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1"/>
      <c r="Q13" s="3448">
        <f t="shared" si="6"/>
        <v>111</v>
      </c>
      <c r="R13" s="701" t="s">
        <v>14</v>
      </c>
      <c r="S13" s="702">
        <f t="shared" si="0"/>
        <v>100</v>
      </c>
      <c r="T13" s="701" t="s">
        <v>14</v>
      </c>
      <c r="U13" s="702">
        <f t="shared" si="1"/>
        <v>100</v>
      </c>
      <c r="V13" s="701" t="s">
        <v>14</v>
      </c>
      <c r="W13" s="702">
        <f t="shared" si="2"/>
        <v>100</v>
      </c>
      <c r="X13" s="703"/>
      <c r="Y13" s="3719"/>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1"/>
      <c r="Q14" s="3448">
        <f t="shared" si="6"/>
        <v>111</v>
      </c>
      <c r="R14" s="701" t="s">
        <v>14</v>
      </c>
      <c r="S14" s="702">
        <f t="shared" si="0"/>
        <v>100</v>
      </c>
      <c r="T14" s="701" t="s">
        <v>14</v>
      </c>
      <c r="U14" s="702">
        <f t="shared" si="1"/>
        <v>100</v>
      </c>
      <c r="V14" s="701" t="s">
        <v>14</v>
      </c>
      <c r="W14" s="702">
        <f t="shared" si="2"/>
        <v>100</v>
      </c>
      <c r="X14" s="703"/>
      <c r="Y14" s="3719"/>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2" t="s">
        <v>1686</v>
      </c>
      <c r="Q15" s="3449" t="str">
        <f t="shared" si="6"/>
        <v>居住社区成熟度</v>
      </c>
      <c r="R15" s="705" t="s">
        <v>14</v>
      </c>
      <c r="S15" s="706">
        <f t="shared" si="0"/>
        <v>100</v>
      </c>
      <c r="T15" s="705" t="s">
        <v>14</v>
      </c>
      <c r="U15" s="706">
        <f t="shared" si="1"/>
        <v>100</v>
      </c>
      <c r="V15" s="705" t="s">
        <v>14</v>
      </c>
      <c r="W15" s="706">
        <f t="shared" si="2"/>
        <v>100</v>
      </c>
      <c r="X15" s="3451"/>
      <c r="Y15" s="3854"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53"/>
      <c r="Q16" s="3449"/>
      <c r="R16" s="705"/>
      <c r="S16" s="706"/>
      <c r="T16" s="705"/>
      <c r="U16" s="706"/>
      <c r="V16" s="705"/>
      <c r="W16" s="706"/>
      <c r="X16" s="3451"/>
      <c r="Y16" s="385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3"/>
      <c r="Q17" s="3449" t="str">
        <f>B17</f>
        <v>交通便捷度</v>
      </c>
      <c r="R17" s="705" t="s">
        <v>14</v>
      </c>
      <c r="S17" s="706">
        <f>F17</f>
        <v>100</v>
      </c>
      <c r="T17" s="705" t="s">
        <v>14</v>
      </c>
      <c r="U17" s="706">
        <f>H17</f>
        <v>100</v>
      </c>
      <c r="V17" s="705" t="s">
        <v>14</v>
      </c>
      <c r="W17" s="706">
        <f>J17</f>
        <v>100</v>
      </c>
      <c r="X17" s="3451"/>
      <c r="Y17" s="3855"/>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53"/>
      <c r="Q18" s="3449"/>
      <c r="R18" s="705"/>
      <c r="S18" s="706"/>
      <c r="T18" s="705"/>
      <c r="U18" s="706"/>
      <c r="V18" s="705"/>
      <c r="W18" s="706"/>
      <c r="X18" s="3451"/>
      <c r="Y18" s="385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3"/>
      <c r="Q19" s="3449" t="str">
        <f>B19</f>
        <v>公共配套设施</v>
      </c>
      <c r="R19" s="705" t="s">
        <v>14</v>
      </c>
      <c r="S19" s="706">
        <f>F19</f>
        <v>100</v>
      </c>
      <c r="T19" s="705" t="s">
        <v>14</v>
      </c>
      <c r="U19" s="706">
        <f>H19</f>
        <v>100</v>
      </c>
      <c r="V19" s="705" t="s">
        <v>14</v>
      </c>
      <c r="W19" s="706">
        <f>J19</f>
        <v>100</v>
      </c>
      <c r="X19" s="3451"/>
      <c r="Y19" s="3855"/>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53"/>
      <c r="Q20" s="3449"/>
      <c r="R20" s="705"/>
      <c r="S20" s="706"/>
      <c r="T20" s="705"/>
      <c r="U20" s="706"/>
      <c r="V20" s="705"/>
      <c r="W20" s="706"/>
      <c r="X20" s="3451"/>
      <c r="Y20" s="385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3"/>
      <c r="Q21" s="3449" t="str">
        <f>B21</f>
        <v>基础设施水平</v>
      </c>
      <c r="R21" s="705" t="s">
        <v>14</v>
      </c>
      <c r="S21" s="706">
        <f>F21</f>
        <v>100</v>
      </c>
      <c r="T21" s="705" t="s">
        <v>14</v>
      </c>
      <c r="U21" s="706">
        <f>H21</f>
        <v>100</v>
      </c>
      <c r="V21" s="705" t="s">
        <v>14</v>
      </c>
      <c r="W21" s="706">
        <f>J21</f>
        <v>100</v>
      </c>
      <c r="X21" s="3451"/>
      <c r="Y21" s="3855"/>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53"/>
      <c r="Q22" s="3449"/>
      <c r="R22" s="705"/>
      <c r="S22" s="706"/>
      <c r="T22" s="705"/>
      <c r="U22" s="706"/>
      <c r="V22" s="705"/>
      <c r="W22" s="706"/>
      <c r="X22" s="3451"/>
      <c r="Y22" s="385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3"/>
      <c r="Q23" s="3449" t="str">
        <f>B23</f>
        <v>自然及人文环境</v>
      </c>
      <c r="R23" s="705" t="s">
        <v>14</v>
      </c>
      <c r="S23" s="706">
        <f>F23</f>
        <v>100</v>
      </c>
      <c r="T23" s="705" t="s">
        <v>14</v>
      </c>
      <c r="U23" s="706">
        <f>H23</f>
        <v>100</v>
      </c>
      <c r="V23" s="705" t="s">
        <v>14</v>
      </c>
      <c r="W23" s="706">
        <f>J23</f>
        <v>100</v>
      </c>
      <c r="X23" s="3451"/>
      <c r="Y23" s="3855"/>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53"/>
      <c r="Q24" s="3449"/>
      <c r="R24" s="705"/>
      <c r="S24" s="706"/>
      <c r="T24" s="705"/>
      <c r="U24" s="706"/>
      <c r="V24" s="705"/>
      <c r="W24" s="706"/>
      <c r="X24" s="3451"/>
      <c r="Y24" s="385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3531</v>
      </c>
      <c r="F26" s="386">
        <f>SUMIF(88:88,E26,89:89)-SUMIF(88:88,C26,89:89)+100</f>
        <v>100</v>
      </c>
      <c r="G26" s="1907" t="s">
        <v>3524</v>
      </c>
      <c r="H26" s="386">
        <f>SUMIF(88:88,G26,89:89)-SUMIF(88:88,C26,89:89)+100</f>
        <v>102</v>
      </c>
      <c r="I26" s="1907" t="s">
        <v>3524</v>
      </c>
      <c r="J26" s="386">
        <f>SUMIF(88:88,I26,89:89)-SUMIF(88:88,C26,89:89)+100</f>
        <v>102</v>
      </c>
      <c r="K26" s="377">
        <v>0.5</v>
      </c>
      <c r="L26" s="2719"/>
      <c r="M26" s="2713"/>
      <c r="N26" s="2713"/>
      <c r="O26" s="2713"/>
      <c r="P26" s="3853"/>
      <c r="Q26" s="3449" t="str">
        <f t="shared" si="11"/>
        <v>朝向</v>
      </c>
      <c r="R26" s="705" t="s">
        <v>14</v>
      </c>
      <c r="S26" s="706">
        <f t="shared" si="12"/>
        <v>100</v>
      </c>
      <c r="T26" s="705" t="s">
        <v>14</v>
      </c>
      <c r="U26" s="706">
        <f t="shared" si="13"/>
        <v>102</v>
      </c>
      <c r="V26" s="705" t="s">
        <v>14</v>
      </c>
      <c r="W26" s="706">
        <f t="shared" si="14"/>
        <v>102</v>
      </c>
      <c r="X26" s="3451"/>
      <c r="Y26" s="3855"/>
      <c r="Z26" s="3452" t="str">
        <f>Q26</f>
        <v>朝向</v>
      </c>
      <c r="AA26" s="3450">
        <f t="shared" si="15"/>
        <v>1</v>
      </c>
      <c r="AB26" s="3450">
        <f t="shared" si="16"/>
        <v>0.98039215686274506</v>
      </c>
      <c r="AC26" s="3450">
        <f t="shared" si="17"/>
        <v>0.98039215686274506</v>
      </c>
    </row>
    <row r="27" spans="1:29" s="108" customFormat="1" ht="15.75" thickBot="1">
      <c r="A27" s="382"/>
      <c r="B27" s="3503" t="s">
        <v>3513</v>
      </c>
      <c r="C27" s="3518" t="s">
        <v>3588</v>
      </c>
      <c r="D27" s="413">
        <v>100</v>
      </c>
      <c r="E27" s="3518" t="s">
        <v>3588</v>
      </c>
      <c r="F27" s="413">
        <f>SUMIF(90:90,E27,91:91)-SUMIF(90:90,C27,91:91)+100</f>
        <v>100</v>
      </c>
      <c r="G27" s="3518" t="s">
        <v>3583</v>
      </c>
      <c r="H27" s="413">
        <f>SUMIF(90:90,G27,91:91)-SUMIF(90:90,C27,91:91)+100</f>
        <v>104</v>
      </c>
      <c r="I27" s="3518" t="s">
        <v>3526</v>
      </c>
      <c r="J27" s="413">
        <f>SUMIF(90:90,I27,91:91)-SUMIF(90:90,C27,91:91)+100</f>
        <v>100</v>
      </c>
      <c r="K27" s="1894"/>
      <c r="L27" s="2714"/>
      <c r="M27" s="2715"/>
      <c r="N27" s="2715"/>
      <c r="O27" s="2715"/>
      <c r="P27" s="3853"/>
      <c r="Q27" s="3448" t="str">
        <f t="shared" si="11"/>
        <v>楼层</v>
      </c>
      <c r="R27" s="701" t="s">
        <v>14</v>
      </c>
      <c r="S27" s="702">
        <f t="shared" si="12"/>
        <v>100</v>
      </c>
      <c r="T27" s="701" t="s">
        <v>14</v>
      </c>
      <c r="U27" s="702">
        <f t="shared" si="13"/>
        <v>104</v>
      </c>
      <c r="V27" s="701" t="s">
        <v>14</v>
      </c>
      <c r="W27" s="702">
        <f t="shared" si="14"/>
        <v>100</v>
      </c>
      <c r="X27" s="703"/>
      <c r="Y27" s="3855"/>
      <c r="Z27" s="3447" t="str">
        <f>Q27</f>
        <v>楼层</v>
      </c>
      <c r="AA27" s="3450">
        <f t="shared" si="15"/>
        <v>1</v>
      </c>
      <c r="AB27" s="3450">
        <f t="shared" si="16"/>
        <v>0.96153846153846156</v>
      </c>
      <c r="AC27" s="3450">
        <f t="shared" si="17"/>
        <v>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3"/>
      <c r="Q28" s="3449">
        <f t="shared" si="11"/>
        <v>111</v>
      </c>
      <c r="R28" s="705" t="s">
        <v>14</v>
      </c>
      <c r="S28" s="706">
        <f t="shared" si="12"/>
        <v>100</v>
      </c>
      <c r="T28" s="705" t="s">
        <v>14</v>
      </c>
      <c r="U28" s="706">
        <f t="shared" si="13"/>
        <v>100</v>
      </c>
      <c r="V28" s="705" t="s">
        <v>14</v>
      </c>
      <c r="W28" s="706">
        <f t="shared" si="14"/>
        <v>100</v>
      </c>
      <c r="X28" s="3451"/>
      <c r="Y28" s="3855"/>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3"/>
      <c r="Q29" s="3449">
        <f t="shared" si="11"/>
        <v>111</v>
      </c>
      <c r="R29" s="705" t="s">
        <v>14</v>
      </c>
      <c r="S29" s="706">
        <f t="shared" si="12"/>
        <v>100</v>
      </c>
      <c r="T29" s="705" t="s">
        <v>14</v>
      </c>
      <c r="U29" s="706">
        <f t="shared" si="13"/>
        <v>100</v>
      </c>
      <c r="V29" s="705" t="s">
        <v>14</v>
      </c>
      <c r="W29" s="706">
        <f t="shared" si="14"/>
        <v>100</v>
      </c>
      <c r="X29" s="3451"/>
      <c r="Y29" s="3855"/>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3"/>
      <c r="Q30" s="3449">
        <f t="shared" si="11"/>
        <v>111</v>
      </c>
      <c r="R30" s="705" t="s">
        <v>14</v>
      </c>
      <c r="S30" s="706">
        <f t="shared" si="12"/>
        <v>100</v>
      </c>
      <c r="T30" s="705" t="s">
        <v>14</v>
      </c>
      <c r="U30" s="706">
        <f t="shared" si="13"/>
        <v>100</v>
      </c>
      <c r="V30" s="705" t="s">
        <v>14</v>
      </c>
      <c r="W30" s="706">
        <f t="shared" si="14"/>
        <v>100</v>
      </c>
      <c r="X30" s="3451"/>
      <c r="Y30" s="385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3"/>
      <c r="Q31" s="3449">
        <f t="shared" si="11"/>
        <v>111</v>
      </c>
      <c r="R31" s="705" t="s">
        <v>14</v>
      </c>
      <c r="S31" s="706">
        <f t="shared" si="12"/>
        <v>100</v>
      </c>
      <c r="T31" s="705" t="s">
        <v>14</v>
      </c>
      <c r="U31" s="706">
        <f t="shared" si="13"/>
        <v>100</v>
      </c>
      <c r="V31" s="705" t="s">
        <v>14</v>
      </c>
      <c r="W31" s="706">
        <f t="shared" si="14"/>
        <v>100</v>
      </c>
      <c r="X31" s="3451"/>
      <c r="Y31" s="3855"/>
      <c r="Z31" s="3452">
        <f t="shared" si="18"/>
        <v>111</v>
      </c>
      <c r="AA31" s="3450">
        <f t="shared" si="15"/>
        <v>1</v>
      </c>
      <c r="AB31" s="3450">
        <f t="shared" si="16"/>
        <v>1</v>
      </c>
      <c r="AC31" s="3450">
        <f t="shared" si="17"/>
        <v>1</v>
      </c>
    </row>
    <row r="32" spans="1:29" ht="15">
      <c r="A32" s="391" t="s">
        <v>1689</v>
      </c>
      <c r="B32" s="63" t="s">
        <v>1690</v>
      </c>
      <c r="C32" s="1910" t="s">
        <v>3535</v>
      </c>
      <c r="D32" s="418">
        <v>100</v>
      </c>
      <c r="E32" s="1910" t="s">
        <v>3537</v>
      </c>
      <c r="F32" s="412">
        <f>SUMIF(100:100,E32,101:101)-SUMIF(100:100,C32,101:101)+100</f>
        <v>90</v>
      </c>
      <c r="G32" s="1910" t="s">
        <v>3535</v>
      </c>
      <c r="H32" s="418">
        <f>SUMIF(100:100,G32,101:101)-SUMIF(100:100,C32,101:101)+100</f>
        <v>100</v>
      </c>
      <c r="I32" s="1910" t="s">
        <v>3537</v>
      </c>
      <c r="J32" s="386">
        <f>SUMIF(100:100,I32,101:101)-SUMIF(100:100,C32,101:101)+100</f>
        <v>90</v>
      </c>
      <c r="K32" s="377">
        <v>5</v>
      </c>
      <c r="L32" s="2719"/>
      <c r="M32" s="2713"/>
      <c r="N32" s="2713"/>
      <c r="O32" s="2713"/>
      <c r="P32" s="3856" t="s">
        <v>1691</v>
      </c>
      <c r="Q32" s="3449" t="str">
        <f t="shared" si="11"/>
        <v>建筑类型</v>
      </c>
      <c r="R32" s="705" t="s">
        <v>14</v>
      </c>
      <c r="S32" s="706">
        <f t="shared" si="12"/>
        <v>90</v>
      </c>
      <c r="T32" s="705" t="s">
        <v>14</v>
      </c>
      <c r="U32" s="706">
        <f t="shared" si="13"/>
        <v>100</v>
      </c>
      <c r="V32" s="705" t="s">
        <v>14</v>
      </c>
      <c r="W32" s="706">
        <f t="shared" si="14"/>
        <v>90</v>
      </c>
      <c r="X32" s="3451"/>
      <c r="Y32" s="3859" t="s">
        <v>1691</v>
      </c>
      <c r="Z32" s="3452" t="str">
        <f t="shared" si="18"/>
        <v>建筑类型</v>
      </c>
      <c r="AA32" s="3450">
        <f t="shared" si="15"/>
        <v>1.1111111111111112</v>
      </c>
      <c r="AB32" s="3450">
        <f t="shared" si="16"/>
        <v>1</v>
      </c>
      <c r="AC32" s="3450">
        <f t="shared" si="17"/>
        <v>1.1111111111111112</v>
      </c>
    </row>
    <row r="33" spans="1:29" s="422" customFormat="1" ht="15">
      <c r="A33" s="419"/>
      <c r="B33" s="375" t="s">
        <v>1692</v>
      </c>
      <c r="C33" s="420">
        <f>'数据-汇总表'!F19</f>
        <v>59.2</v>
      </c>
      <c r="D33" s="127">
        <v>100</v>
      </c>
      <c r="E33" s="381">
        <f>售价案例!B3</f>
        <v>63.5</v>
      </c>
      <c r="F33" s="376">
        <f>LOOKUP(E33,103:103,104:104)-LOOKUP(C33,103:103,104:104)+100</f>
        <v>100</v>
      </c>
      <c r="G33" s="380">
        <f>售价案例!B4</f>
        <v>73.400000000000006</v>
      </c>
      <c r="H33" s="127">
        <f>LOOKUP(G33,103:103,104:104)-LOOKUP(C33,103:103,104:104)+100</f>
        <v>100</v>
      </c>
      <c r="I33" s="381">
        <f>售价案例!B5</f>
        <v>57.3</v>
      </c>
      <c r="J33" s="127">
        <f>LOOKUP(I33,103:103,104:104)-LOOKUP(C33,103:103,104:104)+100</f>
        <v>100</v>
      </c>
      <c r="K33" s="1894"/>
      <c r="L33" s="2718"/>
      <c r="M33" s="2720"/>
      <c r="N33" s="2720"/>
      <c r="O33" s="2720"/>
      <c r="P33" s="3857"/>
      <c r="Q33" s="707" t="str">
        <f t="shared" si="11"/>
        <v>项目建筑规模</v>
      </c>
      <c r="R33" s="708" t="s">
        <v>14</v>
      </c>
      <c r="S33" s="709">
        <f t="shared" si="12"/>
        <v>100</v>
      </c>
      <c r="T33" s="708" t="s">
        <v>14</v>
      </c>
      <c r="U33" s="709">
        <f t="shared" si="13"/>
        <v>100</v>
      </c>
      <c r="V33" s="708" t="s">
        <v>14</v>
      </c>
      <c r="W33" s="709">
        <f t="shared" si="14"/>
        <v>100</v>
      </c>
      <c r="X33" s="710"/>
      <c r="Y33" s="3859"/>
      <c r="Z33" s="711" t="str">
        <f t="shared" si="18"/>
        <v>项目建筑规模</v>
      </c>
      <c r="AA33" s="3450">
        <f t="shared" si="15"/>
        <v>1</v>
      </c>
      <c r="AB33" s="3450">
        <f t="shared" si="16"/>
        <v>1</v>
      </c>
      <c r="AC33" s="3450">
        <f t="shared" si="17"/>
        <v>1</v>
      </c>
    </row>
    <row r="34" spans="1:29" ht="15">
      <c r="A34" s="423"/>
      <c r="B34" s="375" t="s">
        <v>1693</v>
      </c>
      <c r="C34" s="1911" t="s">
        <v>3540</v>
      </c>
      <c r="D34" s="386">
        <v>100</v>
      </c>
      <c r="E34" s="1911" t="s">
        <v>3540</v>
      </c>
      <c r="F34" s="412">
        <f>SUMIF(105:105,E34,106:106)-SUMIF(105:105,C34,106:106)+100</f>
        <v>100</v>
      </c>
      <c r="G34" s="1911" t="s">
        <v>3540</v>
      </c>
      <c r="H34" s="386">
        <f>SUMIF(105:105,G34,106:106)-SUMIF(105:105,C34,106:106)+100</f>
        <v>100</v>
      </c>
      <c r="I34" s="1911" t="s">
        <v>3540</v>
      </c>
      <c r="J34" s="386">
        <f>SUMIF(105:105,I34,106:106)-SUMIF(105:105,C34,106:106)+100</f>
        <v>100</v>
      </c>
      <c r="K34" s="377">
        <v>2</v>
      </c>
      <c r="L34" s="2719"/>
      <c r="M34" s="2713"/>
      <c r="N34" s="2713"/>
      <c r="O34" s="2713"/>
      <c r="P34" s="3857"/>
      <c r="Q34" s="3449" t="str">
        <f t="shared" si="11"/>
        <v>建筑结构</v>
      </c>
      <c r="R34" s="705" t="s">
        <v>14</v>
      </c>
      <c r="S34" s="706">
        <f t="shared" si="12"/>
        <v>100</v>
      </c>
      <c r="T34" s="705" t="s">
        <v>14</v>
      </c>
      <c r="U34" s="706">
        <f t="shared" si="13"/>
        <v>100</v>
      </c>
      <c r="V34" s="705" t="s">
        <v>14</v>
      </c>
      <c r="W34" s="706">
        <f t="shared" si="14"/>
        <v>100</v>
      </c>
      <c r="X34" s="3451"/>
      <c r="Y34" s="385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7"/>
      <c r="Q35" s="3449" t="str">
        <f t="shared" si="11"/>
        <v>建筑品质</v>
      </c>
      <c r="R35" s="705" t="s">
        <v>14</v>
      </c>
      <c r="S35" s="706">
        <f t="shared" si="12"/>
        <v>100</v>
      </c>
      <c r="T35" s="705" t="s">
        <v>14</v>
      </c>
      <c r="U35" s="706">
        <f t="shared" si="13"/>
        <v>100</v>
      </c>
      <c r="V35" s="705" t="s">
        <v>14</v>
      </c>
      <c r="W35" s="706">
        <f t="shared" si="14"/>
        <v>100</v>
      </c>
      <c r="X35" s="3451"/>
      <c r="Y35" s="3859"/>
      <c r="Z35" s="3452" t="str">
        <f t="shared" si="18"/>
        <v>建筑品质</v>
      </c>
      <c r="AA35" s="3450">
        <f t="shared" si="15"/>
        <v>1</v>
      </c>
      <c r="AB35" s="3450">
        <f t="shared" si="16"/>
        <v>1</v>
      </c>
      <c r="AC35" s="3450">
        <f t="shared" si="17"/>
        <v>1</v>
      </c>
    </row>
    <row r="36" spans="1:29" ht="15">
      <c r="A36" s="423"/>
      <c r="B36" s="375" t="s">
        <v>1695</v>
      </c>
      <c r="C36" s="1906" t="s">
        <v>3558</v>
      </c>
      <c r="D36" s="386">
        <v>100</v>
      </c>
      <c r="E36" s="1906" t="s">
        <v>3558</v>
      </c>
      <c r="F36" s="412">
        <f>SUMIF(109:109,E36,110:110)-SUMIF(109:109,C36,110:110)+100</f>
        <v>100</v>
      </c>
      <c r="G36" s="1906" t="s">
        <v>3558</v>
      </c>
      <c r="H36" s="386">
        <f>SUMIF(109:109,G36,110:110)-SUMIF(109:109,C36,110:110)+100</f>
        <v>100</v>
      </c>
      <c r="I36" s="1906" t="s">
        <v>3558</v>
      </c>
      <c r="J36" s="386">
        <f>SUMIF(109:109,I36,110:110)-SUMIF(109:109,C36,110:110)+100</f>
        <v>100</v>
      </c>
      <c r="K36" s="377">
        <v>2</v>
      </c>
      <c r="L36" s="2719"/>
      <c r="M36" s="2713"/>
      <c r="N36" s="2713"/>
      <c r="O36" s="2713"/>
      <c r="P36" s="3857"/>
      <c r="Q36" s="3449" t="str">
        <f t="shared" si="11"/>
        <v>公共部分装修</v>
      </c>
      <c r="R36" s="705" t="s">
        <v>14</v>
      </c>
      <c r="S36" s="706">
        <f t="shared" si="12"/>
        <v>100</v>
      </c>
      <c r="T36" s="705" t="s">
        <v>14</v>
      </c>
      <c r="U36" s="706">
        <f t="shared" si="13"/>
        <v>100</v>
      </c>
      <c r="V36" s="705" t="s">
        <v>14</v>
      </c>
      <c r="W36" s="706">
        <f t="shared" si="14"/>
        <v>100</v>
      </c>
      <c r="X36" s="3451"/>
      <c r="Y36" s="385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7"/>
      <c r="Q37" s="3448" t="str">
        <f t="shared" si="11"/>
        <v>成新度</v>
      </c>
      <c r="R37" s="701" t="s">
        <v>14</v>
      </c>
      <c r="S37" s="702">
        <f t="shared" si="12"/>
        <v>100</v>
      </c>
      <c r="T37" s="701" t="s">
        <v>14</v>
      </c>
      <c r="U37" s="702">
        <f t="shared" si="13"/>
        <v>100</v>
      </c>
      <c r="V37" s="701" t="s">
        <v>14</v>
      </c>
      <c r="W37" s="702">
        <f t="shared" si="14"/>
        <v>100</v>
      </c>
      <c r="X37" s="703"/>
      <c r="Y37" s="3859"/>
      <c r="Z37" s="3447" t="str">
        <f t="shared" si="18"/>
        <v>成新度</v>
      </c>
      <c r="AA37" s="704">
        <f t="shared" si="15"/>
        <v>1</v>
      </c>
      <c r="AB37" s="704">
        <f t="shared" si="16"/>
        <v>1</v>
      </c>
      <c r="AC37" s="704">
        <f t="shared" si="17"/>
        <v>1</v>
      </c>
    </row>
    <row r="38" spans="1:29" ht="15">
      <c r="A38" s="423"/>
      <c r="B38" s="375" t="s">
        <v>1697</v>
      </c>
      <c r="C38" s="1906" t="s">
        <v>3549</v>
      </c>
      <c r="D38" s="386">
        <v>100</v>
      </c>
      <c r="E38" s="1906" t="s">
        <v>3549</v>
      </c>
      <c r="F38" s="412">
        <f>SUMIF(114:114,E38,115:115)-SUMIF(114:114,C38,115:115)+100</f>
        <v>100</v>
      </c>
      <c r="G38" s="1906" t="s">
        <v>3549</v>
      </c>
      <c r="H38" s="386">
        <f>SUMIF(114:114,G38,115:115)-SUMIF(114:114,C38,115:115)+100</f>
        <v>100</v>
      </c>
      <c r="I38" s="1906" t="s">
        <v>3549</v>
      </c>
      <c r="J38" s="386">
        <f>SUMIF(114:114,I38,115:115)-SUMIF(114:114,C38,115:115)+100</f>
        <v>100</v>
      </c>
      <c r="K38" s="377">
        <v>1</v>
      </c>
      <c r="L38" s="2719"/>
      <c r="M38" s="2713"/>
      <c r="N38" s="2713"/>
      <c r="O38" s="2713"/>
      <c r="P38" s="3857" t="s">
        <v>1691</v>
      </c>
      <c r="Q38" s="3449" t="str">
        <f t="shared" si="11"/>
        <v>物业管理</v>
      </c>
      <c r="R38" s="705" t="s">
        <v>14</v>
      </c>
      <c r="S38" s="706">
        <f t="shared" si="12"/>
        <v>100</v>
      </c>
      <c r="T38" s="705" t="s">
        <v>14</v>
      </c>
      <c r="U38" s="706">
        <f t="shared" si="13"/>
        <v>100</v>
      </c>
      <c r="V38" s="705" t="s">
        <v>14</v>
      </c>
      <c r="W38" s="706">
        <f t="shared" si="14"/>
        <v>100</v>
      </c>
      <c r="X38" s="3451"/>
      <c r="Y38" s="3859"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57"/>
      <c r="Q39" s="3449" t="str">
        <f t="shared" si="11"/>
        <v>市政基础设施</v>
      </c>
      <c r="R39" s="705" t="s">
        <v>14</v>
      </c>
      <c r="S39" s="706">
        <f t="shared" si="12"/>
        <v>100</v>
      </c>
      <c r="T39" s="705" t="s">
        <v>14</v>
      </c>
      <c r="U39" s="706">
        <f t="shared" si="13"/>
        <v>100</v>
      </c>
      <c r="V39" s="705" t="s">
        <v>14</v>
      </c>
      <c r="W39" s="706">
        <f t="shared" si="14"/>
        <v>100</v>
      </c>
      <c r="X39" s="3451"/>
      <c r="Y39" s="3859"/>
      <c r="Z39" s="3452" t="str">
        <f t="shared" si="18"/>
        <v>市政基础设施</v>
      </c>
      <c r="AA39" s="3450">
        <f t="shared" si="15"/>
        <v>1</v>
      </c>
      <c r="AB39" s="3450">
        <f t="shared" si="16"/>
        <v>1</v>
      </c>
      <c r="AC39" s="3450">
        <f t="shared" si="17"/>
        <v>1</v>
      </c>
    </row>
    <row r="40" spans="1:29" ht="15">
      <c r="A40" s="423"/>
      <c r="B40" s="375" t="s">
        <v>1699</v>
      </c>
      <c r="C40" s="1906" t="s">
        <v>3557</v>
      </c>
      <c r="D40" s="386">
        <v>100</v>
      </c>
      <c r="E40" s="1906" t="s">
        <v>3557</v>
      </c>
      <c r="F40" s="412">
        <f>SUMIF(118:118,E40,119:119)-SUMIF(118:118,C40,119:119)+100</f>
        <v>100</v>
      </c>
      <c r="G40" s="1906" t="s">
        <v>3557</v>
      </c>
      <c r="H40" s="386">
        <f>SUMIF(118:118,G40,119:119)-SUMIF(118:118,C40,119:119)+100</f>
        <v>100</v>
      </c>
      <c r="I40" s="1906" t="s">
        <v>3557</v>
      </c>
      <c r="J40" s="386">
        <f>SUMIF(118:118,I40,119:119)-SUMIF(118:118,C40,119:119)+100</f>
        <v>100</v>
      </c>
      <c r="K40" s="377">
        <v>2</v>
      </c>
      <c r="L40" s="2719"/>
      <c r="M40" s="2713"/>
      <c r="N40" s="2713"/>
      <c r="O40" s="2713"/>
      <c r="P40" s="3857"/>
      <c r="Q40" s="3449" t="str">
        <f t="shared" si="11"/>
        <v>房型</v>
      </c>
      <c r="R40" s="705" t="s">
        <v>14</v>
      </c>
      <c r="S40" s="706">
        <f t="shared" si="12"/>
        <v>100</v>
      </c>
      <c r="T40" s="705" t="s">
        <v>14</v>
      </c>
      <c r="U40" s="706">
        <f t="shared" si="13"/>
        <v>100</v>
      </c>
      <c r="V40" s="705" t="s">
        <v>14</v>
      </c>
      <c r="W40" s="706">
        <f t="shared" si="14"/>
        <v>100</v>
      </c>
      <c r="X40" s="3451"/>
      <c r="Y40" s="385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3545</v>
      </c>
      <c r="F42" s="412">
        <f>SUMIF(122:122,E42,123:123)-SUMIF(122:122,C42,123:123)+100</f>
        <v>100</v>
      </c>
      <c r="G42" s="1906" t="s">
        <v>3545</v>
      </c>
      <c r="H42" s="386">
        <f>SUMIF(122:122,G42,123:123)-SUMIF(122:122,C42,123:123)+100</f>
        <v>100</v>
      </c>
      <c r="I42" s="1906" t="s">
        <v>3545</v>
      </c>
      <c r="J42" s="386">
        <f>SUMIF(122:122,I42,123:123)-SUMIF(122:122,C42,123:123)+100</f>
        <v>100</v>
      </c>
      <c r="K42" s="377">
        <v>2</v>
      </c>
      <c r="L42" s="2719"/>
      <c r="M42" s="2713"/>
      <c r="N42" s="2713"/>
      <c r="O42" s="2713"/>
      <c r="P42" s="3857"/>
      <c r="Q42" s="3449" t="str">
        <f t="shared" si="11"/>
        <v>内部装修</v>
      </c>
      <c r="R42" s="705" t="s">
        <v>14</v>
      </c>
      <c r="S42" s="706">
        <f t="shared" si="12"/>
        <v>100</v>
      </c>
      <c r="T42" s="705" t="s">
        <v>14</v>
      </c>
      <c r="U42" s="706">
        <f t="shared" si="13"/>
        <v>100</v>
      </c>
      <c r="V42" s="705" t="s">
        <v>14</v>
      </c>
      <c r="W42" s="706">
        <f t="shared" si="14"/>
        <v>100</v>
      </c>
      <c r="X42" s="3451"/>
      <c r="Y42" s="3859"/>
      <c r="Z42" s="3452" t="str">
        <f t="shared" si="18"/>
        <v>内部装修</v>
      </c>
      <c r="AA42" s="3450">
        <f t="shared" si="15"/>
        <v>1</v>
      </c>
      <c r="AB42" s="3450">
        <f t="shared" si="16"/>
        <v>1</v>
      </c>
      <c r="AC42" s="3450">
        <f t="shared" si="17"/>
        <v>1</v>
      </c>
    </row>
    <row r="43" spans="1:29" ht="15.75" thickBot="1">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57"/>
      <c r="Q43" s="3449" t="str">
        <f t="shared" si="11"/>
        <v>内部装修维护情况</v>
      </c>
      <c r="R43" s="705" t="s">
        <v>14</v>
      </c>
      <c r="S43" s="706">
        <f t="shared" si="12"/>
        <v>100</v>
      </c>
      <c r="T43" s="705" t="s">
        <v>14</v>
      </c>
      <c r="U43" s="706">
        <f t="shared" si="13"/>
        <v>100</v>
      </c>
      <c r="V43" s="705" t="s">
        <v>14</v>
      </c>
      <c r="W43" s="706">
        <f t="shared" si="14"/>
        <v>100</v>
      </c>
      <c r="X43" s="3451"/>
      <c r="Y43" s="3859"/>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57"/>
      <c r="Q44" s="3448">
        <f t="shared" si="11"/>
        <v>111</v>
      </c>
      <c r="R44" s="701" t="s">
        <v>14</v>
      </c>
      <c r="S44" s="702">
        <f t="shared" si="12"/>
        <v>100</v>
      </c>
      <c r="T44" s="701" t="s">
        <v>14</v>
      </c>
      <c r="U44" s="702">
        <f t="shared" si="13"/>
        <v>100</v>
      </c>
      <c r="V44" s="701" t="s">
        <v>14</v>
      </c>
      <c r="W44" s="702">
        <f t="shared" si="14"/>
        <v>100</v>
      </c>
      <c r="X44" s="703"/>
      <c r="Y44" s="3859"/>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7"/>
      <c r="Q45" s="3449">
        <f t="shared" si="11"/>
        <v>111</v>
      </c>
      <c r="R45" s="705" t="s">
        <v>14</v>
      </c>
      <c r="S45" s="706">
        <f t="shared" si="12"/>
        <v>100</v>
      </c>
      <c r="T45" s="705" t="s">
        <v>14</v>
      </c>
      <c r="U45" s="706">
        <f t="shared" si="13"/>
        <v>100</v>
      </c>
      <c r="V45" s="705" t="s">
        <v>14</v>
      </c>
      <c r="W45" s="706">
        <f t="shared" si="14"/>
        <v>100</v>
      </c>
      <c r="X45" s="3451"/>
      <c r="Y45" s="3859"/>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8"/>
      <c r="Q46" s="3449">
        <f t="shared" si="11"/>
        <v>111</v>
      </c>
      <c r="R46" s="705" t="s">
        <v>14</v>
      </c>
      <c r="S46" s="706">
        <f t="shared" si="12"/>
        <v>100</v>
      </c>
      <c r="T46" s="705" t="s">
        <v>14</v>
      </c>
      <c r="U46" s="706">
        <f t="shared" si="13"/>
        <v>100</v>
      </c>
      <c r="V46" s="705" t="s">
        <v>14</v>
      </c>
      <c r="W46" s="706">
        <f t="shared" si="14"/>
        <v>100</v>
      </c>
      <c r="X46" s="3451"/>
      <c r="Y46" s="3860"/>
      <c r="Z46" s="3452">
        <f t="shared" si="18"/>
        <v>111</v>
      </c>
      <c r="AA46" s="3450">
        <f t="shared" si="15"/>
        <v>1</v>
      </c>
      <c r="AB46" s="3450">
        <f t="shared" si="16"/>
        <v>1</v>
      </c>
      <c r="AC46" s="3450">
        <f t="shared" si="17"/>
        <v>1</v>
      </c>
    </row>
    <row r="47" spans="1:29" ht="15">
      <c r="A47" s="430" t="s">
        <v>1703</v>
      </c>
      <c r="B47" s="431"/>
      <c r="C47" s="1154" t="s">
        <v>0</v>
      </c>
      <c r="D47" s="1155"/>
      <c r="E47" s="1156">
        <f>售价案例!C3</f>
        <v>100788</v>
      </c>
      <c r="F47" s="1157"/>
      <c r="G47" s="1158">
        <f>售价案例!C4</f>
        <v>105586</v>
      </c>
      <c r="H47" s="1159"/>
      <c r="I47" s="1156">
        <f>售价案例!C5</f>
        <v>109948</v>
      </c>
      <c r="J47" s="1159"/>
      <c r="K47" s="1912"/>
      <c r="L47" s="2721"/>
      <c r="M47" s="2722"/>
      <c r="N47" s="2713"/>
      <c r="O47" s="2722"/>
      <c r="P47" s="3861" t="str">
        <f>A47</f>
        <v>成交单价（元/平方米）</v>
      </c>
      <c r="Q47" s="3861"/>
      <c r="R47" s="3862">
        <f>E47</f>
        <v>100788</v>
      </c>
      <c r="S47" s="3862"/>
      <c r="T47" s="3862">
        <f>G47</f>
        <v>105586</v>
      </c>
      <c r="U47" s="3862"/>
      <c r="V47" s="3862">
        <f>I47</f>
        <v>109948</v>
      </c>
      <c r="W47" s="3862"/>
      <c r="X47" s="690"/>
      <c r="Y47" s="712"/>
      <c r="Z47" s="690"/>
      <c r="AA47" s="690"/>
      <c r="AB47" s="690"/>
      <c r="AC47" s="690"/>
    </row>
    <row r="48" spans="1:29" ht="15.75" thickBot="1">
      <c r="A48" s="437" t="s">
        <v>1704</v>
      </c>
      <c r="B48" s="438"/>
      <c r="C48" s="1160">
        <f>R49</f>
        <v>110966</v>
      </c>
      <c r="D48" s="2315" t="s">
        <v>2130</v>
      </c>
      <c r="E48" s="1161">
        <f>R48</f>
        <v>111987</v>
      </c>
      <c r="F48" s="2316"/>
      <c r="G48" s="1160">
        <f>T48</f>
        <v>100540</v>
      </c>
      <c r="H48" s="2316"/>
      <c r="I48" s="1161">
        <f>V48</f>
        <v>120371</v>
      </c>
      <c r="J48" s="2316"/>
      <c r="K48" s="2317">
        <f>F48+H48+J48</f>
        <v>0</v>
      </c>
      <c r="L48" s="2721"/>
      <c r="M48" s="2722"/>
      <c r="N48" s="2722"/>
      <c r="O48" s="2722"/>
      <c r="P48" s="3861" t="str">
        <f>A48</f>
        <v>比较价值（元/平方米）</v>
      </c>
      <c r="Q48" s="3861"/>
      <c r="R48" s="3862">
        <f>IF(F1="售价",ROUND(PRODUCT(R47,AA7:AA46),0),ROUND(PRODUCT(R47,AA7:AA46),1))</f>
        <v>111987</v>
      </c>
      <c r="S48" s="3862"/>
      <c r="T48" s="3862">
        <f>IF(F1="售价",ROUND(PRODUCT(T47,AB7:AB46),0),ROUND(PRODUCT(T47,AB7:AB46),1))</f>
        <v>100540</v>
      </c>
      <c r="U48" s="3862"/>
      <c r="V48" s="3862">
        <f>IF(F1="售价",ROUND(PRODUCT(V47,AC7:AC46),0),ROUND(PRODUCT(V47,AC7:AC46),1))</f>
        <v>120371</v>
      </c>
      <c r="W48" s="3862"/>
      <c r="X48" s="690"/>
      <c r="Y48" s="690"/>
      <c r="Z48" s="690"/>
      <c r="AA48" s="690"/>
      <c r="AB48" s="690"/>
      <c r="AC48" s="690"/>
    </row>
    <row r="49" spans="1:29" ht="15.75" thickBot="1">
      <c r="A49" s="3505" t="s">
        <v>3514</v>
      </c>
      <c r="B49" s="442"/>
      <c r="C49" s="1162">
        <f>R49</f>
        <v>110966</v>
      </c>
      <c r="D49" s="1163"/>
      <c r="E49" s="1163"/>
      <c r="F49" s="1163"/>
      <c r="G49" s="1163"/>
      <c r="H49" s="1163"/>
      <c r="I49" s="1163"/>
      <c r="J49" s="1163"/>
      <c r="K49" s="1913"/>
      <c r="L49" s="2721"/>
      <c r="M49" s="2722"/>
      <c r="N49" s="2722"/>
      <c r="O49" s="2722"/>
      <c r="P49" s="3863" t="str">
        <f>A49</f>
        <v>估价对象住宅用房的比较价值（月租金单价，元/平方米/月）</v>
      </c>
      <c r="Q49" s="3864"/>
      <c r="R49" s="3865">
        <f>IF(F1="售价",ROUND(IF(D48="简单平均",AVERAGE(R48:V48),R48*F48+T48*H48+V48*J48),0),ROUND(IF(D48="简单平均",AVERAGE(R48:V48),R48*F48+T48*H48+V48*J48),1))</f>
        <v>110966</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0.11111441838314096</v>
      </c>
      <c r="F52" s="449" t="str">
        <f>IF(OR(E52&gt;=0.3,E52&lt;=-0.3),"超过30%","")</f>
        <v/>
      </c>
      <c r="G52" s="448">
        <f>IF(G47&lt;G48,G48/G47-1,G47/G48-1)</f>
        <v>5.0188979510642495E-2</v>
      </c>
      <c r="H52" s="449" t="str">
        <f>IF(OR(G52&gt;=0.3,G52&lt;=-0.3),"超过30%","")</f>
        <v/>
      </c>
      <c r="I52" s="448">
        <f>IF(I47&lt;I48,I48/I47-1,I47/I48-1)</f>
        <v>9.4799359697311347E-2</v>
      </c>
      <c r="J52" s="449" t="str">
        <f>IF(OR(I52&gt;=0.3,I52&lt;=-0.3),"超过30%","")</f>
        <v/>
      </c>
      <c r="K52" s="2727"/>
      <c r="L52" s="2723"/>
      <c r="M52" s="2722"/>
      <c r="N52" s="2722"/>
      <c r="O52" s="2722"/>
    </row>
    <row r="53" spans="1:29" ht="13.5" customHeight="1">
      <c r="A53" s="2722"/>
      <c r="B53" s="2722"/>
      <c r="C53" s="446" t="s">
        <v>1706</v>
      </c>
      <c r="D53" s="450"/>
      <c r="E53" s="448">
        <f>IF(E48&lt;G48,G48/E48-1,E48/G48-1)</f>
        <v>0.11385518201710765</v>
      </c>
      <c r="F53" s="449" t="str">
        <f>IF(OR(E53&gt;=0.2,E53&lt;=-0.2),"超过20%","")</f>
        <v/>
      </c>
      <c r="G53" s="448">
        <f>IF(G48&lt;I48,I48/G48-1,G48/I48-1)</f>
        <v>0.19724487766063259</v>
      </c>
      <c r="H53" s="449" t="str">
        <f>IF(OR(G53&gt;=0.2,G53&lt;=-0.2),"超过20%","")</f>
        <v/>
      </c>
      <c r="I53" s="448">
        <f>IF(I48&lt;E48,E48/I48-1,I48/E48-1)</f>
        <v>7.4865832641288765E-2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4.7604873596063024E-2</v>
      </c>
      <c r="F54" s="449" t="str">
        <f>IF(OR(E54&gt;=0.3,E54&lt;=-0.3),"超过30%","")</f>
        <v/>
      </c>
      <c r="G54" s="448">
        <f>IF(G47&lt;I47,I47/G47-1,G47/I47-1)</f>
        <v>4.1312295190650383E-2</v>
      </c>
      <c r="H54" s="449" t="str">
        <f>IF(OR(G54&gt;=0.3,G54&lt;=-0.3),"超过30%","")</f>
        <v/>
      </c>
      <c r="I54" s="448">
        <f>IF(I47&lt;E47,E47/I47-1,I47/E47-1)</f>
        <v>9.088383537722744E-2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v>100</v>
      </c>
      <c r="E59" s="461">
        <v>99.5</v>
      </c>
      <c r="F59" s="461">
        <v>99.5</v>
      </c>
      <c r="G59" s="461">
        <v>99.5</v>
      </c>
      <c r="H59" s="461">
        <v>99</v>
      </c>
      <c r="I59" s="461">
        <v>99</v>
      </c>
      <c r="J59" s="461">
        <v>99</v>
      </c>
      <c r="K59" s="461">
        <v>98.5</v>
      </c>
      <c r="L59" s="461">
        <v>98.5</v>
      </c>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3560</v>
      </c>
      <c r="F88" s="3521" t="s">
        <v>3596</v>
      </c>
      <c r="G88" s="3521" t="s">
        <v>3575</v>
      </c>
      <c r="H88" s="3521" t="s">
        <v>3576</v>
      </c>
      <c r="I88" s="3544" t="s">
        <v>3577</v>
      </c>
      <c r="J88" s="3544" t="s">
        <v>3578</v>
      </c>
      <c r="K88" s="3521" t="s">
        <v>3597</v>
      </c>
      <c r="L88" s="3521" t="s">
        <v>3598</v>
      </c>
      <c r="M88" s="3512"/>
      <c r="N88" s="3512"/>
      <c r="O88" s="3512"/>
      <c r="P88" s="3545"/>
      <c r="Q88" s="3546"/>
      <c r="R88" s="3544"/>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7">
        <f t="shared" ref="N89" si="26">M89-$K26</f>
        <v>94.5</v>
      </c>
      <c r="O89" s="3547">
        <f t="shared" ref="O89" si="27">N89-$K26</f>
        <v>94</v>
      </c>
      <c r="P89" s="3547">
        <f t="shared" ref="P89" si="28">O89-$K26</f>
        <v>93.5</v>
      </c>
      <c r="Q89" s="3547">
        <f t="shared" ref="Q89" si="29">P89-$K26</f>
        <v>93</v>
      </c>
      <c r="R89" s="3547">
        <f t="shared" ref="R89" si="30">Q89-$K26</f>
        <v>92.5</v>
      </c>
    </row>
    <row r="90" spans="1:18" s="422" customFormat="1" ht="15.75" thickTop="1">
      <c r="A90" s="502"/>
      <c r="B90" s="487" t="str">
        <f>B27</f>
        <v>楼层</v>
      </c>
      <c r="C90" s="3513" t="s">
        <v>3588</v>
      </c>
      <c r="D90" s="3513" t="s">
        <v>3589</v>
      </c>
      <c r="E90" s="3513" t="s">
        <v>3533</v>
      </c>
      <c r="F90" s="503"/>
      <c r="G90" s="503"/>
      <c r="H90" s="504"/>
      <c r="I90" s="504"/>
      <c r="J90" s="504"/>
      <c r="K90" s="504"/>
      <c r="L90" s="505"/>
      <c r="M90" s="506"/>
      <c r="N90" s="935"/>
      <c r="O90" s="935"/>
      <c r="P90" s="1921"/>
      <c r="Q90" s="508"/>
    </row>
    <row r="91" spans="1:18" s="422" customFormat="1" ht="15.75" thickBot="1">
      <c r="A91" s="502"/>
      <c r="B91" s="492"/>
      <c r="C91" s="509">
        <v>100</v>
      </c>
      <c r="D91" s="509">
        <v>104</v>
      </c>
      <c r="E91" s="509">
        <v>100</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3534</v>
      </c>
      <c r="D100" s="3515" t="s">
        <v>3535</v>
      </c>
      <c r="E100" s="3516" t="s">
        <v>3536</v>
      </c>
      <c r="F100" s="3517" t="s">
        <v>3537</v>
      </c>
      <c r="G100" s="3517" t="s">
        <v>3538</v>
      </c>
      <c r="H100" s="479"/>
      <c r="I100" s="479"/>
      <c r="J100" s="479"/>
      <c r="K100" s="480"/>
      <c r="L100" s="481"/>
      <c r="M100" s="482"/>
      <c r="N100" s="933"/>
      <c r="O100" s="933"/>
      <c r="P100" s="1920"/>
      <c r="Q100" s="453"/>
    </row>
    <row r="101" spans="1:17" ht="15.75" thickBot="1">
      <c r="A101" s="483"/>
      <c r="B101" s="492"/>
      <c r="C101" s="493">
        <v>100</v>
      </c>
      <c r="D101" s="493">
        <f t="shared" ref="D101:M101" si="31">C101-$K32</f>
        <v>95</v>
      </c>
      <c r="E101" s="493">
        <f t="shared" si="31"/>
        <v>90</v>
      </c>
      <c r="F101" s="493">
        <f t="shared" si="31"/>
        <v>85</v>
      </c>
      <c r="G101" s="493">
        <f t="shared" si="31"/>
        <v>80</v>
      </c>
      <c r="H101" s="493">
        <f t="shared" si="31"/>
        <v>75</v>
      </c>
      <c r="I101" s="493">
        <f t="shared" si="31"/>
        <v>70</v>
      </c>
      <c r="J101" s="493">
        <f t="shared" si="31"/>
        <v>65</v>
      </c>
      <c r="K101" s="493">
        <f t="shared" si="31"/>
        <v>60</v>
      </c>
      <c r="L101" s="493">
        <f t="shared" si="31"/>
        <v>55</v>
      </c>
      <c r="M101" s="493">
        <f t="shared" si="31"/>
        <v>50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3539</v>
      </c>
      <c r="D105" s="3511" t="s">
        <v>3540</v>
      </c>
      <c r="E105" s="3520" t="s">
        <v>3541</v>
      </c>
      <c r="F105" s="3520" t="s">
        <v>3542</v>
      </c>
      <c r="G105" s="3521" t="s">
        <v>3543</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3544</v>
      </c>
      <c r="D109" s="3511" t="s">
        <v>3545</v>
      </c>
      <c r="E109" s="3511" t="s">
        <v>3546</v>
      </c>
      <c r="F109" s="3520" t="s">
        <v>3547</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3548</v>
      </c>
      <c r="D114" s="3511" t="s">
        <v>3549</v>
      </c>
      <c r="E114" s="3521" t="s">
        <v>3550</v>
      </c>
      <c r="F114" s="3521" t="s">
        <v>3551</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3515</v>
      </c>
      <c r="D116" s="3511" t="s">
        <v>3552</v>
      </c>
      <c r="E116" s="3511" t="s">
        <v>3553</v>
      </c>
      <c r="F116" s="3511" t="s">
        <v>3554</v>
      </c>
      <c r="G116" s="3511" t="s">
        <v>3555</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3556</v>
      </c>
      <c r="D118" s="3511" t="s">
        <v>3557</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3544</v>
      </c>
      <c r="D122" s="3511" t="s">
        <v>3545</v>
      </c>
      <c r="E122" s="3511" t="s">
        <v>3546</v>
      </c>
      <c r="F122" s="3520" t="s">
        <v>3547</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98</v>
      </c>
      <c r="E123" s="493">
        <f t="shared" si="38"/>
        <v>96</v>
      </c>
      <c r="F123" s="493">
        <f t="shared" si="38"/>
        <v>94</v>
      </c>
      <c r="G123" s="493">
        <f t="shared" si="38"/>
        <v>92</v>
      </c>
      <c r="H123" s="493">
        <f t="shared" si="38"/>
        <v>90</v>
      </c>
      <c r="I123" s="493">
        <f t="shared" si="38"/>
        <v>88</v>
      </c>
      <c r="J123" s="493">
        <f t="shared" si="38"/>
        <v>86</v>
      </c>
      <c r="K123" s="493">
        <f t="shared" si="38"/>
        <v>84</v>
      </c>
      <c r="L123" s="493">
        <f t="shared" si="38"/>
        <v>82</v>
      </c>
      <c r="M123" s="493">
        <f t="shared" si="38"/>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A2:H5"/>
  <sheetViews>
    <sheetView workbookViewId="0">
      <selection activeCell="E5" sqref="E5"/>
    </sheetView>
  </sheetViews>
  <sheetFormatPr defaultRowHeight="13.5"/>
  <cols>
    <col min="7" max="7" width="11.625" bestFit="1" customWidth="1"/>
    <col min="8" max="8" width="19" bestFit="1" customWidth="1"/>
  </cols>
  <sheetData>
    <row r="2" spans="1:8" ht="24">
      <c r="A2" s="3866" t="s">
        <v>3579</v>
      </c>
      <c r="B2" s="3506" t="s">
        <v>3519</v>
      </c>
      <c r="C2" s="3506" t="s">
        <v>3559</v>
      </c>
      <c r="D2" s="3506" t="s">
        <v>3522</v>
      </c>
      <c r="E2" s="3506" t="s">
        <v>3513</v>
      </c>
      <c r="F2" s="3508"/>
    </row>
    <row r="3" spans="1:8">
      <c r="A3" s="3866"/>
      <c r="B3" s="3508">
        <v>63.5</v>
      </c>
      <c r="C3" s="3508">
        <v>100788</v>
      </c>
      <c r="D3" s="3508" t="s">
        <v>3580</v>
      </c>
      <c r="E3" s="3508" t="s">
        <v>3581</v>
      </c>
      <c r="F3" s="3508" t="s">
        <v>3582</v>
      </c>
    </row>
    <row r="4" spans="1:8">
      <c r="A4" s="3866"/>
      <c r="B4" s="3508">
        <v>73.400000000000006</v>
      </c>
      <c r="C4" s="3508">
        <v>105586</v>
      </c>
      <c r="D4" s="3508" t="s">
        <v>3525</v>
      </c>
      <c r="E4" s="3508" t="s">
        <v>3583</v>
      </c>
      <c r="F4" s="3508" t="s">
        <v>3584</v>
      </c>
      <c r="G4" s="3538">
        <v>44800</v>
      </c>
      <c r="H4" s="3539" t="s">
        <v>3585</v>
      </c>
    </row>
    <row r="5" spans="1:8">
      <c r="A5" s="3866"/>
      <c r="B5" s="3508">
        <v>57.3</v>
      </c>
      <c r="C5" s="3508">
        <v>109948</v>
      </c>
      <c r="D5" s="3508" t="s">
        <v>3525</v>
      </c>
      <c r="E5" s="3508" t="s">
        <v>3526</v>
      </c>
      <c r="F5" s="3508" t="s">
        <v>3582</v>
      </c>
      <c r="G5" s="3538">
        <v>44919</v>
      </c>
      <c r="H5" s="3539" t="s">
        <v>3586</v>
      </c>
    </row>
  </sheetData>
  <mergeCells count="1">
    <mergeCell ref="A2:A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24" zoomScale="80" zoomScaleNormal="60" zoomScaleSheetLayoutView="80" workbookViewId="0">
      <selection activeCell="I47" sqref="I4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3497</v>
      </c>
      <c r="E1" s="3423" t="s">
        <v>3502</v>
      </c>
      <c r="F1" s="1879" t="s">
        <v>3503</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1.0412999999999999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175.9</v>
      </c>
      <c r="C3" s="354" t="s">
        <v>1660</v>
      </c>
      <c r="D3" s="353">
        <f>IF(D1="",'数据-汇总表'!E3,SUMIF('数据-汇总表'!$C19:$C33,D1,'数据-汇总表'!$E19:$E33))</f>
        <v>59.2</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2"/>
      <c r="M4" s="2713"/>
      <c r="N4" s="2713"/>
      <c r="O4" s="2713"/>
      <c r="P4" s="3826" t="s">
        <v>1667</v>
      </c>
      <c r="Q4" s="3827"/>
      <c r="R4" s="3832" t="s">
        <v>1663</v>
      </c>
      <c r="S4" s="3833"/>
      <c r="T4" s="3832" t="s">
        <v>1664</v>
      </c>
      <c r="U4" s="3833"/>
      <c r="V4" s="3847" t="s">
        <v>1665</v>
      </c>
      <c r="W4" s="3847"/>
      <c r="X4" s="3451"/>
      <c r="Y4" s="3832" t="s">
        <v>1667</v>
      </c>
      <c r="Z4" s="3833"/>
      <c r="AA4" s="3819" t="s">
        <v>1663</v>
      </c>
      <c r="AB4" s="3819" t="s">
        <v>1664</v>
      </c>
      <c r="AC4" s="3819" t="s">
        <v>1665</v>
      </c>
    </row>
    <row r="5" spans="1:29" ht="15.75" thickBot="1">
      <c r="A5" s="358"/>
      <c r="B5" s="359"/>
      <c r="C5" s="3836" t="s">
        <v>3587</v>
      </c>
      <c r="D5" s="3837"/>
      <c r="E5" s="3838" t="str">
        <f>C5</f>
        <v>双榆树东里</v>
      </c>
      <c r="F5" s="3839"/>
      <c r="G5" s="3840" t="str">
        <f>C5</f>
        <v>双榆树东里</v>
      </c>
      <c r="H5" s="3837"/>
      <c r="I5" s="3840" t="str">
        <f>C5</f>
        <v>双榆树东里</v>
      </c>
      <c r="J5" s="3837"/>
      <c r="K5" s="1890"/>
      <c r="L5" s="2712"/>
      <c r="M5" s="2713"/>
      <c r="N5" s="2713"/>
      <c r="O5" s="2713"/>
      <c r="P5" s="3828"/>
      <c r="Q5" s="3829"/>
      <c r="R5" s="3834"/>
      <c r="S5" s="3835"/>
      <c r="T5" s="3834"/>
      <c r="U5" s="3835"/>
      <c r="V5" s="3847"/>
      <c r="W5" s="3847"/>
      <c r="X5" s="3451"/>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2"/>
      <c r="M6" s="2713"/>
      <c r="N6" s="2713"/>
      <c r="O6" s="2713"/>
      <c r="P6" s="3830"/>
      <c r="Q6" s="3831"/>
      <c r="R6" s="3834"/>
      <c r="S6" s="3835"/>
      <c r="T6" s="3845"/>
      <c r="U6" s="3846"/>
      <c r="V6" s="3847"/>
      <c r="W6" s="3847"/>
      <c r="X6" s="3451"/>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8" t="s">
        <v>1675</v>
      </c>
      <c r="Q7" s="3849"/>
      <c r="R7" s="701" t="s">
        <v>14</v>
      </c>
      <c r="S7" s="702">
        <f t="shared" ref="S7:S15" si="0">F7</f>
        <v>100</v>
      </c>
      <c r="T7" s="701" t="s">
        <v>14</v>
      </c>
      <c r="U7" s="702">
        <f t="shared" ref="U7:U15" si="1">H7</f>
        <v>100</v>
      </c>
      <c r="V7" s="701" t="s">
        <v>14</v>
      </c>
      <c r="W7" s="702">
        <f t="shared" ref="W7:W15" si="2">J7</f>
        <v>100</v>
      </c>
      <c r="X7" s="703"/>
      <c r="Y7" s="3848" t="s">
        <v>1675</v>
      </c>
      <c r="Z7" s="3850"/>
      <c r="AA7" s="704">
        <f>D7/F7</f>
        <v>1</v>
      </c>
      <c r="AB7" s="704">
        <f>D7/H7</f>
        <v>1</v>
      </c>
      <c r="AC7" s="704">
        <f>D7/J7</f>
        <v>1</v>
      </c>
    </row>
    <row r="8" spans="1:29" s="108" customFormat="1" ht="15.75" thickBot="1">
      <c r="A8" s="362" t="s">
        <v>1676</v>
      </c>
      <c r="B8" s="363"/>
      <c r="C8" s="368" t="s">
        <v>3504</v>
      </c>
      <c r="D8" s="365">
        <v>100</v>
      </c>
      <c r="E8" s="1892" t="s">
        <v>3504</v>
      </c>
      <c r="F8" s="367">
        <f>SUMIF(61:61,E8,62:62)-SUMIF(61:61,C8,62:62)+100</f>
        <v>100</v>
      </c>
      <c r="G8" s="368" t="s">
        <v>3504</v>
      </c>
      <c r="H8" s="365">
        <f>SUMIF(61:61,G8,62:62)-SUMIF(61:61,C8,62:62)+100</f>
        <v>100</v>
      </c>
      <c r="I8" s="1892" t="s">
        <v>3504</v>
      </c>
      <c r="J8" s="365">
        <f>SUMIF(61:61,I8,62:62)-SUMIF(61:61,C8,62:62)+100</f>
        <v>100</v>
      </c>
      <c r="K8" s="1891"/>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3497</v>
      </c>
      <c r="F9" s="372">
        <f>SUMIF(63:63,E9,64:64)-SUMIF(63:63,C9,64:64)+100</f>
        <v>100</v>
      </c>
      <c r="G9" s="371" t="s">
        <v>3497</v>
      </c>
      <c r="H9" s="126">
        <f>SUMIF(63:63,G9,64:64)-SUMIF(63:63,C9,64:64)+100</f>
        <v>100</v>
      </c>
      <c r="I9" s="371" t="s">
        <v>3497</v>
      </c>
      <c r="J9" s="126">
        <f>SUMIF(63:63,I9,64:64)-SUMIF(63:63,C9,64:64)+100</f>
        <v>100</v>
      </c>
      <c r="K9" s="1891"/>
      <c r="L9" s="2714"/>
      <c r="M9" s="2715"/>
      <c r="N9" s="2715"/>
      <c r="O9" s="2715"/>
      <c r="P9" s="3851" t="s">
        <v>1681</v>
      </c>
      <c r="Q9" s="3448" t="str">
        <f t="shared" ref="Q9:Q15" si="6">B9</f>
        <v>用途</v>
      </c>
      <c r="R9" s="701" t="s">
        <v>14</v>
      </c>
      <c r="S9" s="702">
        <f t="shared" si="0"/>
        <v>100</v>
      </c>
      <c r="T9" s="701" t="s">
        <v>14</v>
      </c>
      <c r="U9" s="702">
        <f t="shared" si="1"/>
        <v>100</v>
      </c>
      <c r="V9" s="701" t="s">
        <v>14</v>
      </c>
      <c r="W9" s="702">
        <f t="shared" si="2"/>
        <v>100</v>
      </c>
      <c r="X9" s="703"/>
      <c r="Y9" s="3719"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3509</v>
      </c>
      <c r="D10" s="127">
        <v>100</v>
      </c>
      <c r="E10" s="3504" t="s">
        <v>3509</v>
      </c>
      <c r="F10" s="376">
        <f>SUMIF(65:65,E10,66:66)-SUMIF(65:65,C10,66:66)+100</f>
        <v>100</v>
      </c>
      <c r="G10" s="3504" t="s">
        <v>3509</v>
      </c>
      <c r="H10" s="127">
        <f>SUMIF(65:65,G10,66:66)-SUMIF(65:65,C10,66:66)+100</f>
        <v>100</v>
      </c>
      <c r="I10" s="3504" t="s">
        <v>3509</v>
      </c>
      <c r="J10" s="127">
        <f>SUMIF(65:65,I10,66:66)-SUMIF(65:65,C10,66:66)+100</f>
        <v>100</v>
      </c>
      <c r="K10" s="1891"/>
      <c r="L10" s="2716"/>
      <c r="M10" s="2717"/>
      <c r="N10" s="2717"/>
      <c r="O10" s="2717"/>
      <c r="P10" s="3851"/>
      <c r="Q10" s="3448" t="str">
        <f t="shared" si="6"/>
        <v>土地使用年限（年）</v>
      </c>
      <c r="R10" s="701" t="s">
        <v>14</v>
      </c>
      <c r="S10" s="702">
        <f t="shared" si="0"/>
        <v>100</v>
      </c>
      <c r="T10" s="701" t="s">
        <v>14</v>
      </c>
      <c r="U10" s="702">
        <f t="shared" si="1"/>
        <v>100</v>
      </c>
      <c r="V10" s="701" t="s">
        <v>14</v>
      </c>
      <c r="W10" s="702">
        <f t="shared" si="2"/>
        <v>100</v>
      </c>
      <c r="X10" s="703"/>
      <c r="Y10" s="3719"/>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1"/>
      <c r="Q11" s="3448" t="str">
        <f t="shared" si="6"/>
        <v>容积率</v>
      </c>
      <c r="R11" s="701" t="s">
        <v>14</v>
      </c>
      <c r="S11" s="702">
        <f t="shared" si="0"/>
        <v>100</v>
      </c>
      <c r="T11" s="701" t="s">
        <v>14</v>
      </c>
      <c r="U11" s="702">
        <f t="shared" si="1"/>
        <v>100</v>
      </c>
      <c r="V11" s="701" t="s">
        <v>14</v>
      </c>
      <c r="W11" s="702">
        <f t="shared" si="2"/>
        <v>100</v>
      </c>
      <c r="X11" s="703"/>
      <c r="Y11" s="3719"/>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1"/>
      <c r="Q12" s="3448">
        <f t="shared" si="6"/>
        <v>111</v>
      </c>
      <c r="R12" s="701" t="s">
        <v>14</v>
      </c>
      <c r="S12" s="702">
        <f t="shared" si="0"/>
        <v>100</v>
      </c>
      <c r="T12" s="701" t="s">
        <v>14</v>
      </c>
      <c r="U12" s="702">
        <f t="shared" si="1"/>
        <v>100</v>
      </c>
      <c r="V12" s="701" t="s">
        <v>14</v>
      </c>
      <c r="W12" s="702">
        <f t="shared" si="2"/>
        <v>100</v>
      </c>
      <c r="X12" s="703"/>
      <c r="Y12" s="3719"/>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1"/>
      <c r="Q13" s="3448">
        <f t="shared" si="6"/>
        <v>111</v>
      </c>
      <c r="R13" s="701" t="s">
        <v>14</v>
      </c>
      <c r="S13" s="702">
        <f t="shared" si="0"/>
        <v>100</v>
      </c>
      <c r="T13" s="701" t="s">
        <v>14</v>
      </c>
      <c r="U13" s="702">
        <f t="shared" si="1"/>
        <v>100</v>
      </c>
      <c r="V13" s="701" t="s">
        <v>14</v>
      </c>
      <c r="W13" s="702">
        <f t="shared" si="2"/>
        <v>100</v>
      </c>
      <c r="X13" s="703"/>
      <c r="Y13" s="3719"/>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1"/>
      <c r="Q14" s="3448">
        <f t="shared" si="6"/>
        <v>111</v>
      </c>
      <c r="R14" s="701" t="s">
        <v>14</v>
      </c>
      <c r="S14" s="702">
        <f t="shared" si="0"/>
        <v>100</v>
      </c>
      <c r="T14" s="701" t="s">
        <v>14</v>
      </c>
      <c r="U14" s="702">
        <f t="shared" si="1"/>
        <v>100</v>
      </c>
      <c r="V14" s="701" t="s">
        <v>14</v>
      </c>
      <c r="W14" s="702">
        <f t="shared" si="2"/>
        <v>100</v>
      </c>
      <c r="X14" s="703"/>
      <c r="Y14" s="3719"/>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2" t="s">
        <v>1686</v>
      </c>
      <c r="Q15" s="3449" t="str">
        <f t="shared" si="6"/>
        <v>居住社区成熟度</v>
      </c>
      <c r="R15" s="705" t="s">
        <v>14</v>
      </c>
      <c r="S15" s="706">
        <f t="shared" si="0"/>
        <v>100</v>
      </c>
      <c r="T15" s="705" t="s">
        <v>14</v>
      </c>
      <c r="U15" s="706">
        <f t="shared" si="1"/>
        <v>100</v>
      </c>
      <c r="V15" s="705" t="s">
        <v>14</v>
      </c>
      <c r="W15" s="706">
        <f t="shared" si="2"/>
        <v>100</v>
      </c>
      <c r="X15" s="3451"/>
      <c r="Y15" s="3854" t="s">
        <v>1686</v>
      </c>
      <c r="Z15" s="3452" t="str">
        <f t="shared" si="7"/>
        <v>居住社区成熟度</v>
      </c>
      <c r="AA15" s="3450">
        <f t="shared" si="3"/>
        <v>1</v>
      </c>
      <c r="AB15" s="3450">
        <f t="shared" si="4"/>
        <v>1</v>
      </c>
      <c r="AC15" s="3450">
        <f t="shared" si="5"/>
        <v>1</v>
      </c>
    </row>
    <row r="16" spans="1:29" ht="15">
      <c r="A16" s="379"/>
      <c r="B16" s="397"/>
      <c r="C16" s="398" t="s">
        <v>3512</v>
      </c>
      <c r="D16" s="399"/>
      <c r="E16" s="398" t="s">
        <v>3512</v>
      </c>
      <c r="F16" s="399"/>
      <c r="G16" s="398" t="s">
        <v>3512</v>
      </c>
      <c r="H16" s="401"/>
      <c r="I16" s="398" t="s">
        <v>3512</v>
      </c>
      <c r="J16" s="399"/>
      <c r="K16" s="1899"/>
      <c r="L16" s="2719"/>
      <c r="M16" s="2713"/>
      <c r="N16" s="2713"/>
      <c r="O16" s="2713"/>
      <c r="P16" s="3853"/>
      <c r="Q16" s="3449"/>
      <c r="R16" s="705"/>
      <c r="S16" s="706"/>
      <c r="T16" s="705"/>
      <c r="U16" s="706"/>
      <c r="V16" s="705"/>
      <c r="W16" s="706"/>
      <c r="X16" s="3451"/>
      <c r="Y16" s="385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3"/>
      <c r="Q17" s="3449" t="str">
        <f>B17</f>
        <v>交通便捷度</v>
      </c>
      <c r="R17" s="705" t="s">
        <v>14</v>
      </c>
      <c r="S17" s="706">
        <f>F17</f>
        <v>100</v>
      </c>
      <c r="T17" s="705" t="s">
        <v>14</v>
      </c>
      <c r="U17" s="706">
        <f>H17</f>
        <v>100</v>
      </c>
      <c r="V17" s="705" t="s">
        <v>14</v>
      </c>
      <c r="W17" s="706">
        <f>J17</f>
        <v>100</v>
      </c>
      <c r="X17" s="3451"/>
      <c r="Y17" s="3855"/>
      <c r="Z17" s="3452" t="str">
        <f>Q17</f>
        <v>交通便捷度</v>
      </c>
      <c r="AA17" s="3450">
        <f t="shared" si="3"/>
        <v>1</v>
      </c>
      <c r="AB17" s="3450">
        <f t="shared" si="4"/>
        <v>1</v>
      </c>
      <c r="AC17" s="3450">
        <f t="shared" si="5"/>
        <v>1</v>
      </c>
    </row>
    <row r="18" spans="1:29" ht="15">
      <c r="A18" s="379"/>
      <c r="B18" s="407"/>
      <c r="C18" s="398" t="s">
        <v>3512</v>
      </c>
      <c r="D18" s="401"/>
      <c r="E18" s="398" t="s">
        <v>3512</v>
      </c>
      <c r="F18" s="401"/>
      <c r="G18" s="398" t="s">
        <v>3512</v>
      </c>
      <c r="H18" s="399"/>
      <c r="I18" s="398" t="s">
        <v>3512</v>
      </c>
      <c r="J18" s="399"/>
      <c r="K18" s="1899"/>
      <c r="L18" s="2719"/>
      <c r="M18" s="2713"/>
      <c r="N18" s="2713"/>
      <c r="O18" s="2713"/>
      <c r="P18" s="3853"/>
      <c r="Q18" s="3449"/>
      <c r="R18" s="705"/>
      <c r="S18" s="706"/>
      <c r="T18" s="705"/>
      <c r="U18" s="706"/>
      <c r="V18" s="705"/>
      <c r="W18" s="706"/>
      <c r="X18" s="3451"/>
      <c r="Y18" s="385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3"/>
      <c r="Q19" s="3449" t="str">
        <f>B19</f>
        <v>公共配套设施</v>
      </c>
      <c r="R19" s="705" t="s">
        <v>14</v>
      </c>
      <c r="S19" s="706">
        <f>F19</f>
        <v>100</v>
      </c>
      <c r="T19" s="705" t="s">
        <v>14</v>
      </c>
      <c r="U19" s="706">
        <f>H19</f>
        <v>100</v>
      </c>
      <c r="V19" s="705" t="s">
        <v>14</v>
      </c>
      <c r="W19" s="706">
        <f>J19</f>
        <v>100</v>
      </c>
      <c r="X19" s="3451"/>
      <c r="Y19" s="3855"/>
      <c r="Z19" s="3452" t="str">
        <f>Q19</f>
        <v>公共配套设施</v>
      </c>
      <c r="AA19" s="3450">
        <f t="shared" si="3"/>
        <v>1</v>
      </c>
      <c r="AB19" s="3450">
        <f t="shared" si="4"/>
        <v>1</v>
      </c>
      <c r="AC19" s="3450">
        <f t="shared" si="5"/>
        <v>1</v>
      </c>
    </row>
    <row r="20" spans="1:29" ht="15">
      <c r="A20" s="379"/>
      <c r="B20" s="407"/>
      <c r="C20" s="398" t="s">
        <v>3512</v>
      </c>
      <c r="D20" s="399"/>
      <c r="E20" s="398" t="s">
        <v>3512</v>
      </c>
      <c r="F20" s="399"/>
      <c r="G20" s="398" t="s">
        <v>3512</v>
      </c>
      <c r="H20" s="399"/>
      <c r="I20" s="398" t="s">
        <v>3512</v>
      </c>
      <c r="J20" s="399"/>
      <c r="K20" s="1899"/>
      <c r="L20" s="2719"/>
      <c r="M20" s="2713"/>
      <c r="N20" s="2713"/>
      <c r="O20" s="2713"/>
      <c r="P20" s="3853"/>
      <c r="Q20" s="3449"/>
      <c r="R20" s="705"/>
      <c r="S20" s="706"/>
      <c r="T20" s="705"/>
      <c r="U20" s="706"/>
      <c r="V20" s="705"/>
      <c r="W20" s="706"/>
      <c r="X20" s="3451"/>
      <c r="Y20" s="385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3"/>
      <c r="Q21" s="3449" t="str">
        <f>B21</f>
        <v>基础设施水平</v>
      </c>
      <c r="R21" s="705" t="s">
        <v>14</v>
      </c>
      <c r="S21" s="706">
        <f>F21</f>
        <v>100</v>
      </c>
      <c r="T21" s="705" t="s">
        <v>14</v>
      </c>
      <c r="U21" s="706">
        <f>H21</f>
        <v>100</v>
      </c>
      <c r="V21" s="705" t="s">
        <v>14</v>
      </c>
      <c r="W21" s="706">
        <f>J21</f>
        <v>100</v>
      </c>
      <c r="X21" s="3451"/>
      <c r="Y21" s="3855"/>
      <c r="Z21" s="3452" t="str">
        <f>Q21</f>
        <v>基础设施水平</v>
      </c>
      <c r="AA21" s="3450">
        <f t="shared" ref="AA21" si="8">D21/F21</f>
        <v>1</v>
      </c>
      <c r="AB21" s="3450">
        <f t="shared" ref="AB21" si="9">D21/H21</f>
        <v>1</v>
      </c>
      <c r="AC21" s="3450">
        <f t="shared" ref="AC21" si="10">D21/J21</f>
        <v>1</v>
      </c>
    </row>
    <row r="22" spans="1:29" ht="15">
      <c r="A22" s="379"/>
      <c r="B22" s="1131"/>
      <c r="C22" s="1901" t="s">
        <v>3515</v>
      </c>
      <c r="D22" s="399"/>
      <c r="E22" s="1901" t="s">
        <v>3515</v>
      </c>
      <c r="F22" s="399"/>
      <c r="G22" s="1901" t="s">
        <v>3515</v>
      </c>
      <c r="H22" s="399"/>
      <c r="I22" s="1901" t="s">
        <v>3515</v>
      </c>
      <c r="J22" s="399"/>
      <c r="K22" s="1905"/>
      <c r="L22" s="2719"/>
      <c r="M22" s="2713"/>
      <c r="N22" s="2713"/>
      <c r="O22" s="2713"/>
      <c r="P22" s="3853"/>
      <c r="Q22" s="3449"/>
      <c r="R22" s="705"/>
      <c r="S22" s="706"/>
      <c r="T22" s="705"/>
      <c r="U22" s="706"/>
      <c r="V22" s="705"/>
      <c r="W22" s="706"/>
      <c r="X22" s="3451"/>
      <c r="Y22" s="385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3"/>
      <c r="Q23" s="3449" t="str">
        <f>B23</f>
        <v>自然及人文环境</v>
      </c>
      <c r="R23" s="705" t="s">
        <v>14</v>
      </c>
      <c r="S23" s="706">
        <f>F23</f>
        <v>100</v>
      </c>
      <c r="T23" s="705" t="s">
        <v>14</v>
      </c>
      <c r="U23" s="706">
        <f>H23</f>
        <v>100</v>
      </c>
      <c r="V23" s="705" t="s">
        <v>14</v>
      </c>
      <c r="W23" s="706">
        <f>J23</f>
        <v>100</v>
      </c>
      <c r="X23" s="3451"/>
      <c r="Y23" s="3855"/>
      <c r="Z23" s="3452" t="str">
        <f>Q23</f>
        <v>自然及人文环境</v>
      </c>
      <c r="AA23" s="3450">
        <f>D23/F23</f>
        <v>1</v>
      </c>
      <c r="AB23" s="3450">
        <f>D23/H23</f>
        <v>1</v>
      </c>
      <c r="AC23" s="3450">
        <f>D23/J23</f>
        <v>1</v>
      </c>
    </row>
    <row r="24" spans="1:29" ht="15">
      <c r="A24" s="379"/>
      <c r="B24" s="407"/>
      <c r="C24" s="398" t="s">
        <v>3512</v>
      </c>
      <c r="D24" s="399"/>
      <c r="E24" s="398" t="s">
        <v>3512</v>
      </c>
      <c r="F24" s="399"/>
      <c r="G24" s="398" t="s">
        <v>3512</v>
      </c>
      <c r="H24" s="399"/>
      <c r="I24" s="398" t="s">
        <v>3512</v>
      </c>
      <c r="J24" s="399"/>
      <c r="K24" s="1899"/>
      <c r="L24" s="2719"/>
      <c r="M24" s="2713"/>
      <c r="N24" s="2713"/>
      <c r="O24" s="2713"/>
      <c r="P24" s="3853"/>
      <c r="Q24" s="3449"/>
      <c r="R24" s="705"/>
      <c r="S24" s="706"/>
      <c r="T24" s="705"/>
      <c r="U24" s="706"/>
      <c r="V24" s="705"/>
      <c r="W24" s="706"/>
      <c r="X24" s="3451"/>
      <c r="Y24" s="385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3531</v>
      </c>
      <c r="D26" s="386">
        <v>100</v>
      </c>
      <c r="E26" s="1906" t="s">
        <v>3530</v>
      </c>
      <c r="F26" s="386">
        <f>SUMIF(88:88,E26,89:89)-SUMIF(88:88,C26,89:89)+100</f>
        <v>101.5</v>
      </c>
      <c r="G26" s="1907" t="s">
        <v>3524</v>
      </c>
      <c r="H26" s="386">
        <f>SUMIF(88:88,G26,89:89)-SUMIF(88:88,C26,89:89)+100</f>
        <v>102</v>
      </c>
      <c r="I26" s="1907" t="s">
        <v>3594</v>
      </c>
      <c r="J26" s="386">
        <f>SUMIF(88:88,I26,89:89)-SUMIF(88:88,C26,89:89)+100</f>
        <v>100.5</v>
      </c>
      <c r="K26" s="377">
        <v>0.5</v>
      </c>
      <c r="L26" s="2719"/>
      <c r="M26" s="2713"/>
      <c r="N26" s="2713"/>
      <c r="O26" s="2713"/>
      <c r="P26" s="3853"/>
      <c r="Q26" s="3449" t="str">
        <f t="shared" si="11"/>
        <v>朝向</v>
      </c>
      <c r="R26" s="705" t="s">
        <v>14</v>
      </c>
      <c r="S26" s="706">
        <f t="shared" si="12"/>
        <v>101.5</v>
      </c>
      <c r="T26" s="705" t="s">
        <v>14</v>
      </c>
      <c r="U26" s="706">
        <f t="shared" si="13"/>
        <v>102</v>
      </c>
      <c r="V26" s="705" t="s">
        <v>14</v>
      </c>
      <c r="W26" s="706">
        <f t="shared" si="14"/>
        <v>100.5</v>
      </c>
      <c r="X26" s="3451"/>
      <c r="Y26" s="3855"/>
      <c r="Z26" s="3452" t="str">
        <f>Q26</f>
        <v>朝向</v>
      </c>
      <c r="AA26" s="3450">
        <f t="shared" si="15"/>
        <v>0.98522167487684731</v>
      </c>
      <c r="AB26" s="3450">
        <f t="shared" si="16"/>
        <v>0.98039215686274506</v>
      </c>
      <c r="AC26" s="3450">
        <f t="shared" si="17"/>
        <v>0.99502487562189057</v>
      </c>
    </row>
    <row r="27" spans="1:29" s="108" customFormat="1" ht="15.75" thickBot="1">
      <c r="A27" s="382"/>
      <c r="B27" s="3503" t="s">
        <v>3513</v>
      </c>
      <c r="C27" s="3518" t="s">
        <v>3588</v>
      </c>
      <c r="D27" s="413">
        <v>100</v>
      </c>
      <c r="E27" s="3518" t="s">
        <v>3532</v>
      </c>
      <c r="F27" s="413">
        <f>D91</f>
        <v>102</v>
      </c>
      <c r="G27" s="3518" t="s">
        <v>3533</v>
      </c>
      <c r="H27" s="413">
        <f>E91</f>
        <v>100</v>
      </c>
      <c r="I27" s="3518" t="s">
        <v>3588</v>
      </c>
      <c r="J27" s="413">
        <f>SUMIF(90:90,I27,91:91)-SUMIF(90:90,C27,91:91)+100</f>
        <v>100</v>
      </c>
      <c r="K27" s="1894"/>
      <c r="L27" s="2714"/>
      <c r="M27" s="2715"/>
      <c r="N27" s="2715"/>
      <c r="O27" s="2715"/>
      <c r="P27" s="3853"/>
      <c r="Q27" s="3448" t="str">
        <f t="shared" si="11"/>
        <v>楼层</v>
      </c>
      <c r="R27" s="701" t="s">
        <v>14</v>
      </c>
      <c r="S27" s="702">
        <f t="shared" si="12"/>
        <v>102</v>
      </c>
      <c r="T27" s="701" t="s">
        <v>14</v>
      </c>
      <c r="U27" s="702">
        <f t="shared" si="13"/>
        <v>100</v>
      </c>
      <c r="V27" s="701" t="s">
        <v>14</v>
      </c>
      <c r="W27" s="702">
        <f t="shared" si="14"/>
        <v>100</v>
      </c>
      <c r="X27" s="703"/>
      <c r="Y27" s="3855"/>
      <c r="Z27" s="3447" t="str">
        <f>Q27</f>
        <v>楼层</v>
      </c>
      <c r="AA27" s="3450">
        <f t="shared" si="15"/>
        <v>0.98039215686274506</v>
      </c>
      <c r="AB27" s="3450">
        <f t="shared" si="16"/>
        <v>1</v>
      </c>
      <c r="AC27" s="3450">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3"/>
      <c r="Q28" s="3449">
        <f t="shared" si="11"/>
        <v>111</v>
      </c>
      <c r="R28" s="705" t="s">
        <v>14</v>
      </c>
      <c r="S28" s="706">
        <f t="shared" si="12"/>
        <v>100</v>
      </c>
      <c r="T28" s="705" t="s">
        <v>14</v>
      </c>
      <c r="U28" s="706">
        <f t="shared" si="13"/>
        <v>100</v>
      </c>
      <c r="V28" s="705" t="s">
        <v>14</v>
      </c>
      <c r="W28" s="706">
        <f t="shared" si="14"/>
        <v>100</v>
      </c>
      <c r="X28" s="3451"/>
      <c r="Y28" s="3855"/>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3"/>
      <c r="Q29" s="3449">
        <f t="shared" si="11"/>
        <v>111</v>
      </c>
      <c r="R29" s="705" t="s">
        <v>14</v>
      </c>
      <c r="S29" s="706">
        <f t="shared" si="12"/>
        <v>100</v>
      </c>
      <c r="T29" s="705" t="s">
        <v>14</v>
      </c>
      <c r="U29" s="706">
        <f t="shared" si="13"/>
        <v>100</v>
      </c>
      <c r="V29" s="705" t="s">
        <v>14</v>
      </c>
      <c r="W29" s="706">
        <f t="shared" si="14"/>
        <v>100</v>
      </c>
      <c r="X29" s="3451"/>
      <c r="Y29" s="3855"/>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3"/>
      <c r="Q30" s="3449">
        <f t="shared" si="11"/>
        <v>111</v>
      </c>
      <c r="R30" s="705" t="s">
        <v>14</v>
      </c>
      <c r="S30" s="706">
        <f t="shared" si="12"/>
        <v>100</v>
      </c>
      <c r="T30" s="705" t="s">
        <v>14</v>
      </c>
      <c r="U30" s="706">
        <f t="shared" si="13"/>
        <v>100</v>
      </c>
      <c r="V30" s="705" t="s">
        <v>14</v>
      </c>
      <c r="W30" s="706">
        <f t="shared" si="14"/>
        <v>100</v>
      </c>
      <c r="X30" s="3451"/>
      <c r="Y30" s="385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3"/>
      <c r="Q31" s="3449">
        <f t="shared" si="11"/>
        <v>111</v>
      </c>
      <c r="R31" s="705" t="s">
        <v>14</v>
      </c>
      <c r="S31" s="706">
        <f t="shared" si="12"/>
        <v>100</v>
      </c>
      <c r="T31" s="705" t="s">
        <v>14</v>
      </c>
      <c r="U31" s="706">
        <f t="shared" si="13"/>
        <v>100</v>
      </c>
      <c r="V31" s="705" t="s">
        <v>14</v>
      </c>
      <c r="W31" s="706">
        <f t="shared" si="14"/>
        <v>100</v>
      </c>
      <c r="X31" s="3451"/>
      <c r="Y31" s="3855"/>
      <c r="Z31" s="3452">
        <f t="shared" si="18"/>
        <v>111</v>
      </c>
      <c r="AA31" s="3450">
        <f t="shared" si="15"/>
        <v>1</v>
      </c>
      <c r="AB31" s="3450">
        <f t="shared" si="16"/>
        <v>1</v>
      </c>
      <c r="AC31" s="3450">
        <f t="shared" si="17"/>
        <v>1</v>
      </c>
    </row>
    <row r="32" spans="1:29" ht="15">
      <c r="A32" s="391" t="s">
        <v>1689</v>
      </c>
      <c r="B32" s="63" t="s">
        <v>1690</v>
      </c>
      <c r="C32" s="1910" t="s">
        <v>3535</v>
      </c>
      <c r="D32" s="418">
        <v>100</v>
      </c>
      <c r="E32" s="1910" t="s">
        <v>3537</v>
      </c>
      <c r="F32" s="412">
        <f>SUMIF(100:100,E32,101:101)-SUMIF(100:100,C32,101:101)+100</f>
        <v>90</v>
      </c>
      <c r="G32" s="1910" t="s">
        <v>3537</v>
      </c>
      <c r="H32" s="418">
        <f>SUMIF(100:100,G32,101:101)-SUMIF(100:100,C32,101:101)+100</f>
        <v>90</v>
      </c>
      <c r="I32" s="1910" t="s">
        <v>3537</v>
      </c>
      <c r="J32" s="386">
        <f>SUMIF(100:100,I32,101:101)-SUMIF(100:100,C32,101:101)+100</f>
        <v>90</v>
      </c>
      <c r="K32" s="377">
        <v>5</v>
      </c>
      <c r="L32" s="2719"/>
      <c r="M32" s="2713"/>
      <c r="N32" s="2713"/>
      <c r="O32" s="2713"/>
      <c r="P32" s="3856" t="s">
        <v>1691</v>
      </c>
      <c r="Q32" s="3449" t="str">
        <f t="shared" si="11"/>
        <v>建筑类型</v>
      </c>
      <c r="R32" s="705" t="s">
        <v>14</v>
      </c>
      <c r="S32" s="706">
        <f t="shared" si="12"/>
        <v>90</v>
      </c>
      <c r="T32" s="705" t="s">
        <v>14</v>
      </c>
      <c r="U32" s="706">
        <f t="shared" si="13"/>
        <v>90</v>
      </c>
      <c r="V32" s="705" t="s">
        <v>14</v>
      </c>
      <c r="W32" s="706">
        <f t="shared" si="14"/>
        <v>90</v>
      </c>
      <c r="X32" s="3451"/>
      <c r="Y32" s="3859" t="s">
        <v>1691</v>
      </c>
      <c r="Z32" s="3452" t="str">
        <f t="shared" si="18"/>
        <v>建筑类型</v>
      </c>
      <c r="AA32" s="3450">
        <f t="shared" si="15"/>
        <v>1.1111111111111112</v>
      </c>
      <c r="AB32" s="3450">
        <f t="shared" si="16"/>
        <v>1.1111111111111112</v>
      </c>
      <c r="AC32" s="3450">
        <f t="shared" si="17"/>
        <v>1.1111111111111112</v>
      </c>
    </row>
    <row r="33" spans="1:29" s="422" customFormat="1" ht="15">
      <c r="A33" s="419"/>
      <c r="B33" s="375" t="s">
        <v>1692</v>
      </c>
      <c r="C33" s="420">
        <f>'数据-汇总表'!F19</f>
        <v>59.2</v>
      </c>
      <c r="D33" s="127">
        <v>100</v>
      </c>
      <c r="E33" s="381">
        <f>租金案例!K4</f>
        <v>59.5</v>
      </c>
      <c r="F33" s="376">
        <f>LOOKUP(E33,103:103,104:104)-LOOKUP(C33,103:103,104:104)+100</f>
        <v>100</v>
      </c>
      <c r="G33" s="380">
        <f>租金案例!K5</f>
        <v>59.2</v>
      </c>
      <c r="H33" s="127">
        <f>LOOKUP(G33,103:103,104:104)-LOOKUP(C33,103:103,104:104)+100</f>
        <v>100</v>
      </c>
      <c r="I33" s="381">
        <f>租金案例!K7</f>
        <v>62.7</v>
      </c>
      <c r="J33" s="127">
        <f>LOOKUP(I33,103:103,104:104)-LOOKUP(C33,103:103,104:104)+100</f>
        <v>100</v>
      </c>
      <c r="K33" s="1894"/>
      <c r="L33" s="2718"/>
      <c r="M33" s="2720"/>
      <c r="N33" s="2720"/>
      <c r="O33" s="2720"/>
      <c r="P33" s="3857"/>
      <c r="Q33" s="707" t="str">
        <f t="shared" si="11"/>
        <v>项目建筑规模</v>
      </c>
      <c r="R33" s="708" t="s">
        <v>14</v>
      </c>
      <c r="S33" s="709">
        <f t="shared" si="12"/>
        <v>100</v>
      </c>
      <c r="T33" s="708" t="s">
        <v>14</v>
      </c>
      <c r="U33" s="709">
        <f t="shared" si="13"/>
        <v>100</v>
      </c>
      <c r="V33" s="708" t="s">
        <v>14</v>
      </c>
      <c r="W33" s="709">
        <f t="shared" si="14"/>
        <v>100</v>
      </c>
      <c r="X33" s="710"/>
      <c r="Y33" s="3859"/>
      <c r="Z33" s="711" t="str">
        <f t="shared" si="18"/>
        <v>项目建筑规模</v>
      </c>
      <c r="AA33" s="3450">
        <f t="shared" si="15"/>
        <v>1</v>
      </c>
      <c r="AB33" s="3450">
        <f t="shared" si="16"/>
        <v>1</v>
      </c>
      <c r="AC33" s="3450">
        <f t="shared" si="17"/>
        <v>1</v>
      </c>
    </row>
    <row r="34" spans="1:29" ht="15">
      <c r="A34" s="423"/>
      <c r="B34" s="375" t="s">
        <v>1693</v>
      </c>
      <c r="C34" s="1911" t="s">
        <v>3540</v>
      </c>
      <c r="D34" s="386">
        <v>100</v>
      </c>
      <c r="E34" s="1911" t="s">
        <v>3540</v>
      </c>
      <c r="F34" s="412">
        <f>SUMIF(105:105,E34,106:106)-SUMIF(105:105,C34,106:106)+100</f>
        <v>100</v>
      </c>
      <c r="G34" s="1911" t="s">
        <v>3540</v>
      </c>
      <c r="H34" s="386">
        <f>SUMIF(105:105,G34,106:106)-SUMIF(105:105,C34,106:106)+100</f>
        <v>100</v>
      </c>
      <c r="I34" s="1911" t="s">
        <v>3540</v>
      </c>
      <c r="J34" s="386">
        <f>SUMIF(105:105,I34,106:106)-SUMIF(105:105,C34,106:106)+100</f>
        <v>100</v>
      </c>
      <c r="K34" s="377">
        <v>2</v>
      </c>
      <c r="L34" s="2719"/>
      <c r="M34" s="2713"/>
      <c r="N34" s="2713"/>
      <c r="O34" s="2713"/>
      <c r="P34" s="3857"/>
      <c r="Q34" s="3449" t="str">
        <f t="shared" si="11"/>
        <v>建筑结构</v>
      </c>
      <c r="R34" s="705" t="s">
        <v>14</v>
      </c>
      <c r="S34" s="706">
        <f t="shared" si="12"/>
        <v>100</v>
      </c>
      <c r="T34" s="705" t="s">
        <v>14</v>
      </c>
      <c r="U34" s="706">
        <f t="shared" si="13"/>
        <v>100</v>
      </c>
      <c r="V34" s="705" t="s">
        <v>14</v>
      </c>
      <c r="W34" s="706">
        <f t="shared" si="14"/>
        <v>100</v>
      </c>
      <c r="X34" s="3451"/>
      <c r="Y34" s="385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7"/>
      <c r="Q35" s="3449" t="str">
        <f t="shared" si="11"/>
        <v>建筑品质</v>
      </c>
      <c r="R35" s="705" t="s">
        <v>14</v>
      </c>
      <c r="S35" s="706">
        <f t="shared" si="12"/>
        <v>100</v>
      </c>
      <c r="T35" s="705" t="s">
        <v>14</v>
      </c>
      <c r="U35" s="706">
        <f t="shared" si="13"/>
        <v>100</v>
      </c>
      <c r="V35" s="705" t="s">
        <v>14</v>
      </c>
      <c r="W35" s="706">
        <f t="shared" si="14"/>
        <v>100</v>
      </c>
      <c r="X35" s="3451"/>
      <c r="Y35" s="3859"/>
      <c r="Z35" s="3452" t="str">
        <f t="shared" si="18"/>
        <v>建筑品质</v>
      </c>
      <c r="AA35" s="3450">
        <f t="shared" si="15"/>
        <v>1</v>
      </c>
      <c r="AB35" s="3450">
        <f t="shared" si="16"/>
        <v>1</v>
      </c>
      <c r="AC35" s="3450">
        <f t="shared" si="17"/>
        <v>1</v>
      </c>
    </row>
    <row r="36" spans="1:29" ht="15">
      <c r="A36" s="423"/>
      <c r="B36" s="375" t="s">
        <v>1695</v>
      </c>
      <c r="C36" s="1906" t="s">
        <v>3558</v>
      </c>
      <c r="D36" s="386">
        <v>100</v>
      </c>
      <c r="E36" s="1906" t="s">
        <v>3558</v>
      </c>
      <c r="F36" s="412">
        <f>SUMIF(109:109,E36,110:110)-SUMIF(109:109,C36,110:110)+100</f>
        <v>100</v>
      </c>
      <c r="G36" s="1906" t="s">
        <v>3558</v>
      </c>
      <c r="H36" s="386">
        <f>SUMIF(109:109,G36,110:110)-SUMIF(109:109,C36,110:110)+100</f>
        <v>100</v>
      </c>
      <c r="I36" s="1906" t="s">
        <v>3558</v>
      </c>
      <c r="J36" s="386">
        <f>SUMIF(109:109,I36,110:110)-SUMIF(109:109,C36,110:110)+100</f>
        <v>100</v>
      </c>
      <c r="K36" s="377">
        <v>2</v>
      </c>
      <c r="L36" s="2719"/>
      <c r="M36" s="2713"/>
      <c r="N36" s="2713"/>
      <c r="O36" s="2713"/>
      <c r="P36" s="3857"/>
      <c r="Q36" s="3449" t="str">
        <f t="shared" si="11"/>
        <v>公共部分装修</v>
      </c>
      <c r="R36" s="705" t="s">
        <v>14</v>
      </c>
      <c r="S36" s="706">
        <f t="shared" si="12"/>
        <v>100</v>
      </c>
      <c r="T36" s="705" t="s">
        <v>14</v>
      </c>
      <c r="U36" s="706">
        <f t="shared" si="13"/>
        <v>100</v>
      </c>
      <c r="V36" s="705" t="s">
        <v>14</v>
      </c>
      <c r="W36" s="706">
        <f t="shared" si="14"/>
        <v>100</v>
      </c>
      <c r="X36" s="3451"/>
      <c r="Y36" s="385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7"/>
      <c r="Q37" s="3448" t="str">
        <f t="shared" si="11"/>
        <v>成新度</v>
      </c>
      <c r="R37" s="701" t="s">
        <v>14</v>
      </c>
      <c r="S37" s="702">
        <f t="shared" si="12"/>
        <v>100</v>
      </c>
      <c r="T37" s="701" t="s">
        <v>14</v>
      </c>
      <c r="U37" s="702">
        <f t="shared" si="13"/>
        <v>100</v>
      </c>
      <c r="V37" s="701" t="s">
        <v>14</v>
      </c>
      <c r="W37" s="702">
        <f t="shared" si="14"/>
        <v>100</v>
      </c>
      <c r="X37" s="703"/>
      <c r="Y37" s="3859"/>
      <c r="Z37" s="3447" t="str">
        <f t="shared" si="18"/>
        <v>成新度</v>
      </c>
      <c r="AA37" s="704">
        <f t="shared" si="15"/>
        <v>1</v>
      </c>
      <c r="AB37" s="704">
        <f t="shared" si="16"/>
        <v>1</v>
      </c>
      <c r="AC37" s="704">
        <f t="shared" si="17"/>
        <v>1</v>
      </c>
    </row>
    <row r="38" spans="1:29" ht="15">
      <c r="A38" s="423"/>
      <c r="B38" s="375" t="s">
        <v>1697</v>
      </c>
      <c r="C38" s="1906" t="s">
        <v>3549</v>
      </c>
      <c r="D38" s="386">
        <v>100</v>
      </c>
      <c r="E38" s="1906" t="s">
        <v>3549</v>
      </c>
      <c r="F38" s="412">
        <f>SUMIF(114:114,E38,115:115)-SUMIF(114:114,C38,115:115)+100</f>
        <v>100</v>
      </c>
      <c r="G38" s="1906" t="s">
        <v>3549</v>
      </c>
      <c r="H38" s="386">
        <f>SUMIF(114:114,G38,115:115)-SUMIF(114:114,C38,115:115)+100</f>
        <v>100</v>
      </c>
      <c r="I38" s="1906" t="s">
        <v>3549</v>
      </c>
      <c r="J38" s="386">
        <f>SUMIF(114:114,I38,115:115)-SUMIF(114:114,C38,115:115)+100</f>
        <v>100</v>
      </c>
      <c r="K38" s="377">
        <v>1</v>
      </c>
      <c r="L38" s="2719"/>
      <c r="M38" s="2713"/>
      <c r="N38" s="2713"/>
      <c r="O38" s="2713"/>
      <c r="P38" s="3857" t="s">
        <v>1691</v>
      </c>
      <c r="Q38" s="3449" t="str">
        <f t="shared" si="11"/>
        <v>物业管理</v>
      </c>
      <c r="R38" s="705" t="s">
        <v>14</v>
      </c>
      <c r="S38" s="706">
        <f t="shared" si="12"/>
        <v>100</v>
      </c>
      <c r="T38" s="705" t="s">
        <v>14</v>
      </c>
      <c r="U38" s="706">
        <f t="shared" si="13"/>
        <v>100</v>
      </c>
      <c r="V38" s="705" t="s">
        <v>14</v>
      </c>
      <c r="W38" s="706">
        <f t="shared" si="14"/>
        <v>100</v>
      </c>
      <c r="X38" s="3451"/>
      <c r="Y38" s="3859" t="s">
        <v>1691</v>
      </c>
      <c r="Z38" s="3452" t="str">
        <f t="shared" si="18"/>
        <v>物业管理</v>
      </c>
      <c r="AA38" s="3450">
        <f t="shared" si="15"/>
        <v>1</v>
      </c>
      <c r="AB38" s="3450">
        <f t="shared" si="16"/>
        <v>1</v>
      </c>
      <c r="AC38" s="3450">
        <f t="shared" si="17"/>
        <v>1</v>
      </c>
    </row>
    <row r="39" spans="1:29" ht="15">
      <c r="A39" s="423"/>
      <c r="B39" s="375" t="s">
        <v>1698</v>
      </c>
      <c r="C39" s="1906" t="s">
        <v>3515</v>
      </c>
      <c r="D39" s="386">
        <v>100</v>
      </c>
      <c r="E39" s="1906" t="s">
        <v>3515</v>
      </c>
      <c r="F39" s="412">
        <f>SUMIF(116:116,E39,117:117)-SUMIF(116:116,C39,117:117)+100</f>
        <v>100</v>
      </c>
      <c r="G39" s="1906" t="s">
        <v>3515</v>
      </c>
      <c r="H39" s="386">
        <f>SUMIF(116:116,G39,117:117)-SUMIF(116:116,C39,117:117)+100</f>
        <v>100</v>
      </c>
      <c r="I39" s="1906" t="s">
        <v>3515</v>
      </c>
      <c r="J39" s="386">
        <f>SUMIF(116:116,I39,117:117)-SUMIF(116:116,C39,117:117)+100</f>
        <v>100</v>
      </c>
      <c r="K39" s="377">
        <v>1</v>
      </c>
      <c r="L39" s="2719"/>
      <c r="M39" s="2713"/>
      <c r="N39" s="2713"/>
      <c r="O39" s="2713"/>
      <c r="P39" s="3857"/>
      <c r="Q39" s="3449" t="str">
        <f t="shared" si="11"/>
        <v>市政基础设施</v>
      </c>
      <c r="R39" s="705" t="s">
        <v>14</v>
      </c>
      <c r="S39" s="706">
        <f t="shared" si="12"/>
        <v>100</v>
      </c>
      <c r="T39" s="705" t="s">
        <v>14</v>
      </c>
      <c r="U39" s="706">
        <f t="shared" si="13"/>
        <v>100</v>
      </c>
      <c r="V39" s="705" t="s">
        <v>14</v>
      </c>
      <c r="W39" s="706">
        <f t="shared" si="14"/>
        <v>100</v>
      </c>
      <c r="X39" s="3451"/>
      <c r="Y39" s="3859"/>
      <c r="Z39" s="3452" t="str">
        <f t="shared" si="18"/>
        <v>市政基础设施</v>
      </c>
      <c r="AA39" s="3450">
        <f t="shared" si="15"/>
        <v>1</v>
      </c>
      <c r="AB39" s="3450">
        <f t="shared" si="16"/>
        <v>1</v>
      </c>
      <c r="AC39" s="3450">
        <f t="shared" si="17"/>
        <v>1</v>
      </c>
    </row>
    <row r="40" spans="1:29" ht="15">
      <c r="A40" s="423"/>
      <c r="B40" s="375" t="s">
        <v>1699</v>
      </c>
      <c r="C40" s="1906" t="s">
        <v>3557</v>
      </c>
      <c r="D40" s="386">
        <v>100</v>
      </c>
      <c r="E40" s="1906" t="s">
        <v>3557</v>
      </c>
      <c r="F40" s="412">
        <f>SUMIF(118:118,E40,119:119)-SUMIF(118:118,C40,119:119)+100</f>
        <v>100</v>
      </c>
      <c r="G40" s="1906" t="s">
        <v>3557</v>
      </c>
      <c r="H40" s="386">
        <f>SUMIF(118:118,G40,119:119)-SUMIF(118:118,C40,119:119)+100</f>
        <v>100</v>
      </c>
      <c r="I40" s="1906" t="s">
        <v>3557</v>
      </c>
      <c r="J40" s="386">
        <f>SUMIF(118:118,I40,119:119)-SUMIF(118:118,C40,119:119)+100</f>
        <v>100</v>
      </c>
      <c r="K40" s="377">
        <v>2</v>
      </c>
      <c r="L40" s="2719"/>
      <c r="M40" s="2713"/>
      <c r="N40" s="2713"/>
      <c r="O40" s="2713"/>
      <c r="P40" s="3857"/>
      <c r="Q40" s="3449" t="str">
        <f t="shared" si="11"/>
        <v>房型</v>
      </c>
      <c r="R40" s="705" t="s">
        <v>14</v>
      </c>
      <c r="S40" s="706">
        <f t="shared" si="12"/>
        <v>100</v>
      </c>
      <c r="T40" s="705" t="s">
        <v>14</v>
      </c>
      <c r="U40" s="706">
        <f t="shared" si="13"/>
        <v>100</v>
      </c>
      <c r="V40" s="705" t="s">
        <v>14</v>
      </c>
      <c r="W40" s="706">
        <f t="shared" si="14"/>
        <v>100</v>
      </c>
      <c r="X40" s="3451"/>
      <c r="Y40" s="385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3545</v>
      </c>
      <c r="F42" s="412">
        <f>SUMIF(122:122,E42,123:123)-SUMIF(122:122,C42,123:123)+100</f>
        <v>100</v>
      </c>
      <c r="G42" s="1906" t="s">
        <v>3558</v>
      </c>
      <c r="H42" s="386">
        <f>SUMIF(122:122,G42,123:123)-SUMIF(122:122,C42,123:123)+100</f>
        <v>95</v>
      </c>
      <c r="I42" s="1906" t="s">
        <v>3558</v>
      </c>
      <c r="J42" s="386">
        <f>SUMIF(122:122,I42,123:123)-SUMIF(122:122,C42,123:123)+100</f>
        <v>95</v>
      </c>
      <c r="K42" s="377">
        <v>5</v>
      </c>
      <c r="L42" s="2719"/>
      <c r="M42" s="2713"/>
      <c r="N42" s="2713"/>
      <c r="O42" s="2713"/>
      <c r="P42" s="3857"/>
      <c r="Q42" s="3449" t="str">
        <f t="shared" si="11"/>
        <v>内部装修</v>
      </c>
      <c r="R42" s="705" t="s">
        <v>14</v>
      </c>
      <c r="S42" s="706">
        <f t="shared" si="12"/>
        <v>100</v>
      </c>
      <c r="T42" s="705" t="s">
        <v>14</v>
      </c>
      <c r="U42" s="706">
        <f t="shared" si="13"/>
        <v>95</v>
      </c>
      <c r="V42" s="705" t="s">
        <v>14</v>
      </c>
      <c r="W42" s="706">
        <f t="shared" si="14"/>
        <v>95</v>
      </c>
      <c r="X42" s="3451"/>
      <c r="Y42" s="3859"/>
      <c r="Z42" s="3452" t="str">
        <f t="shared" si="18"/>
        <v>内部装修</v>
      </c>
      <c r="AA42" s="3450">
        <f t="shared" si="15"/>
        <v>1</v>
      </c>
      <c r="AB42" s="3450">
        <f t="shared" si="16"/>
        <v>1.0526315789473684</v>
      </c>
      <c r="AC42" s="3450">
        <f t="shared" si="17"/>
        <v>1.0526315789473684</v>
      </c>
    </row>
    <row r="43" spans="1:29" ht="15">
      <c r="A43" s="423"/>
      <c r="B43" s="375" t="s">
        <v>1702</v>
      </c>
      <c r="C43" s="1906" t="s">
        <v>3512</v>
      </c>
      <c r="D43" s="386">
        <v>100</v>
      </c>
      <c r="E43" s="1906" t="s">
        <v>3512</v>
      </c>
      <c r="F43" s="412">
        <f>SUMIF(124:124,E43,125:125)-SUMIF(124:124,C43,125:125)+100</f>
        <v>100</v>
      </c>
      <c r="G43" s="1906" t="s">
        <v>3512</v>
      </c>
      <c r="H43" s="386">
        <f>SUMIF(124:124,G43,125:125)-SUMIF(124:124,C43,125:125)+100</f>
        <v>100</v>
      </c>
      <c r="I43" s="1906" t="s">
        <v>3512</v>
      </c>
      <c r="J43" s="386">
        <f>SUMIF(124:124,I43,125:125)-SUMIF(124:124,C43,125:125)+100</f>
        <v>100</v>
      </c>
      <c r="K43" s="377">
        <v>1</v>
      </c>
      <c r="L43" s="2719"/>
      <c r="M43" s="2713"/>
      <c r="N43" s="2713"/>
      <c r="O43" s="2713"/>
      <c r="P43" s="3857"/>
      <c r="Q43" s="3449" t="str">
        <f t="shared" si="11"/>
        <v>内部装修维护情况</v>
      </c>
      <c r="R43" s="705" t="s">
        <v>14</v>
      </c>
      <c r="S43" s="706">
        <f t="shared" si="12"/>
        <v>100</v>
      </c>
      <c r="T43" s="705" t="s">
        <v>14</v>
      </c>
      <c r="U43" s="706">
        <f t="shared" si="13"/>
        <v>100</v>
      </c>
      <c r="V43" s="705" t="s">
        <v>14</v>
      </c>
      <c r="W43" s="706">
        <f t="shared" si="14"/>
        <v>100</v>
      </c>
      <c r="X43" s="3451"/>
      <c r="Y43" s="3859"/>
      <c r="Z43" s="3452" t="str">
        <f t="shared" si="18"/>
        <v>内部装修维护情况</v>
      </c>
      <c r="AA43" s="3450">
        <f t="shared" si="15"/>
        <v>1</v>
      </c>
      <c r="AB43" s="3450">
        <f t="shared" si="16"/>
        <v>1</v>
      </c>
      <c r="AC43" s="3450">
        <f t="shared" si="17"/>
        <v>1</v>
      </c>
    </row>
    <row r="44" spans="1:29" s="108" customFormat="1" ht="30" customHeight="1">
      <c r="A44" s="424"/>
      <c r="B44" s="3554" t="s">
        <v>3610</v>
      </c>
      <c r="C44" s="3555" t="s">
        <v>3611</v>
      </c>
      <c r="D44" s="127">
        <v>100</v>
      </c>
      <c r="E44" s="3555" t="s">
        <v>3612</v>
      </c>
      <c r="F44" s="376">
        <f>SUMIF(126:126,E44,127:127)-SUMIF(126:126,C44,127:127)+100</f>
        <v>90</v>
      </c>
      <c r="G44" s="3555" t="s">
        <v>3612</v>
      </c>
      <c r="H44" s="127">
        <f>SUMIF(126:126,G44,127:127)-SUMIF(126:126,C44,127:127)+100</f>
        <v>90</v>
      </c>
      <c r="I44" s="3555" t="s">
        <v>3612</v>
      </c>
      <c r="J44" s="127">
        <f>SUMIF(126:126,I44,127:127)-SUMIF(126:126,C44,127:127)+100</f>
        <v>90</v>
      </c>
      <c r="K44" s="1894"/>
      <c r="L44" s="2714"/>
      <c r="M44" s="2715"/>
      <c r="N44" s="2715"/>
      <c r="O44" s="2715"/>
      <c r="P44" s="3857"/>
      <c r="Q44" s="3448" t="str">
        <f t="shared" si="11"/>
        <v>室内设备设施</v>
      </c>
      <c r="R44" s="701" t="s">
        <v>14</v>
      </c>
      <c r="S44" s="702">
        <f t="shared" si="12"/>
        <v>90</v>
      </c>
      <c r="T44" s="701" t="s">
        <v>14</v>
      </c>
      <c r="U44" s="702">
        <f t="shared" si="13"/>
        <v>90</v>
      </c>
      <c r="V44" s="701" t="s">
        <v>14</v>
      </c>
      <c r="W44" s="702">
        <f t="shared" si="14"/>
        <v>90</v>
      </c>
      <c r="X44" s="703"/>
      <c r="Y44" s="3859"/>
      <c r="Z44" s="3447" t="str">
        <f t="shared" si="18"/>
        <v>室内设备设施</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7"/>
      <c r="Q45" s="3449">
        <f t="shared" si="11"/>
        <v>111</v>
      </c>
      <c r="R45" s="705" t="s">
        <v>14</v>
      </c>
      <c r="S45" s="706">
        <f t="shared" si="12"/>
        <v>100</v>
      </c>
      <c r="T45" s="705" t="s">
        <v>14</v>
      </c>
      <c r="U45" s="706">
        <f t="shared" si="13"/>
        <v>100</v>
      </c>
      <c r="V45" s="705" t="s">
        <v>14</v>
      </c>
      <c r="W45" s="706">
        <f t="shared" si="14"/>
        <v>100</v>
      </c>
      <c r="X45" s="3451"/>
      <c r="Y45" s="3859"/>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8"/>
      <c r="Q46" s="3449">
        <f t="shared" si="11"/>
        <v>111</v>
      </c>
      <c r="R46" s="705" t="s">
        <v>14</v>
      </c>
      <c r="S46" s="706">
        <f t="shared" si="12"/>
        <v>100</v>
      </c>
      <c r="T46" s="705" t="s">
        <v>14</v>
      </c>
      <c r="U46" s="706">
        <f t="shared" si="13"/>
        <v>100</v>
      </c>
      <c r="V46" s="705" t="s">
        <v>14</v>
      </c>
      <c r="W46" s="706">
        <f t="shared" si="14"/>
        <v>100</v>
      </c>
      <c r="X46" s="3451"/>
      <c r="Y46" s="3860"/>
      <c r="Z46" s="3452">
        <f t="shared" si="18"/>
        <v>111</v>
      </c>
      <c r="AA46" s="3450">
        <f t="shared" si="15"/>
        <v>1</v>
      </c>
      <c r="AB46" s="3450">
        <f t="shared" si="16"/>
        <v>1</v>
      </c>
      <c r="AC46" s="3450">
        <f t="shared" si="17"/>
        <v>1</v>
      </c>
    </row>
    <row r="47" spans="1:29" ht="15">
      <c r="A47" s="430" t="s">
        <v>1703</v>
      </c>
      <c r="B47" s="431"/>
      <c r="C47" s="1154" t="s">
        <v>0</v>
      </c>
      <c r="D47" s="1155"/>
      <c r="E47" s="1156">
        <f>ROUND(租金案例!P3*(1-0.025/1.05),2)</f>
        <v>145.52000000000001</v>
      </c>
      <c r="F47" s="1157"/>
      <c r="G47" s="1158">
        <f>ROUND(租金案例!P4*(1-0.025/1.05),2)</f>
        <v>138.41999999999999</v>
      </c>
      <c r="H47" s="1159"/>
      <c r="I47" s="1156">
        <f>ROUND(租金案例!P5*(1-0.025/1.05),2)</f>
        <v>137.51</v>
      </c>
      <c r="J47" s="1159"/>
      <c r="K47" s="1912"/>
      <c r="L47" s="2721"/>
      <c r="M47" s="2722"/>
      <c r="N47" s="2713"/>
      <c r="O47" s="2722"/>
      <c r="P47" s="3861" t="str">
        <f>A47</f>
        <v>成交单价（元/平方米）</v>
      </c>
      <c r="Q47" s="3861"/>
      <c r="R47" s="3862">
        <f>E47</f>
        <v>145.52000000000001</v>
      </c>
      <c r="S47" s="3862"/>
      <c r="T47" s="3862">
        <f>G47</f>
        <v>138.41999999999999</v>
      </c>
      <c r="U47" s="3862"/>
      <c r="V47" s="3862">
        <f>I47</f>
        <v>137.51</v>
      </c>
      <c r="W47" s="3862"/>
      <c r="X47" s="690"/>
      <c r="Y47" s="712"/>
      <c r="Z47" s="690"/>
      <c r="AA47" s="690"/>
      <c r="AB47" s="690"/>
      <c r="AC47" s="690"/>
    </row>
    <row r="48" spans="1:29" ht="15.75" thickBot="1">
      <c r="A48" s="437" t="s">
        <v>1704</v>
      </c>
      <c r="B48" s="438"/>
      <c r="C48" s="1160">
        <f>R49</f>
        <v>175.9</v>
      </c>
      <c r="D48" s="2315" t="s">
        <v>2130</v>
      </c>
      <c r="E48" s="1161">
        <f>R48</f>
        <v>173.53</v>
      </c>
      <c r="F48" s="2316"/>
      <c r="G48" s="1160">
        <f>T48</f>
        <v>176.36</v>
      </c>
      <c r="H48" s="2316"/>
      <c r="I48" s="1161">
        <f>V48</f>
        <v>177.81</v>
      </c>
      <c r="J48" s="2316"/>
      <c r="K48" s="2317">
        <f>F48+H48+J48</f>
        <v>0</v>
      </c>
      <c r="L48" s="2721"/>
      <c r="M48" s="2722"/>
      <c r="N48" s="2722"/>
      <c r="O48" s="2722"/>
      <c r="P48" s="3861" t="str">
        <f>A48</f>
        <v>比较价值（元/平方米）</v>
      </c>
      <c r="Q48" s="3861"/>
      <c r="R48" s="3862">
        <f>IF(F1="售价",ROUND(PRODUCT(R47,AA7:AA46),2),ROUND(PRODUCT(R47,AA7:AA46),2))</f>
        <v>173.53</v>
      </c>
      <c r="S48" s="3862"/>
      <c r="T48" s="3862">
        <f>IF(F1="售价",ROUND(PRODUCT(T47,AB7:AB46),2),ROUND(PRODUCT(T47,AB7:AB46),2))</f>
        <v>176.36</v>
      </c>
      <c r="U48" s="3862"/>
      <c r="V48" s="3862">
        <f>IF(F1="售价",ROUND(PRODUCT(V47,AC7:AC46),2),ROUND(PRODUCT(V47,AC7:AC46),1))</f>
        <v>177.81</v>
      </c>
      <c r="W48" s="3862"/>
      <c r="X48" s="690"/>
      <c r="Y48" s="690"/>
      <c r="Z48" s="690"/>
      <c r="AA48" s="690"/>
      <c r="AB48" s="690"/>
      <c r="AC48" s="690"/>
    </row>
    <row r="49" spans="1:29" ht="15.75" thickBot="1">
      <c r="A49" s="3505" t="s">
        <v>3514</v>
      </c>
      <c r="B49" s="442"/>
      <c r="C49" s="1162">
        <f>R49</f>
        <v>175.9</v>
      </c>
      <c r="D49" s="1163"/>
      <c r="E49" s="1163"/>
      <c r="F49" s="1163"/>
      <c r="G49" s="1163"/>
      <c r="H49" s="1163"/>
      <c r="I49" s="1163"/>
      <c r="J49" s="1163"/>
      <c r="K49" s="1913"/>
      <c r="L49" s="2721"/>
      <c r="M49" s="2722"/>
      <c r="N49" s="2722"/>
      <c r="O49" s="2722"/>
      <c r="P49" s="3863" t="str">
        <f>A49</f>
        <v>估价对象住宅用房的比较价值（月租金单价，元/平方米/月）</v>
      </c>
      <c r="Q49" s="3864"/>
      <c r="R49" s="3865">
        <f>IF(F1="售价",ROUND(IF(D48="简单平均",AVERAGE(R48:V48),R48*F48+T48*H48+V48*J48),2),ROUND(IF(D48="简单平均",AVERAGE(R48:V48),R48*F48+T48*H48+V48*J48),1))</f>
        <v>175.9</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0.19248213304013184</v>
      </c>
      <c r="F52" s="449" t="str">
        <f>IF(OR(E52&gt;=0.3,E52&lt;=-0.3),"超过30%","")</f>
        <v/>
      </c>
      <c r="G52" s="448">
        <f>IF(G47&lt;G48,G48/G47-1,G47/G48-1)</f>
        <v>0.27409333911284528</v>
      </c>
      <c r="H52" s="449" t="str">
        <f>IF(OR(G52&gt;=0.3,G52&lt;=-0.3),"超过30%","")</f>
        <v/>
      </c>
      <c r="I52" s="448">
        <f>IF(I47&lt;I48,I48/I47-1,I47/I48-1)</f>
        <v>0.29306959493855</v>
      </c>
      <c r="J52" s="449" t="str">
        <f>IF(OR(I52&gt;=0.3,I52&lt;=-0.3),"超过30%","")</f>
        <v/>
      </c>
      <c r="K52" s="2727"/>
      <c r="L52" s="2723"/>
      <c r="M52" s="2722"/>
      <c r="N52" s="2722"/>
      <c r="O52" s="2722"/>
    </row>
    <row r="53" spans="1:29" ht="13.5" customHeight="1">
      <c r="A53" s="2722"/>
      <c r="B53" s="2722"/>
      <c r="C53" s="446" t="s">
        <v>1706</v>
      </c>
      <c r="D53" s="450"/>
      <c r="E53" s="448">
        <f>IF(E48&lt;G48,G48/E48-1,E48/G48-1)</f>
        <v>1.6308419293493914E-2</v>
      </c>
      <c r="F53" s="449" t="str">
        <f>IF(OR(E53&gt;=0.2,E53&lt;=-0.2),"超过20%","")</f>
        <v/>
      </c>
      <c r="G53" s="448">
        <f>IF(G48&lt;I48,I48/G48-1,G48/I48-1)</f>
        <v>8.2218190065774799E-3</v>
      </c>
      <c r="H53" s="449" t="str">
        <f>IF(OR(G53&gt;=0.2,G53&lt;=-0.2),"超过20%","")</f>
        <v/>
      </c>
      <c r="I53" s="448">
        <f>IF(I48&lt;E48,E48/I48-1,I48/E48-1)</f>
        <v>2.4664323171785796E-2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5.1293165727496204E-2</v>
      </c>
      <c r="F54" s="449" t="str">
        <f>IF(OR(E54&gt;=0.3,E54&lt;=-0.3),"超过30%","")</f>
        <v/>
      </c>
      <c r="G54" s="448">
        <f>IF(G47&lt;I47,I47/G47-1,G47/I47-1)</f>
        <v>6.6177005308705183E-3</v>
      </c>
      <c r="H54" s="449" t="str">
        <f>IF(OR(G54&gt;=0.3,G54&lt;=-0.3),"超过30%","")</f>
        <v/>
      </c>
      <c r="I54" s="448">
        <f>IF(I47&lt;E47,E47/I47-1,I47/E47-1)</f>
        <v>5.8250309068431427E-2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3505</v>
      </c>
      <c r="D65" s="3501" t="s">
        <v>3506</v>
      </c>
      <c r="E65" s="3501" t="s">
        <v>3507</v>
      </c>
      <c r="F65" s="3501" t="s">
        <v>3508</v>
      </c>
      <c r="G65" s="3501" t="s">
        <v>3509</v>
      </c>
      <c r="H65" s="3501" t="s">
        <v>3510</v>
      </c>
      <c r="I65" s="3501" t="s">
        <v>3511</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3523</v>
      </c>
      <c r="D88" s="3521" t="s">
        <v>3525</v>
      </c>
      <c r="E88" s="3521" t="s">
        <v>3560</v>
      </c>
      <c r="F88" s="3521" t="s">
        <v>3596</v>
      </c>
      <c r="G88" s="3521" t="s">
        <v>3575</v>
      </c>
      <c r="H88" s="3521" t="s">
        <v>3576</v>
      </c>
      <c r="I88" s="3544" t="s">
        <v>3577</v>
      </c>
      <c r="J88" s="3544" t="s">
        <v>3578</v>
      </c>
      <c r="K88" s="3521" t="s">
        <v>3597</v>
      </c>
      <c r="L88" s="3521" t="s">
        <v>3598</v>
      </c>
      <c r="M88" s="3512"/>
      <c r="N88" s="3512"/>
      <c r="O88" s="3512"/>
      <c r="P88" s="3545"/>
      <c r="Q88" s="3546"/>
      <c r="R88" s="3544"/>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7">
        <f t="shared" ref="N89" si="26">M89-$K26</f>
        <v>94.5</v>
      </c>
      <c r="O89" s="3547">
        <f t="shared" ref="O89" si="27">N89-$K26</f>
        <v>94</v>
      </c>
      <c r="P89" s="3547">
        <f t="shared" ref="P89" si="28">O89-$K26</f>
        <v>93.5</v>
      </c>
      <c r="Q89" s="3547">
        <f t="shared" ref="Q89" si="29">P89-$K26</f>
        <v>93</v>
      </c>
      <c r="R89" s="3547">
        <f t="shared" ref="R89" si="30">Q89-$K26</f>
        <v>92.5</v>
      </c>
    </row>
    <row r="90" spans="1:18" s="422" customFormat="1" ht="15.75" thickTop="1">
      <c r="A90" s="502"/>
      <c r="B90" s="487" t="str">
        <f>B27</f>
        <v>楼层</v>
      </c>
      <c r="C90" s="3518" t="s">
        <v>3588</v>
      </c>
      <c r="D90" s="3519" t="s">
        <v>3532</v>
      </c>
      <c r="E90" s="3519" t="s">
        <v>3533</v>
      </c>
      <c r="F90" s="3519" t="s">
        <v>3588</v>
      </c>
      <c r="G90" s="503"/>
      <c r="H90" s="504"/>
      <c r="I90" s="504"/>
      <c r="J90" s="504"/>
      <c r="K90" s="504"/>
      <c r="L90" s="505"/>
      <c r="M90" s="506"/>
      <c r="N90" s="935"/>
      <c r="O90" s="935"/>
      <c r="P90" s="1921"/>
      <c r="Q90" s="508"/>
    </row>
    <row r="91" spans="1:18" s="422" customFormat="1" ht="15.75" thickBot="1">
      <c r="A91" s="502"/>
      <c r="B91" s="492"/>
      <c r="C91" s="509">
        <v>100</v>
      </c>
      <c r="D91" s="509">
        <v>102</v>
      </c>
      <c r="E91" s="509">
        <v>100</v>
      </c>
      <c r="F91" s="509">
        <v>100</v>
      </c>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3534</v>
      </c>
      <c r="D100" s="3515" t="s">
        <v>3535</v>
      </c>
      <c r="E100" s="3516" t="s">
        <v>3536</v>
      </c>
      <c r="F100" s="3517" t="s">
        <v>3537</v>
      </c>
      <c r="G100" s="3517" t="s">
        <v>3538</v>
      </c>
      <c r="H100" s="479"/>
      <c r="I100" s="479"/>
      <c r="J100" s="479"/>
      <c r="K100" s="480"/>
      <c r="L100" s="481"/>
      <c r="M100" s="482"/>
      <c r="N100" s="933"/>
      <c r="O100" s="933"/>
      <c r="P100" s="1920"/>
      <c r="Q100" s="453"/>
    </row>
    <row r="101" spans="1:17" ht="15.75" thickBot="1">
      <c r="A101" s="483"/>
      <c r="B101" s="492"/>
      <c r="C101" s="493">
        <v>100</v>
      </c>
      <c r="D101" s="493">
        <f t="shared" ref="D101:M101" si="31">C101-$K32</f>
        <v>95</v>
      </c>
      <c r="E101" s="493">
        <f t="shared" si="31"/>
        <v>90</v>
      </c>
      <c r="F101" s="493">
        <f t="shared" si="31"/>
        <v>85</v>
      </c>
      <c r="G101" s="493">
        <f t="shared" si="31"/>
        <v>80</v>
      </c>
      <c r="H101" s="493">
        <f t="shared" si="31"/>
        <v>75</v>
      </c>
      <c r="I101" s="493">
        <f t="shared" si="31"/>
        <v>70</v>
      </c>
      <c r="J101" s="493">
        <f t="shared" si="31"/>
        <v>65</v>
      </c>
      <c r="K101" s="493">
        <f t="shared" si="31"/>
        <v>60</v>
      </c>
      <c r="L101" s="493">
        <f t="shared" si="31"/>
        <v>55</v>
      </c>
      <c r="M101" s="493">
        <f t="shared" si="31"/>
        <v>50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3539</v>
      </c>
      <c r="D105" s="3511" t="s">
        <v>3540</v>
      </c>
      <c r="E105" s="3520" t="s">
        <v>3541</v>
      </c>
      <c r="F105" s="3520" t="s">
        <v>3542</v>
      </c>
      <c r="G105" s="3521" t="s">
        <v>3543</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3544</v>
      </c>
      <c r="D109" s="3511" t="s">
        <v>3545</v>
      </c>
      <c r="E109" s="3511" t="s">
        <v>3546</v>
      </c>
      <c r="F109" s="3520" t="s">
        <v>3547</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3548</v>
      </c>
      <c r="D114" s="3511" t="s">
        <v>3549</v>
      </c>
      <c r="E114" s="3521" t="s">
        <v>3550</v>
      </c>
      <c r="F114" s="3521" t="s">
        <v>3551</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3515</v>
      </c>
      <c r="D116" s="3511" t="s">
        <v>3552</v>
      </c>
      <c r="E116" s="3511" t="s">
        <v>3553</v>
      </c>
      <c r="F116" s="3511" t="s">
        <v>3554</v>
      </c>
      <c r="G116" s="3511" t="s">
        <v>3555</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3556</v>
      </c>
      <c r="D118" s="3511" t="s">
        <v>3557</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3544</v>
      </c>
      <c r="D122" s="3511" t="s">
        <v>3545</v>
      </c>
      <c r="E122" s="3511" t="s">
        <v>3546</v>
      </c>
      <c r="F122" s="3520" t="s">
        <v>3547</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室内设备设施</v>
      </c>
      <c r="C126" s="3556" t="s">
        <v>3611</v>
      </c>
      <c r="D126" s="3556" t="s">
        <v>3612</v>
      </c>
      <c r="E126" s="503"/>
      <c r="F126" s="503"/>
      <c r="G126" s="503"/>
      <c r="H126" s="504"/>
      <c r="I126" s="504"/>
      <c r="J126" s="504"/>
      <c r="K126" s="504"/>
      <c r="L126" s="505"/>
      <c r="M126" s="506"/>
      <c r="N126" s="935"/>
      <c r="O126" s="935"/>
      <c r="P126" s="1921"/>
      <c r="Q126" s="508"/>
    </row>
    <row r="127" spans="1:17" s="422" customFormat="1" ht="15.75" thickBot="1">
      <c r="A127" s="502"/>
      <c r="B127" s="492"/>
      <c r="C127" s="3557">
        <v>100</v>
      </c>
      <c r="D127" s="3558">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4"/>
  <sheetViews>
    <sheetView workbookViewId="0">
      <selection activeCell="J16" sqref="J16"/>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66" t="s">
        <v>3516</v>
      </c>
      <c r="K1" s="3506" t="s">
        <v>3519</v>
      </c>
      <c r="L1" s="3506" t="s">
        <v>3517</v>
      </c>
      <c r="M1" s="3506" t="s">
        <v>3518</v>
      </c>
      <c r="N1" s="3506" t="s">
        <v>3520</v>
      </c>
      <c r="O1" s="3506" t="s">
        <v>3521</v>
      </c>
      <c r="P1" s="3506" t="s">
        <v>3527</v>
      </c>
      <c r="Q1" s="3506" t="s">
        <v>3522</v>
      </c>
      <c r="R1" s="3506" t="s">
        <v>3513</v>
      </c>
    </row>
    <row r="2" spans="10:18">
      <c r="J2" s="3866"/>
      <c r="K2" s="3508">
        <v>65.06</v>
      </c>
      <c r="L2" s="3508">
        <v>8600</v>
      </c>
      <c r="M2" s="3508">
        <f>ROUND(L2/K2,2)</f>
        <v>132.19</v>
      </c>
      <c r="N2" s="3508">
        <v>3.6</v>
      </c>
      <c r="O2" s="3508">
        <v>2.5</v>
      </c>
      <c r="P2" s="3508">
        <f>M2-N2-O2</f>
        <v>126.09</v>
      </c>
      <c r="Q2" s="3508" t="s">
        <v>3523</v>
      </c>
      <c r="R2" s="3508" t="s">
        <v>3583</v>
      </c>
    </row>
    <row r="3" spans="10:18">
      <c r="J3" s="3866"/>
      <c r="K3" s="3510">
        <v>58</v>
      </c>
      <c r="L3" s="3510">
        <v>9000</v>
      </c>
      <c r="M3" s="3510">
        <f t="shared" ref="M3:M7" si="0">ROUND(L3/K3,2)</f>
        <v>155.16999999999999</v>
      </c>
      <c r="N3" s="3510">
        <f>N2</f>
        <v>3.6</v>
      </c>
      <c r="O3" s="3510">
        <f>O2</f>
        <v>2.5</v>
      </c>
      <c r="P3" s="3510">
        <f t="shared" ref="P3:P7" si="1">M3-N3-O3</f>
        <v>149.07</v>
      </c>
      <c r="Q3" s="3510" t="s">
        <v>3560</v>
      </c>
      <c r="R3" s="3510" t="s">
        <v>3528</v>
      </c>
    </row>
    <row r="4" spans="10:18">
      <c r="J4" s="3866"/>
      <c r="K4" s="3510">
        <v>59.5</v>
      </c>
      <c r="L4" s="3510">
        <v>8800</v>
      </c>
      <c r="M4" s="3510">
        <f t="shared" si="0"/>
        <v>147.9</v>
      </c>
      <c r="N4" s="3510">
        <f>N2</f>
        <v>3.6</v>
      </c>
      <c r="O4" s="3510">
        <f>O2</f>
        <v>2.5</v>
      </c>
      <c r="P4" s="3510">
        <f t="shared" si="1"/>
        <v>141.80000000000001</v>
      </c>
      <c r="Q4" s="3510" t="s">
        <v>3525</v>
      </c>
      <c r="R4" s="3510" t="s">
        <v>3526</v>
      </c>
    </row>
    <row r="5" spans="10:18">
      <c r="J5" s="3866"/>
      <c r="K5" s="3510">
        <v>59.2</v>
      </c>
      <c r="L5" s="3510">
        <v>8700</v>
      </c>
      <c r="M5" s="3510">
        <f t="shared" si="0"/>
        <v>146.96</v>
      </c>
      <c r="N5" s="3510">
        <f>N2</f>
        <v>3.6</v>
      </c>
      <c r="O5" s="3510">
        <f>O2</f>
        <v>2.5</v>
      </c>
      <c r="P5" s="3510">
        <f t="shared" si="1"/>
        <v>140.86000000000001</v>
      </c>
      <c r="Q5" s="3510" t="s">
        <v>3595</v>
      </c>
      <c r="R5" s="3510" t="s">
        <v>3581</v>
      </c>
    </row>
    <row r="6" spans="10:18">
      <c r="J6" s="3866"/>
      <c r="K6" s="3541">
        <v>62.3</v>
      </c>
      <c r="L6" s="3541">
        <v>8800</v>
      </c>
      <c r="M6" s="3541">
        <f t="shared" si="0"/>
        <v>141.25</v>
      </c>
      <c r="N6" s="3541">
        <f>N2</f>
        <v>3.6</v>
      </c>
      <c r="O6" s="3541">
        <f>O2</f>
        <v>2.5</v>
      </c>
      <c r="P6" s="3541">
        <f t="shared" si="1"/>
        <v>135.15</v>
      </c>
      <c r="Q6" s="3541" t="s">
        <v>3523</v>
      </c>
      <c r="R6" s="3508" t="s">
        <v>3529</v>
      </c>
    </row>
    <row r="7" spans="10:18">
      <c r="J7" s="3866"/>
      <c r="K7" s="3541">
        <v>62.7</v>
      </c>
      <c r="L7" s="3541">
        <v>9000</v>
      </c>
      <c r="M7" s="3541">
        <f t="shared" si="0"/>
        <v>143.54</v>
      </c>
      <c r="N7" s="3541">
        <f>N2</f>
        <v>3.6</v>
      </c>
      <c r="O7" s="3541">
        <f>O2</f>
        <v>2.5</v>
      </c>
      <c r="P7" s="3541">
        <f t="shared" si="1"/>
        <v>137.44</v>
      </c>
      <c r="Q7" s="3541" t="s">
        <v>3525</v>
      </c>
      <c r="R7" s="3508" t="s">
        <v>3526</v>
      </c>
    </row>
    <row r="8" spans="10:18">
      <c r="K8" s="3542"/>
      <c r="L8" s="3542"/>
      <c r="M8" s="3542"/>
      <c r="N8" s="3542"/>
      <c r="O8" s="3542"/>
      <c r="P8" s="3542"/>
      <c r="Q8" s="3542"/>
    </row>
    <row r="12" spans="10:18">
      <c r="M12" s="3532" t="s">
        <v>3566</v>
      </c>
      <c r="N12" s="3532" t="s">
        <v>3567</v>
      </c>
      <c r="O12" s="3532" t="s">
        <v>3568</v>
      </c>
      <c r="P12" s="3532" t="s">
        <v>3569</v>
      </c>
    </row>
    <row r="13" spans="10:18">
      <c r="M13" s="3533">
        <v>1</v>
      </c>
      <c r="N13" s="3533" t="s">
        <v>3570</v>
      </c>
      <c r="O13" s="3533" t="s">
        <v>3571</v>
      </c>
      <c r="P13" s="3533" t="s">
        <v>3572</v>
      </c>
    </row>
    <row r="14" spans="10:18">
      <c r="M14" s="3533">
        <v>2</v>
      </c>
      <c r="N14" s="3533" t="s">
        <v>3573</v>
      </c>
      <c r="O14" s="3533" t="s">
        <v>3571</v>
      </c>
      <c r="P14" s="3549" t="s">
        <v>3574</v>
      </c>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估价对象为北京市房地产，为所有。根据《国有土地使用证》[]，估价对象（分摊）出让国有建设用地使用权面积为0平方米，建筑面积为59.2平方米。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估价对象为北京市房地产,属开发建设的，该项目尚在开发建设中。根据《国有土地使用证》[]，估价对象（分摊）出让国有建设用地使用权面积为0平方米，规划建筑面积为59.2平方米。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2" sqref="D2"/>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59.2</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656.91869999999994</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'数据-汇总表'!E3</f>
        <v>59.2</v>
      </c>
      <c r="C14" s="2515"/>
      <c r="D14" s="2515">
        <f>收益法倒推!C3/10000</f>
        <v>656.91869999999994</v>
      </c>
      <c r="E14" s="2515">
        <f>ROUND(D14*10000/B14,0)</f>
        <v>110966</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59.2</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47"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47"/>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47"/>
      <c r="AC6" s="3821"/>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5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5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51"/>
      <c r="Q11" s="1343" t="str">
        <f t="shared" si="6"/>
        <v>容积率</v>
      </c>
      <c r="R11" s="701" t="s">
        <v>14</v>
      </c>
      <c r="S11" s="702" t="e">
        <f t="shared" si="0"/>
        <v>#N/A</v>
      </c>
      <c r="T11" s="701" t="s">
        <v>14</v>
      </c>
      <c r="U11" s="702" t="e">
        <f t="shared" si="1"/>
        <v>#N/A</v>
      </c>
      <c r="V11" s="701" t="s">
        <v>14</v>
      </c>
      <c r="W11" s="702" t="e">
        <f t="shared" si="2"/>
        <v>#N/A</v>
      </c>
      <c r="X11" s="703"/>
      <c r="Y11" s="37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5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5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5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52" t="s">
        <v>1686</v>
      </c>
      <c r="Q15" s="1352" t="str">
        <f t="shared" si="6"/>
        <v>商业繁华度</v>
      </c>
      <c r="R15" s="705" t="s">
        <v>14</v>
      </c>
      <c r="S15" s="706">
        <f t="shared" si="0"/>
        <v>100</v>
      </c>
      <c r="T15" s="705" t="s">
        <v>14</v>
      </c>
      <c r="U15" s="706">
        <f t="shared" si="1"/>
        <v>100</v>
      </c>
      <c r="V15" s="705" t="s">
        <v>14</v>
      </c>
      <c r="W15" s="706">
        <f t="shared" si="2"/>
        <v>100</v>
      </c>
      <c r="X15" s="1355"/>
      <c r="Y15" s="3854"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53"/>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53"/>
      <c r="Q18" s="1352"/>
      <c r="R18" s="705"/>
      <c r="S18" s="706"/>
      <c r="T18" s="705"/>
      <c r="U18" s="706"/>
      <c r="V18" s="705"/>
      <c r="W18" s="706"/>
      <c r="X18" s="1355"/>
      <c r="Y18" s="385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53"/>
      <c r="Q20" s="1352"/>
      <c r="R20" s="705"/>
      <c r="S20" s="706"/>
      <c r="T20" s="705"/>
      <c r="U20" s="706"/>
      <c r="V20" s="705"/>
      <c r="W20" s="706"/>
      <c r="X20" s="1355"/>
      <c r="Y20" s="385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53"/>
      <c r="Q22" s="1352"/>
      <c r="R22" s="705"/>
      <c r="S22" s="706"/>
      <c r="T22" s="705"/>
      <c r="U22" s="706"/>
      <c r="V22" s="705"/>
      <c r="W22" s="706"/>
      <c r="X22" s="1355"/>
      <c r="Y22" s="385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53"/>
      <c r="Q23" s="1352" t="str">
        <f>B23</f>
        <v>自然及人文环境</v>
      </c>
      <c r="R23" s="705" t="s">
        <v>14</v>
      </c>
      <c r="S23" s="706">
        <f>F23</f>
        <v>100</v>
      </c>
      <c r="T23" s="705" t="s">
        <v>14</v>
      </c>
      <c r="U23" s="706">
        <f>H23</f>
        <v>100</v>
      </c>
      <c r="V23" s="705" t="s">
        <v>14</v>
      </c>
      <c r="W23" s="706">
        <f>J23</f>
        <v>100</v>
      </c>
      <c r="X23" s="1355"/>
      <c r="Y23" s="38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53"/>
      <c r="Q24" s="1352"/>
      <c r="R24" s="705"/>
      <c r="S24" s="706"/>
      <c r="T24" s="705"/>
      <c r="U24" s="706"/>
      <c r="V24" s="705"/>
      <c r="W24" s="706"/>
      <c r="X24" s="1355"/>
      <c r="Y24" s="3855"/>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53"/>
      <c r="Q25" s="1352" t="str">
        <f t="shared" ref="Q25:Q46" si="11">B25</f>
        <v>临街状况</v>
      </c>
      <c r="R25" s="705" t="s">
        <v>14</v>
      </c>
      <c r="S25" s="706">
        <f>F25</f>
        <v>100</v>
      </c>
      <c r="T25" s="705" t="s">
        <v>14</v>
      </c>
      <c r="U25" s="706">
        <f>H25</f>
        <v>100</v>
      </c>
      <c r="V25" s="705" t="s">
        <v>14</v>
      </c>
      <c r="W25" s="706">
        <f>J25</f>
        <v>100</v>
      </c>
      <c r="X25" s="1355"/>
      <c r="Y25" s="3855"/>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53"/>
      <c r="Q26" s="1352" t="str">
        <f t="shared" si="11"/>
        <v>平面位置/可视性</v>
      </c>
      <c r="R26" s="705" t="s">
        <v>14</v>
      </c>
      <c r="S26" s="706">
        <f>F26</f>
        <v>100</v>
      </c>
      <c r="T26" s="705" t="s">
        <v>14</v>
      </c>
      <c r="U26" s="706">
        <f>H26</f>
        <v>100</v>
      </c>
      <c r="V26" s="705" t="s">
        <v>14</v>
      </c>
      <c r="W26" s="706">
        <f>J26</f>
        <v>100</v>
      </c>
      <c r="X26" s="1355"/>
      <c r="Y26" s="3855"/>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53"/>
      <c r="Q27" s="1343" t="str">
        <f t="shared" si="11"/>
        <v>人流量</v>
      </c>
      <c r="R27" s="701" t="s">
        <v>14</v>
      </c>
      <c r="S27" s="702">
        <f>F27</f>
        <v>100</v>
      </c>
      <c r="T27" s="701" t="s">
        <v>14</v>
      </c>
      <c r="U27" s="702">
        <f>H27</f>
        <v>100</v>
      </c>
      <c r="V27" s="701" t="s">
        <v>14</v>
      </c>
      <c r="W27" s="702">
        <f>J27</f>
        <v>100</v>
      </c>
      <c r="X27" s="703"/>
      <c r="Y27" s="3855"/>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53"/>
      <c r="Q29" s="1352">
        <f t="shared" si="11"/>
        <v>111</v>
      </c>
      <c r="R29" s="705" t="s">
        <v>14</v>
      </c>
      <c r="S29" s="706">
        <f t="shared" si="12"/>
        <v>100</v>
      </c>
      <c r="T29" s="705" t="s">
        <v>14</v>
      </c>
      <c r="U29" s="706">
        <f t="shared" si="13"/>
        <v>100</v>
      </c>
      <c r="V29" s="705" t="s">
        <v>14</v>
      </c>
      <c r="W29" s="706">
        <f t="shared" si="14"/>
        <v>100</v>
      </c>
      <c r="X29" s="1355"/>
      <c r="Y29" s="38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56" t="s">
        <v>1691</v>
      </c>
      <c r="Q32" s="1352" t="str">
        <f t="shared" si="11"/>
        <v>商业类型</v>
      </c>
      <c r="R32" s="705" t="s">
        <v>14</v>
      </c>
      <c r="S32" s="706">
        <f t="shared" si="12"/>
        <v>100</v>
      </c>
      <c r="T32" s="705" t="s">
        <v>14</v>
      </c>
      <c r="U32" s="706">
        <f t="shared" si="13"/>
        <v>100</v>
      </c>
      <c r="V32" s="705" t="s">
        <v>14</v>
      </c>
      <c r="W32" s="706">
        <f t="shared" si="14"/>
        <v>100</v>
      </c>
      <c r="X32" s="1355"/>
      <c r="Y32" s="3859"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57"/>
      <c r="Q33" s="707" t="str">
        <f t="shared" si="11"/>
        <v>项目建筑规模</v>
      </c>
      <c r="R33" s="708" t="s">
        <v>14</v>
      </c>
      <c r="S33" s="709" t="e">
        <f t="shared" si="12"/>
        <v>#N/A</v>
      </c>
      <c r="T33" s="708" t="s">
        <v>14</v>
      </c>
      <c r="U33" s="709" t="e">
        <f t="shared" si="13"/>
        <v>#N/A</v>
      </c>
      <c r="V33" s="708" t="s">
        <v>14</v>
      </c>
      <c r="W33" s="709" t="e">
        <f t="shared" si="14"/>
        <v>#N/A</v>
      </c>
      <c r="X33" s="710"/>
      <c r="Y33" s="3859"/>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57"/>
      <c r="Q34" s="1352" t="str">
        <f t="shared" si="11"/>
        <v>建筑结构</v>
      </c>
      <c r="R34" s="705" t="s">
        <v>14</v>
      </c>
      <c r="S34" s="706">
        <f t="shared" si="12"/>
        <v>100</v>
      </c>
      <c r="T34" s="705" t="s">
        <v>14</v>
      </c>
      <c r="U34" s="706">
        <f t="shared" si="13"/>
        <v>100</v>
      </c>
      <c r="V34" s="705" t="s">
        <v>14</v>
      </c>
      <c r="W34" s="706">
        <f t="shared" si="14"/>
        <v>100</v>
      </c>
      <c r="X34" s="1355"/>
      <c r="Y34" s="3859"/>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57"/>
      <c r="Q35" s="1352" t="str">
        <f t="shared" si="11"/>
        <v>公共部分装修</v>
      </c>
      <c r="R35" s="705" t="s">
        <v>14</v>
      </c>
      <c r="S35" s="706">
        <f t="shared" si="12"/>
        <v>100</v>
      </c>
      <c r="T35" s="705" t="s">
        <v>14</v>
      </c>
      <c r="U35" s="706">
        <f t="shared" si="13"/>
        <v>100</v>
      </c>
      <c r="V35" s="705" t="s">
        <v>14</v>
      </c>
      <c r="W35" s="706">
        <f t="shared" si="14"/>
        <v>100</v>
      </c>
      <c r="X35" s="1355"/>
      <c r="Y35" s="3859"/>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57"/>
      <c r="Q36" s="1352" t="str">
        <f t="shared" si="11"/>
        <v>成新度</v>
      </c>
      <c r="R36" s="705" t="s">
        <v>14</v>
      </c>
      <c r="S36" s="706" t="e">
        <f t="shared" si="12"/>
        <v>#N/A</v>
      </c>
      <c r="T36" s="705" t="s">
        <v>14</v>
      </c>
      <c r="U36" s="706" t="e">
        <f t="shared" si="13"/>
        <v>#N/A</v>
      </c>
      <c r="V36" s="705" t="s">
        <v>14</v>
      </c>
      <c r="W36" s="706" t="e">
        <f t="shared" si="14"/>
        <v>#N/A</v>
      </c>
      <c r="X36" s="1355"/>
      <c r="Y36" s="3859"/>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57"/>
      <c r="Q37" s="1343" t="str">
        <f t="shared" si="11"/>
        <v>市政基础设施</v>
      </c>
      <c r="R37" s="701" t="s">
        <v>14</v>
      </c>
      <c r="S37" s="702">
        <f t="shared" si="12"/>
        <v>100</v>
      </c>
      <c r="T37" s="701" t="s">
        <v>14</v>
      </c>
      <c r="U37" s="702">
        <f t="shared" si="13"/>
        <v>100</v>
      </c>
      <c r="V37" s="701" t="s">
        <v>14</v>
      </c>
      <c r="W37" s="702">
        <f t="shared" si="14"/>
        <v>100</v>
      </c>
      <c r="X37" s="703"/>
      <c r="Y37" s="3859"/>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57" t="s">
        <v>1691</v>
      </c>
      <c r="Q38" s="1352" t="str">
        <f t="shared" si="11"/>
        <v>业态</v>
      </c>
      <c r="R38" s="705" t="s">
        <v>14</v>
      </c>
      <c r="S38" s="706">
        <f t="shared" si="12"/>
        <v>100</v>
      </c>
      <c r="T38" s="705" t="s">
        <v>14</v>
      </c>
      <c r="U38" s="706">
        <f t="shared" si="13"/>
        <v>100</v>
      </c>
      <c r="V38" s="705" t="s">
        <v>14</v>
      </c>
      <c r="W38" s="706">
        <f t="shared" si="14"/>
        <v>100</v>
      </c>
      <c r="X38" s="1355"/>
      <c r="Y38" s="3859"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57"/>
      <c r="Q39" s="1352" t="str">
        <f t="shared" si="11"/>
        <v>层高</v>
      </c>
      <c r="R39" s="705" t="s">
        <v>14</v>
      </c>
      <c r="S39" s="706">
        <f t="shared" si="12"/>
        <v>100</v>
      </c>
      <c r="T39" s="705" t="s">
        <v>14</v>
      </c>
      <c r="U39" s="706">
        <f t="shared" si="13"/>
        <v>100</v>
      </c>
      <c r="V39" s="705" t="s">
        <v>14</v>
      </c>
      <c r="W39" s="706">
        <f t="shared" si="14"/>
        <v>100</v>
      </c>
      <c r="X39" s="1355"/>
      <c r="Y39" s="3859"/>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57"/>
      <c r="Q40" s="1352" t="str">
        <f t="shared" si="11"/>
        <v>单套建筑面积</v>
      </c>
      <c r="R40" s="705" t="s">
        <v>14</v>
      </c>
      <c r="S40" s="706">
        <f t="shared" si="12"/>
        <v>100</v>
      </c>
      <c r="T40" s="705" t="s">
        <v>14</v>
      </c>
      <c r="U40" s="706">
        <f t="shared" si="13"/>
        <v>100</v>
      </c>
      <c r="V40" s="705" t="s">
        <v>14</v>
      </c>
      <c r="W40" s="706">
        <f t="shared" si="14"/>
        <v>100</v>
      </c>
      <c r="X40" s="1355"/>
      <c r="Y40" s="3859"/>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57"/>
      <c r="Q41" s="707" t="str">
        <f t="shared" si="11"/>
        <v>进深比</v>
      </c>
      <c r="R41" s="708" t="s">
        <v>14</v>
      </c>
      <c r="S41" s="709">
        <f t="shared" si="12"/>
        <v>100</v>
      </c>
      <c r="T41" s="708" t="s">
        <v>14</v>
      </c>
      <c r="U41" s="709">
        <f t="shared" si="13"/>
        <v>100</v>
      </c>
      <c r="V41" s="708" t="s">
        <v>14</v>
      </c>
      <c r="W41" s="709">
        <f t="shared" si="14"/>
        <v>100</v>
      </c>
      <c r="X41" s="710"/>
      <c r="Y41" s="3859"/>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57"/>
      <c r="Q42" s="1352" t="str">
        <f t="shared" si="11"/>
        <v>内部装修</v>
      </c>
      <c r="R42" s="705" t="s">
        <v>14</v>
      </c>
      <c r="S42" s="706">
        <f t="shared" si="12"/>
        <v>100</v>
      </c>
      <c r="T42" s="705" t="s">
        <v>14</v>
      </c>
      <c r="U42" s="706">
        <f t="shared" si="13"/>
        <v>100</v>
      </c>
      <c r="V42" s="705" t="s">
        <v>14</v>
      </c>
      <c r="W42" s="706">
        <f t="shared" si="14"/>
        <v>100</v>
      </c>
      <c r="X42" s="1355"/>
      <c r="Y42" s="3859"/>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57"/>
      <c r="Q43" s="1352" t="str">
        <f t="shared" si="11"/>
        <v>内部装修维护情况</v>
      </c>
      <c r="R43" s="705" t="s">
        <v>14</v>
      </c>
      <c r="S43" s="706">
        <f t="shared" si="12"/>
        <v>100</v>
      </c>
      <c r="T43" s="705" t="s">
        <v>14</v>
      </c>
      <c r="U43" s="706">
        <f t="shared" si="13"/>
        <v>100</v>
      </c>
      <c r="V43" s="705" t="s">
        <v>14</v>
      </c>
      <c r="W43" s="706">
        <f t="shared" si="14"/>
        <v>100</v>
      </c>
      <c r="X43" s="1355"/>
      <c r="Y43" s="38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57"/>
      <c r="Q44" s="1343">
        <f t="shared" si="11"/>
        <v>111</v>
      </c>
      <c r="R44" s="701" t="s">
        <v>14</v>
      </c>
      <c r="S44" s="702">
        <f t="shared" si="12"/>
        <v>100</v>
      </c>
      <c r="T44" s="701" t="s">
        <v>14</v>
      </c>
      <c r="U44" s="702">
        <f t="shared" si="13"/>
        <v>100</v>
      </c>
      <c r="V44" s="701" t="s">
        <v>14</v>
      </c>
      <c r="W44" s="702">
        <f t="shared" si="14"/>
        <v>100</v>
      </c>
      <c r="X44" s="703"/>
      <c r="Y44" s="38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57"/>
      <c r="Q45" s="1352">
        <f t="shared" si="11"/>
        <v>111</v>
      </c>
      <c r="R45" s="705" t="s">
        <v>14</v>
      </c>
      <c r="S45" s="706">
        <f t="shared" si="12"/>
        <v>100</v>
      </c>
      <c r="T45" s="705" t="s">
        <v>14</v>
      </c>
      <c r="U45" s="706">
        <f t="shared" si="13"/>
        <v>100</v>
      </c>
      <c r="V45" s="705" t="s">
        <v>14</v>
      </c>
      <c r="W45" s="706">
        <f t="shared" si="14"/>
        <v>100</v>
      </c>
      <c r="X45" s="1355"/>
      <c r="Y45" s="38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58"/>
      <c r="Q46" s="1352">
        <f t="shared" si="11"/>
        <v>111</v>
      </c>
      <c r="R46" s="705" t="s">
        <v>14</v>
      </c>
      <c r="S46" s="706">
        <f t="shared" si="12"/>
        <v>100</v>
      </c>
      <c r="T46" s="705" t="s">
        <v>14</v>
      </c>
      <c r="U46" s="706">
        <f t="shared" si="13"/>
        <v>100</v>
      </c>
      <c r="V46" s="705" t="s">
        <v>14</v>
      </c>
      <c r="W46" s="706">
        <f t="shared" si="14"/>
        <v>100</v>
      </c>
      <c r="X46" s="1355"/>
      <c r="Y46" s="3860"/>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61" t="str">
        <f>A47</f>
        <v>成交单价（元/平方米）</v>
      </c>
      <c r="Q47" s="3861"/>
      <c r="R47" s="3847">
        <f>E47</f>
        <v>0</v>
      </c>
      <c r="S47" s="3847"/>
      <c r="T47" s="3847">
        <f>G47</f>
        <v>0</v>
      </c>
      <c r="U47" s="3847"/>
      <c r="V47" s="3847">
        <f>I47</f>
        <v>0</v>
      </c>
      <c r="W47" s="3847"/>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61" t="str">
        <f>A48</f>
        <v>比较价值（元/平方米）</v>
      </c>
      <c r="Q48" s="3861"/>
      <c r="R48" s="3862" t="e">
        <f>IF(F1="售价",ROUND(PRODUCT(R47,AA7:AA46),0),ROUND(PRODUCT(R47,AA7:AA46),1))</f>
        <v>#DIV/0!</v>
      </c>
      <c r="S48" s="3862"/>
      <c r="T48" s="3862" t="e">
        <f>IF(F1="售价",ROUND(PRODUCT(T47,AB7:AB46),0),ROUND(PRODUCT(T47,AB7:AB46),1))</f>
        <v>#DIV/0!</v>
      </c>
      <c r="U48" s="3862"/>
      <c r="V48" s="3862" t="e">
        <f>IF(F1="售价",ROUND(PRODUCT(V47,AC7:AC46),0),ROUND(PRODUCT(V47,AC7:AC46),1))</f>
        <v>#DIV/0!</v>
      </c>
      <c r="W48" s="3862"/>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59.2</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73" t="s">
        <v>1767</v>
      </c>
      <c r="Q4" s="3874"/>
      <c r="R4" s="3868" t="s">
        <v>1763</v>
      </c>
      <c r="S4" s="3869"/>
      <c r="T4" s="3868" t="s">
        <v>1764</v>
      </c>
      <c r="U4" s="3869"/>
      <c r="V4" s="3877" t="s">
        <v>1765</v>
      </c>
      <c r="W4" s="3877"/>
      <c r="X4" s="1956"/>
      <c r="Y4" s="3868" t="s">
        <v>1767</v>
      </c>
      <c r="Z4" s="3869"/>
      <c r="AA4" s="3867" t="s">
        <v>1763</v>
      </c>
      <c r="AB4" s="3867" t="s">
        <v>1764</v>
      </c>
      <c r="AC4" s="3870" t="s">
        <v>1765</v>
      </c>
    </row>
    <row r="5" spans="1:29" ht="15">
      <c r="A5" s="358"/>
      <c r="B5" s="359"/>
      <c r="C5" s="3840" t="s">
        <v>1668</v>
      </c>
      <c r="D5" s="3837"/>
      <c r="E5" s="3838" t="s">
        <v>1669</v>
      </c>
      <c r="F5" s="3839"/>
      <c r="G5" s="3840" t="s">
        <v>1670</v>
      </c>
      <c r="H5" s="3837"/>
      <c r="I5" s="3840" t="s">
        <v>1671</v>
      </c>
      <c r="J5" s="3837"/>
      <c r="K5" s="559"/>
      <c r="L5" s="2712"/>
      <c r="M5" s="2713"/>
      <c r="N5" s="2713"/>
      <c r="O5" s="2713"/>
      <c r="P5" s="3875"/>
      <c r="Q5" s="3829"/>
      <c r="R5" s="3834"/>
      <c r="S5" s="3835"/>
      <c r="T5" s="3834"/>
      <c r="U5" s="3835"/>
      <c r="V5" s="3847"/>
      <c r="W5" s="3847"/>
      <c r="X5" s="1355"/>
      <c r="Y5" s="3834"/>
      <c r="Z5" s="3835"/>
      <c r="AA5" s="3820"/>
      <c r="AB5" s="3820"/>
      <c r="AC5" s="3871"/>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76"/>
      <c r="Q6" s="3831"/>
      <c r="R6" s="3834"/>
      <c r="S6" s="3835"/>
      <c r="T6" s="3845"/>
      <c r="U6" s="3846"/>
      <c r="V6" s="3847"/>
      <c r="W6" s="3847"/>
      <c r="X6" s="1355"/>
      <c r="Y6" s="3845"/>
      <c r="Z6" s="3846"/>
      <c r="AA6" s="3821"/>
      <c r="AB6" s="3821"/>
      <c r="AC6" s="3872"/>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8" t="s">
        <v>1678</v>
      </c>
      <c r="Q8" s="3850"/>
      <c r="R8" s="701" t="s">
        <v>14</v>
      </c>
      <c r="S8" s="702">
        <f t="shared" si="0"/>
        <v>100</v>
      </c>
      <c r="T8" s="701" t="s">
        <v>14</v>
      </c>
      <c r="U8" s="702">
        <f t="shared" si="1"/>
        <v>100</v>
      </c>
      <c r="V8" s="701" t="s">
        <v>14</v>
      </c>
      <c r="W8" s="702">
        <f t="shared" si="2"/>
        <v>100</v>
      </c>
      <c r="X8" s="703"/>
      <c r="Y8" s="3848" t="s">
        <v>1678</v>
      </c>
      <c r="Z8" s="3850"/>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5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5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51"/>
      <c r="Q11" s="1343" t="str">
        <f t="shared" si="6"/>
        <v>容积率</v>
      </c>
      <c r="R11" s="701" t="s">
        <v>14</v>
      </c>
      <c r="S11" s="702">
        <f t="shared" si="0"/>
        <v>100</v>
      </c>
      <c r="T11" s="701" t="s">
        <v>14</v>
      </c>
      <c r="U11" s="702">
        <f t="shared" si="1"/>
        <v>100</v>
      </c>
      <c r="V11" s="701" t="s">
        <v>14</v>
      </c>
      <c r="W11" s="702">
        <f t="shared" si="2"/>
        <v>100</v>
      </c>
      <c r="X11" s="703"/>
      <c r="Y11" s="3719"/>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5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5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5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52" t="s">
        <v>1686</v>
      </c>
      <c r="Q15" s="1352" t="str">
        <f t="shared" si="6"/>
        <v>办公集聚程度</v>
      </c>
      <c r="R15" s="705" t="s">
        <v>14</v>
      </c>
      <c r="S15" s="706">
        <f t="shared" si="0"/>
        <v>100</v>
      </c>
      <c r="T15" s="705" t="s">
        <v>14</v>
      </c>
      <c r="U15" s="706">
        <f t="shared" si="1"/>
        <v>100</v>
      </c>
      <c r="V15" s="705" t="s">
        <v>14</v>
      </c>
      <c r="W15" s="706">
        <f t="shared" si="2"/>
        <v>100</v>
      </c>
      <c r="X15" s="1355"/>
      <c r="Y15" s="385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53"/>
      <c r="Q16" s="1352"/>
      <c r="R16" s="705"/>
      <c r="S16" s="706"/>
      <c r="T16" s="705"/>
      <c r="U16" s="706"/>
      <c r="V16" s="705"/>
      <c r="W16" s="706"/>
      <c r="X16" s="1355"/>
      <c r="Y16" s="385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53"/>
      <c r="Q18" s="1352"/>
      <c r="R18" s="705"/>
      <c r="S18" s="706"/>
      <c r="T18" s="705"/>
      <c r="U18" s="706"/>
      <c r="V18" s="705"/>
      <c r="W18" s="706"/>
      <c r="X18" s="1355"/>
      <c r="Y18" s="385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53"/>
      <c r="Q20" s="1352"/>
      <c r="R20" s="705"/>
      <c r="S20" s="706"/>
      <c r="T20" s="705"/>
      <c r="U20" s="706"/>
      <c r="V20" s="705"/>
      <c r="W20" s="706"/>
      <c r="X20" s="1355"/>
      <c r="Y20" s="385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53"/>
      <c r="Q22" s="1352"/>
      <c r="R22" s="705"/>
      <c r="S22" s="706"/>
      <c r="T22" s="705"/>
      <c r="U22" s="706"/>
      <c r="V22" s="705"/>
      <c r="W22" s="706"/>
      <c r="X22" s="1355"/>
      <c r="Y22" s="385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53"/>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53"/>
      <c r="Q24" s="1352"/>
      <c r="R24" s="705"/>
      <c r="S24" s="706"/>
      <c r="T24" s="705"/>
      <c r="U24" s="706"/>
      <c r="V24" s="705"/>
      <c r="W24" s="706"/>
      <c r="X24" s="1355"/>
      <c r="Y24" s="385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53"/>
      <c r="Q25" s="1352" t="str">
        <f>B25</f>
        <v>毗邻道路的类型与等级</v>
      </c>
      <c r="R25" s="705" t="s">
        <v>14</v>
      </c>
      <c r="S25" s="706">
        <f>F25</f>
        <v>100</v>
      </c>
      <c r="T25" s="705" t="s">
        <v>14</v>
      </c>
      <c r="U25" s="706">
        <f>H25</f>
        <v>100</v>
      </c>
      <c r="V25" s="705" t="s">
        <v>14</v>
      </c>
      <c r="W25" s="706">
        <f>J25</f>
        <v>100</v>
      </c>
      <c r="X25" s="1355"/>
      <c r="Y25" s="385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53"/>
      <c r="Q26" s="1352"/>
      <c r="R26" s="705"/>
      <c r="S26" s="706"/>
      <c r="T26" s="705"/>
      <c r="U26" s="706"/>
      <c r="V26" s="705"/>
      <c r="W26" s="706"/>
      <c r="X26" s="1355"/>
      <c r="Y26" s="385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53"/>
      <c r="Q27" s="1352" t="str">
        <f t="shared" ref="Q27:Q47" si="11">B27</f>
        <v>楼层</v>
      </c>
      <c r="R27" s="705" t="s">
        <v>14</v>
      </c>
      <c r="S27" s="706">
        <f>F27</f>
        <v>100</v>
      </c>
      <c r="T27" s="705" t="s">
        <v>14</v>
      </c>
      <c r="U27" s="706">
        <f>H27</f>
        <v>100</v>
      </c>
      <c r="V27" s="705" t="s">
        <v>14</v>
      </c>
      <c r="W27" s="706">
        <f>J27</f>
        <v>100</v>
      </c>
      <c r="X27" s="1355"/>
      <c r="Y27" s="385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53"/>
      <c r="Q28" s="1343" t="str">
        <f t="shared" si="11"/>
        <v>朝向</v>
      </c>
      <c r="R28" s="701" t="s">
        <v>14</v>
      </c>
      <c r="S28" s="702">
        <f>F28</f>
        <v>100</v>
      </c>
      <c r="T28" s="701" t="s">
        <v>14</v>
      </c>
      <c r="U28" s="702">
        <f>H28</f>
        <v>100</v>
      </c>
      <c r="V28" s="701" t="s">
        <v>14</v>
      </c>
      <c r="W28" s="702">
        <f>J28</f>
        <v>100</v>
      </c>
      <c r="X28" s="703"/>
      <c r="Y28" s="385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53"/>
      <c r="Q29" s="1352">
        <f t="shared" si="11"/>
        <v>111</v>
      </c>
      <c r="R29" s="705" t="s">
        <v>14</v>
      </c>
      <c r="S29" s="706">
        <f t="shared" ref="S29:S47" si="12">F29</f>
        <v>100</v>
      </c>
      <c r="T29" s="705" t="s">
        <v>14</v>
      </c>
      <c r="U29" s="706">
        <f t="shared" ref="U29:U47" si="13">H29</f>
        <v>100</v>
      </c>
      <c r="V29" s="705" t="s">
        <v>14</v>
      </c>
      <c r="W29" s="706">
        <f t="shared" ref="W29:W47" si="14">J29</f>
        <v>100</v>
      </c>
      <c r="X29" s="1355"/>
      <c r="Y29" s="385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53"/>
      <c r="Q32" s="1352">
        <f t="shared" si="11"/>
        <v>111</v>
      </c>
      <c r="R32" s="705" t="s">
        <v>14</v>
      </c>
      <c r="S32" s="706">
        <f t="shared" si="12"/>
        <v>100</v>
      </c>
      <c r="T32" s="705" t="s">
        <v>14</v>
      </c>
      <c r="U32" s="706">
        <f t="shared" si="13"/>
        <v>100</v>
      </c>
      <c r="V32" s="705" t="s">
        <v>14</v>
      </c>
      <c r="W32" s="706">
        <f t="shared" si="14"/>
        <v>100</v>
      </c>
      <c r="X32" s="1355"/>
      <c r="Y32" s="385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56" t="s">
        <v>1691</v>
      </c>
      <c r="Q33" s="1352" t="str">
        <f t="shared" si="11"/>
        <v>建筑类型</v>
      </c>
      <c r="R33" s="705" t="s">
        <v>14</v>
      </c>
      <c r="S33" s="706">
        <f t="shared" si="12"/>
        <v>100</v>
      </c>
      <c r="T33" s="705" t="s">
        <v>14</v>
      </c>
      <c r="U33" s="706">
        <f t="shared" si="13"/>
        <v>100</v>
      </c>
      <c r="V33" s="705" t="s">
        <v>14</v>
      </c>
      <c r="W33" s="706">
        <f t="shared" si="14"/>
        <v>100</v>
      </c>
      <c r="X33" s="1355"/>
      <c r="Y33" s="385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57"/>
      <c r="Q34" s="707" t="str">
        <f t="shared" si="11"/>
        <v>项目建筑规模</v>
      </c>
      <c r="R34" s="708" t="s">
        <v>14</v>
      </c>
      <c r="S34" s="709" t="e">
        <f t="shared" si="12"/>
        <v>#N/A</v>
      </c>
      <c r="T34" s="708" t="s">
        <v>14</v>
      </c>
      <c r="U34" s="709" t="e">
        <f t="shared" si="13"/>
        <v>#N/A</v>
      </c>
      <c r="V34" s="708" t="s">
        <v>14</v>
      </c>
      <c r="W34" s="709" t="e">
        <f t="shared" si="14"/>
        <v>#N/A</v>
      </c>
      <c r="X34" s="710"/>
      <c r="Y34" s="385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57"/>
      <c r="Q35" s="1352" t="str">
        <f t="shared" si="11"/>
        <v>建筑结构</v>
      </c>
      <c r="R35" s="705" t="s">
        <v>14</v>
      </c>
      <c r="S35" s="706">
        <f t="shared" si="12"/>
        <v>100</v>
      </c>
      <c r="T35" s="705" t="s">
        <v>14</v>
      </c>
      <c r="U35" s="706">
        <f t="shared" si="13"/>
        <v>100</v>
      </c>
      <c r="V35" s="705" t="s">
        <v>14</v>
      </c>
      <c r="W35" s="706">
        <f t="shared" si="14"/>
        <v>100</v>
      </c>
      <c r="X35" s="1355"/>
      <c r="Y35" s="385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57"/>
      <c r="Q36" s="1352" t="str">
        <f t="shared" si="11"/>
        <v>公共部分装修</v>
      </c>
      <c r="R36" s="705" t="s">
        <v>14</v>
      </c>
      <c r="S36" s="706">
        <f t="shared" si="12"/>
        <v>100</v>
      </c>
      <c r="T36" s="705" t="s">
        <v>14</v>
      </c>
      <c r="U36" s="706">
        <f t="shared" si="13"/>
        <v>100</v>
      </c>
      <c r="V36" s="705" t="s">
        <v>14</v>
      </c>
      <c r="W36" s="706">
        <f t="shared" si="14"/>
        <v>100</v>
      </c>
      <c r="X36" s="1355"/>
      <c r="Y36" s="385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57"/>
      <c r="Q37" s="1352" t="str">
        <f t="shared" si="11"/>
        <v>成新度</v>
      </c>
      <c r="R37" s="705" t="s">
        <v>14</v>
      </c>
      <c r="S37" s="706" t="e">
        <f t="shared" si="12"/>
        <v>#N/A</v>
      </c>
      <c r="T37" s="705" t="s">
        <v>14</v>
      </c>
      <c r="U37" s="706" t="e">
        <f t="shared" si="13"/>
        <v>#N/A</v>
      </c>
      <c r="V37" s="705" t="s">
        <v>14</v>
      </c>
      <c r="W37" s="706" t="e">
        <f t="shared" si="14"/>
        <v>#N/A</v>
      </c>
      <c r="X37" s="1355"/>
      <c r="Y37" s="385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57"/>
      <c r="Q38" s="1343" t="str">
        <f t="shared" si="11"/>
        <v>写字楼等级</v>
      </c>
      <c r="R38" s="701" t="s">
        <v>14</v>
      </c>
      <c r="S38" s="702">
        <f t="shared" si="12"/>
        <v>100</v>
      </c>
      <c r="T38" s="701" t="s">
        <v>14</v>
      </c>
      <c r="U38" s="702">
        <f t="shared" si="13"/>
        <v>100</v>
      </c>
      <c r="V38" s="701" t="s">
        <v>14</v>
      </c>
      <c r="W38" s="702">
        <f t="shared" si="14"/>
        <v>100</v>
      </c>
      <c r="X38" s="703"/>
      <c r="Y38" s="385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57" t="s">
        <v>1691</v>
      </c>
      <c r="Q39" s="1352" t="str">
        <f t="shared" si="11"/>
        <v>物业管理</v>
      </c>
      <c r="R39" s="705" t="s">
        <v>14</v>
      </c>
      <c r="S39" s="706">
        <f t="shared" si="12"/>
        <v>100</v>
      </c>
      <c r="T39" s="705" t="s">
        <v>14</v>
      </c>
      <c r="U39" s="706">
        <f t="shared" si="13"/>
        <v>100</v>
      </c>
      <c r="V39" s="705" t="s">
        <v>14</v>
      </c>
      <c r="W39" s="706">
        <f t="shared" si="14"/>
        <v>100</v>
      </c>
      <c r="X39" s="1355"/>
      <c r="Y39" s="385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57"/>
      <c r="Q40" s="1352" t="str">
        <f t="shared" si="11"/>
        <v>市政基础设施</v>
      </c>
      <c r="R40" s="705" t="s">
        <v>14</v>
      </c>
      <c r="S40" s="706">
        <f t="shared" si="12"/>
        <v>100</v>
      </c>
      <c r="T40" s="705" t="s">
        <v>14</v>
      </c>
      <c r="U40" s="706">
        <f t="shared" si="13"/>
        <v>100</v>
      </c>
      <c r="V40" s="705" t="s">
        <v>14</v>
      </c>
      <c r="W40" s="706">
        <f t="shared" si="14"/>
        <v>100</v>
      </c>
      <c r="X40" s="1355"/>
      <c r="Y40" s="385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57"/>
      <c r="Q41" s="1352" t="str">
        <f t="shared" si="11"/>
        <v>层高</v>
      </c>
      <c r="R41" s="705" t="s">
        <v>14</v>
      </c>
      <c r="S41" s="706">
        <f t="shared" si="12"/>
        <v>100</v>
      </c>
      <c r="T41" s="705" t="s">
        <v>14</v>
      </c>
      <c r="U41" s="706">
        <f t="shared" si="13"/>
        <v>100</v>
      </c>
      <c r="V41" s="705" t="s">
        <v>14</v>
      </c>
      <c r="W41" s="706">
        <f t="shared" si="14"/>
        <v>100</v>
      </c>
      <c r="X41" s="1355"/>
      <c r="Y41" s="385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57"/>
      <c r="Q42" s="707" t="str">
        <f t="shared" si="11"/>
        <v>单套建筑面积</v>
      </c>
      <c r="R42" s="708" t="s">
        <v>14</v>
      </c>
      <c r="S42" s="709">
        <f t="shared" si="12"/>
        <v>100</v>
      </c>
      <c r="T42" s="708" t="s">
        <v>14</v>
      </c>
      <c r="U42" s="709">
        <f t="shared" si="13"/>
        <v>100</v>
      </c>
      <c r="V42" s="708" t="s">
        <v>14</v>
      </c>
      <c r="W42" s="709">
        <f t="shared" si="14"/>
        <v>100</v>
      </c>
      <c r="X42" s="710"/>
      <c r="Y42" s="385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57"/>
      <c r="Q43" s="1352" t="str">
        <f t="shared" si="11"/>
        <v>内部装修</v>
      </c>
      <c r="R43" s="705" t="s">
        <v>14</v>
      </c>
      <c r="S43" s="706">
        <f t="shared" si="12"/>
        <v>100</v>
      </c>
      <c r="T43" s="705" t="s">
        <v>14</v>
      </c>
      <c r="U43" s="706">
        <f t="shared" si="13"/>
        <v>100</v>
      </c>
      <c r="V43" s="705" t="s">
        <v>14</v>
      </c>
      <c r="W43" s="706">
        <f t="shared" si="14"/>
        <v>100</v>
      </c>
      <c r="X43" s="1355"/>
      <c r="Y43" s="385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57"/>
      <c r="Q44" s="1352" t="str">
        <f t="shared" si="11"/>
        <v>内部装修维护情况</v>
      </c>
      <c r="R44" s="705" t="s">
        <v>14</v>
      </c>
      <c r="S44" s="706">
        <f t="shared" si="12"/>
        <v>100</v>
      </c>
      <c r="T44" s="705" t="s">
        <v>14</v>
      </c>
      <c r="U44" s="706">
        <f t="shared" si="13"/>
        <v>100</v>
      </c>
      <c r="V44" s="705" t="s">
        <v>14</v>
      </c>
      <c r="W44" s="706">
        <f t="shared" si="14"/>
        <v>100</v>
      </c>
      <c r="X44" s="1355"/>
      <c r="Y44" s="385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57"/>
      <c r="Q45" s="1343">
        <f t="shared" si="11"/>
        <v>111</v>
      </c>
      <c r="R45" s="701" t="s">
        <v>14</v>
      </c>
      <c r="S45" s="702">
        <f t="shared" si="12"/>
        <v>100</v>
      </c>
      <c r="T45" s="701" t="s">
        <v>14</v>
      </c>
      <c r="U45" s="702">
        <f t="shared" si="13"/>
        <v>100</v>
      </c>
      <c r="V45" s="701" t="s">
        <v>14</v>
      </c>
      <c r="W45" s="702">
        <f t="shared" si="14"/>
        <v>100</v>
      </c>
      <c r="X45" s="703"/>
      <c r="Y45" s="385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58"/>
      <c r="Q47" s="1352">
        <f t="shared" si="11"/>
        <v>111</v>
      </c>
      <c r="R47" s="705" t="s">
        <v>14</v>
      </c>
      <c r="S47" s="706">
        <f t="shared" si="12"/>
        <v>100</v>
      </c>
      <c r="T47" s="705" t="s">
        <v>14</v>
      </c>
      <c r="U47" s="706">
        <f t="shared" si="13"/>
        <v>100</v>
      </c>
      <c r="V47" s="705" t="s">
        <v>14</v>
      </c>
      <c r="W47" s="706">
        <f t="shared" si="14"/>
        <v>100</v>
      </c>
      <c r="X47" s="1355"/>
      <c r="Y47" s="386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51" t="str">
        <f>A48</f>
        <v>成交单价（元/平方米）</v>
      </c>
      <c r="Q48" s="3861"/>
      <c r="R48" s="3862">
        <f>E48</f>
        <v>0</v>
      </c>
      <c r="S48" s="3862"/>
      <c r="T48" s="3862">
        <f>G48</f>
        <v>0</v>
      </c>
      <c r="U48" s="3862"/>
      <c r="V48" s="3862">
        <f>I48</f>
        <v>0</v>
      </c>
      <c r="W48" s="3862"/>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51" t="str">
        <f>A49</f>
        <v>比较价值（元/平方米）</v>
      </c>
      <c r="Q49" s="3861"/>
      <c r="R49" s="3862" t="e">
        <f>IF(F1="售价",ROUND(PRODUCT(R48,AA7:AA47),0),ROUND(PRODUCT(R48,AA7:AA47),1))</f>
        <v>#DIV/0!</v>
      </c>
      <c r="S49" s="3862"/>
      <c r="T49" s="3862" t="e">
        <f>IF(F1="售价",ROUND(PRODUCT(T48,AB7:AB47),0),ROUND(PRODUCT(T48,AB7:AB47),1))</f>
        <v>#DIV/0!</v>
      </c>
      <c r="U49" s="3862"/>
      <c r="V49" s="3862" t="e">
        <f>IF(F1="售价",ROUND(PRODUCT(V48,AC7:AC47),0),ROUND(PRODUCT(V48,AC7:AC47),1))</f>
        <v>#DIV/0!</v>
      </c>
      <c r="W49" s="3862"/>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9" t="str">
        <f>A50</f>
        <v>估价对象XX用房的比较价值（楼面单价，元/平方米）</v>
      </c>
      <c r="Q50" s="3880"/>
      <c r="R50" s="3881" t="e">
        <f>IF(F1="售价",ROUND(IF(D49="简单平均",AVERAGE(R49:V49),R49*F49+T49*H49+V49*J49),0),ROUND(IF(D49="简单平均",AVERAGE(R49:V49),R49*F49+T49*H49+V49*J49),1))</f>
        <v>#DIV/0!</v>
      </c>
      <c r="S50" s="3881"/>
      <c r="T50" s="3881"/>
      <c r="U50" s="3881"/>
      <c r="V50" s="3881"/>
      <c r="W50" s="388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913"/>
      <c r="M4" s="914"/>
      <c r="N4" s="914"/>
      <c r="O4" s="914"/>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913"/>
      <c r="M5" s="914"/>
      <c r="N5" s="914"/>
      <c r="O5" s="914"/>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913"/>
      <c r="M6" s="914"/>
      <c r="N6" s="914"/>
      <c r="O6" s="914"/>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8" t="s">
        <v>1678</v>
      </c>
      <c r="Q8" s="3850"/>
      <c r="R8" s="701" t="s">
        <v>14</v>
      </c>
      <c r="S8" s="702">
        <f t="shared" si="0"/>
        <v>100</v>
      </c>
      <c r="T8" s="701" t="s">
        <v>14</v>
      </c>
      <c r="U8" s="702">
        <f t="shared" si="1"/>
        <v>100</v>
      </c>
      <c r="V8" s="701" t="s">
        <v>14</v>
      </c>
      <c r="W8" s="702">
        <f t="shared" si="2"/>
        <v>100</v>
      </c>
      <c r="X8" s="703"/>
      <c r="Y8" s="3848" t="s">
        <v>1678</v>
      </c>
      <c r="Z8" s="385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6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1"/>
      <c r="Q11" s="1343" t="str">
        <f t="shared" si="6"/>
        <v>容积率</v>
      </c>
      <c r="R11" s="701" t="s">
        <v>14</v>
      </c>
      <c r="S11" s="702">
        <f t="shared" si="0"/>
        <v>100</v>
      </c>
      <c r="T11" s="701" t="s">
        <v>14</v>
      </c>
      <c r="U11" s="702">
        <f t="shared" si="1"/>
        <v>100</v>
      </c>
      <c r="V11" s="701" t="s">
        <v>14</v>
      </c>
      <c r="W11" s="702">
        <f t="shared" si="2"/>
        <v>100</v>
      </c>
      <c r="X11" s="703"/>
      <c r="Y11" s="37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6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5"/>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5"/>
      <c r="Q18" s="1352"/>
      <c r="R18" s="705"/>
      <c r="S18" s="706"/>
      <c r="T18" s="705"/>
      <c r="U18" s="706"/>
      <c r="V18" s="705"/>
      <c r="W18" s="706"/>
      <c r="X18" s="1355"/>
      <c r="Y18" s="385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5"/>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5"/>
      <c r="Q20" s="1352"/>
      <c r="R20" s="705"/>
      <c r="S20" s="706"/>
      <c r="T20" s="705"/>
      <c r="U20" s="706"/>
      <c r="V20" s="705"/>
      <c r="W20" s="706"/>
      <c r="X20" s="1355"/>
      <c r="Y20" s="385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5"/>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5"/>
      <c r="Q22" s="1352"/>
      <c r="R22" s="705"/>
      <c r="S22" s="706"/>
      <c r="T22" s="705"/>
      <c r="U22" s="706"/>
      <c r="V22" s="705"/>
      <c r="W22" s="706"/>
      <c r="X22" s="1355"/>
      <c r="Y22" s="385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5"/>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5"/>
      <c r="Q24" s="1352"/>
      <c r="R24" s="705"/>
      <c r="S24" s="706"/>
      <c r="T24" s="705"/>
      <c r="U24" s="706"/>
      <c r="V24" s="705"/>
      <c r="W24" s="706"/>
      <c r="X24" s="1355"/>
      <c r="Y24" s="38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5"/>
      <c r="Q25" s="1352">
        <f>B25</f>
        <v>111</v>
      </c>
      <c r="R25" s="705" t="s">
        <v>14</v>
      </c>
      <c r="S25" s="706">
        <f>F25</f>
        <v>100</v>
      </c>
      <c r="T25" s="705" t="s">
        <v>14</v>
      </c>
      <c r="U25" s="706">
        <f>H25</f>
        <v>100</v>
      </c>
      <c r="V25" s="705" t="s">
        <v>14</v>
      </c>
      <c r="W25" s="706">
        <f>J25</f>
        <v>100</v>
      </c>
      <c r="X25" s="1355"/>
      <c r="Y25" s="38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5"/>
      <c r="Q26" s="1352">
        <f t="shared" ref="Q26:Q40" si="11">B26</f>
        <v>111</v>
      </c>
      <c r="R26" s="705" t="s">
        <v>14</v>
      </c>
      <c r="S26" s="706">
        <f>F26</f>
        <v>100</v>
      </c>
      <c r="T26" s="705" t="s">
        <v>14</v>
      </c>
      <c r="U26" s="706">
        <f>H26</f>
        <v>100</v>
      </c>
      <c r="V26" s="705" t="s">
        <v>14</v>
      </c>
      <c r="W26" s="706">
        <f>J26</f>
        <v>100</v>
      </c>
      <c r="X26" s="1355"/>
      <c r="Y26" s="38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5"/>
      <c r="Q27" s="1343">
        <f t="shared" si="11"/>
        <v>111</v>
      </c>
      <c r="R27" s="701" t="s">
        <v>14</v>
      </c>
      <c r="S27" s="702">
        <f>F27</f>
        <v>100</v>
      </c>
      <c r="T27" s="701" t="s">
        <v>14</v>
      </c>
      <c r="U27" s="702">
        <f>H27</f>
        <v>100</v>
      </c>
      <c r="V27" s="701" t="s">
        <v>14</v>
      </c>
      <c r="W27" s="702">
        <f>J27</f>
        <v>100</v>
      </c>
      <c r="X27" s="703"/>
      <c r="Y27" s="38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5"/>
      <c r="Q28" s="1352">
        <f t="shared" si="11"/>
        <v>111</v>
      </c>
      <c r="R28" s="705" t="s">
        <v>14</v>
      </c>
      <c r="S28" s="706">
        <f t="shared" ref="S28:S40" si="12">F28</f>
        <v>100</v>
      </c>
      <c r="T28" s="705" t="s">
        <v>14</v>
      </c>
      <c r="U28" s="706">
        <f t="shared" ref="U28:U40" si="13">H28</f>
        <v>100</v>
      </c>
      <c r="V28" s="705" t="s">
        <v>14</v>
      </c>
      <c r="W28" s="706">
        <f t="shared" ref="W28:W40" si="14">J28</f>
        <v>100</v>
      </c>
      <c r="X28" s="1355"/>
      <c r="Y28" s="385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2" t="s">
        <v>1691</v>
      </c>
      <c r="Q29" s="1352" t="str">
        <f t="shared" si="11"/>
        <v>建筑类型</v>
      </c>
      <c r="R29" s="705" t="s">
        <v>14</v>
      </c>
      <c r="S29" s="706">
        <f t="shared" si="12"/>
        <v>100</v>
      </c>
      <c r="T29" s="705" t="s">
        <v>14</v>
      </c>
      <c r="U29" s="706">
        <f t="shared" si="13"/>
        <v>100</v>
      </c>
      <c r="V29" s="705" t="s">
        <v>14</v>
      </c>
      <c r="W29" s="706">
        <f t="shared" si="14"/>
        <v>100</v>
      </c>
      <c r="X29" s="1355"/>
      <c r="Y29" s="385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9"/>
      <c r="Q30" s="707" t="str">
        <f t="shared" si="11"/>
        <v>项目建筑规模</v>
      </c>
      <c r="R30" s="708" t="s">
        <v>14</v>
      </c>
      <c r="S30" s="709" t="e">
        <f t="shared" si="12"/>
        <v>#N/A</v>
      </c>
      <c r="T30" s="708" t="s">
        <v>14</v>
      </c>
      <c r="U30" s="709" t="e">
        <f t="shared" si="13"/>
        <v>#N/A</v>
      </c>
      <c r="V30" s="708" t="s">
        <v>14</v>
      </c>
      <c r="W30" s="709" t="e">
        <f t="shared" si="14"/>
        <v>#N/A</v>
      </c>
      <c r="X30" s="710"/>
      <c r="Y30" s="385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9"/>
      <c r="Q31" s="1352" t="str">
        <f t="shared" si="11"/>
        <v>建筑结构</v>
      </c>
      <c r="R31" s="705" t="s">
        <v>14</v>
      </c>
      <c r="S31" s="706">
        <f t="shared" si="12"/>
        <v>100</v>
      </c>
      <c r="T31" s="705" t="s">
        <v>14</v>
      </c>
      <c r="U31" s="706">
        <f t="shared" si="13"/>
        <v>100</v>
      </c>
      <c r="V31" s="705" t="s">
        <v>14</v>
      </c>
      <c r="W31" s="706">
        <f t="shared" si="14"/>
        <v>100</v>
      </c>
      <c r="X31" s="1355"/>
      <c r="Y31" s="385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9"/>
      <c r="Q32" s="1352" t="str">
        <f t="shared" si="11"/>
        <v>公共部分装修</v>
      </c>
      <c r="R32" s="705" t="s">
        <v>14</v>
      </c>
      <c r="S32" s="706">
        <f t="shared" si="12"/>
        <v>100</v>
      </c>
      <c r="T32" s="705" t="s">
        <v>14</v>
      </c>
      <c r="U32" s="706">
        <f t="shared" si="13"/>
        <v>100</v>
      </c>
      <c r="V32" s="705" t="s">
        <v>14</v>
      </c>
      <c r="W32" s="706">
        <f t="shared" si="14"/>
        <v>100</v>
      </c>
      <c r="X32" s="1355"/>
      <c r="Y32" s="385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9"/>
      <c r="Q33" s="1352" t="str">
        <f t="shared" si="11"/>
        <v>成新度</v>
      </c>
      <c r="R33" s="705" t="s">
        <v>14</v>
      </c>
      <c r="S33" s="706" t="e">
        <f t="shared" si="12"/>
        <v>#N/A</v>
      </c>
      <c r="T33" s="705" t="s">
        <v>14</v>
      </c>
      <c r="U33" s="706" t="e">
        <f t="shared" si="13"/>
        <v>#N/A</v>
      </c>
      <c r="V33" s="705" t="s">
        <v>14</v>
      </c>
      <c r="W33" s="706" t="e">
        <f t="shared" si="14"/>
        <v>#N/A</v>
      </c>
      <c r="X33" s="1355"/>
      <c r="Y33" s="385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9"/>
      <c r="Q34" s="1343" t="str">
        <f t="shared" si="11"/>
        <v>物业管理</v>
      </c>
      <c r="R34" s="701" t="s">
        <v>14</v>
      </c>
      <c r="S34" s="702">
        <f t="shared" si="12"/>
        <v>100</v>
      </c>
      <c r="T34" s="701" t="s">
        <v>14</v>
      </c>
      <c r="U34" s="702">
        <f t="shared" si="13"/>
        <v>100</v>
      </c>
      <c r="V34" s="701" t="s">
        <v>14</v>
      </c>
      <c r="W34" s="702">
        <f t="shared" si="14"/>
        <v>100</v>
      </c>
      <c r="X34" s="703"/>
      <c r="Y34" s="385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9" t="s">
        <v>1691</v>
      </c>
      <c r="Q35" s="1352" t="str">
        <f t="shared" si="11"/>
        <v>市政基础设施</v>
      </c>
      <c r="R35" s="705" t="s">
        <v>14</v>
      </c>
      <c r="S35" s="706">
        <f t="shared" si="12"/>
        <v>100</v>
      </c>
      <c r="T35" s="705" t="s">
        <v>14</v>
      </c>
      <c r="U35" s="706">
        <f t="shared" si="13"/>
        <v>100</v>
      </c>
      <c r="V35" s="705" t="s">
        <v>14</v>
      </c>
      <c r="W35" s="706">
        <f t="shared" si="14"/>
        <v>100</v>
      </c>
      <c r="X35" s="1355"/>
      <c r="Y35" s="385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9"/>
      <c r="Q36" s="1352" t="str">
        <f t="shared" si="11"/>
        <v>内部装修</v>
      </c>
      <c r="R36" s="705" t="s">
        <v>14</v>
      </c>
      <c r="S36" s="706">
        <f t="shared" si="12"/>
        <v>100</v>
      </c>
      <c r="T36" s="705" t="s">
        <v>14</v>
      </c>
      <c r="U36" s="706">
        <f t="shared" si="13"/>
        <v>100</v>
      </c>
      <c r="V36" s="705" t="s">
        <v>14</v>
      </c>
      <c r="W36" s="706">
        <f t="shared" si="14"/>
        <v>100</v>
      </c>
      <c r="X36" s="1355"/>
      <c r="Y36" s="385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9"/>
      <c r="Q37" s="1352" t="str">
        <f t="shared" si="11"/>
        <v>内部装修状况</v>
      </c>
      <c r="R37" s="705" t="s">
        <v>14</v>
      </c>
      <c r="S37" s="706">
        <f t="shared" si="12"/>
        <v>100</v>
      </c>
      <c r="T37" s="705" t="s">
        <v>14</v>
      </c>
      <c r="U37" s="706">
        <f t="shared" si="13"/>
        <v>100</v>
      </c>
      <c r="V37" s="705" t="s">
        <v>14</v>
      </c>
      <c r="W37" s="706">
        <f t="shared" si="14"/>
        <v>100</v>
      </c>
      <c r="X37" s="1355"/>
      <c r="Y37" s="38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9"/>
      <c r="Q38" s="707">
        <f t="shared" si="11"/>
        <v>111</v>
      </c>
      <c r="R38" s="708" t="s">
        <v>14</v>
      </c>
      <c r="S38" s="709">
        <f t="shared" si="12"/>
        <v>100</v>
      </c>
      <c r="T38" s="708" t="s">
        <v>14</v>
      </c>
      <c r="U38" s="709">
        <f t="shared" si="13"/>
        <v>100</v>
      </c>
      <c r="V38" s="708" t="s">
        <v>14</v>
      </c>
      <c r="W38" s="709">
        <f t="shared" si="14"/>
        <v>100</v>
      </c>
      <c r="X38" s="710"/>
      <c r="Y38" s="38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9"/>
      <c r="Q39" s="1352">
        <f t="shared" si="11"/>
        <v>111</v>
      </c>
      <c r="R39" s="705" t="s">
        <v>14</v>
      </c>
      <c r="S39" s="706">
        <f t="shared" si="12"/>
        <v>100</v>
      </c>
      <c r="T39" s="705" t="s">
        <v>14</v>
      </c>
      <c r="U39" s="706">
        <f t="shared" si="13"/>
        <v>100</v>
      </c>
      <c r="V39" s="705" t="s">
        <v>14</v>
      </c>
      <c r="W39" s="706">
        <f t="shared" si="14"/>
        <v>100</v>
      </c>
      <c r="X39" s="1355"/>
      <c r="Y39" s="38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0"/>
      <c r="Q40" s="1352">
        <f t="shared" si="11"/>
        <v>111</v>
      </c>
      <c r="R40" s="705" t="s">
        <v>14</v>
      </c>
      <c r="S40" s="706">
        <f t="shared" si="12"/>
        <v>100</v>
      </c>
      <c r="T40" s="705" t="s">
        <v>14</v>
      </c>
      <c r="U40" s="706">
        <f t="shared" si="13"/>
        <v>100</v>
      </c>
      <c r="V40" s="705" t="s">
        <v>14</v>
      </c>
      <c r="W40" s="706">
        <f t="shared" si="14"/>
        <v>100</v>
      </c>
      <c r="X40" s="1355"/>
      <c r="Y40" s="386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61" t="str">
        <f>A41</f>
        <v>成交单价（元/平方米）</v>
      </c>
      <c r="Q41" s="3861"/>
      <c r="R41" s="3862">
        <f>E41</f>
        <v>0</v>
      </c>
      <c r="S41" s="3862"/>
      <c r="T41" s="3862">
        <f>G41</f>
        <v>0</v>
      </c>
      <c r="U41" s="3862"/>
      <c r="V41" s="3862">
        <f>I41</f>
        <v>0</v>
      </c>
      <c r="W41" s="3862"/>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61" t="str">
        <f>A42</f>
        <v>比较价值（元/平方米）</v>
      </c>
      <c r="Q42" s="3861"/>
      <c r="R42" s="3862" t="e">
        <f>IF(F1="售价",ROUND(PRODUCT(R41,AA7:AA40),0),ROUND(PRODUCT(R41,AA7:AA40),1))</f>
        <v>#DIV/0!</v>
      </c>
      <c r="S42" s="3862"/>
      <c r="T42" s="3862" t="e">
        <f>IF(F1="售价",ROUND(PRODUCT(T41,AB7:AB40),0),ROUND(PRODUCT(T41,AB7:AB40),1))</f>
        <v>#DIV/0!</v>
      </c>
      <c r="U42" s="3862"/>
      <c r="V42" s="3862" t="e">
        <f>IF(F1="售价",ROUND(PRODUCT(V41,AC7:AC40),0),ROUND(PRODUCT(V41,AC7:AC40),1))</f>
        <v>#DIV/0!</v>
      </c>
      <c r="W42" s="3862"/>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63" t="str">
        <f>A43</f>
        <v>估价对象XX用房的比较价值（楼面单价，元/平方米）</v>
      </c>
      <c r="Q43" s="3864"/>
      <c r="R43" s="3865" t="e">
        <f>IF(F1="售价",ROUND(IF(D42="简单平均",AVERAGE(R42:V42),R42*F42+T42*H42+V42*J42),0),ROUND(IF(D42="简单平均",AVERAGE(R42:V42),R42*F42+T42*H42+V42*J42),1))</f>
        <v>#DIV/0!</v>
      </c>
      <c r="S43" s="3865"/>
      <c r="T43" s="3865"/>
      <c r="U43" s="3865"/>
      <c r="V43" s="3865"/>
      <c r="W43" s="386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61" t="s">
        <v>1681</v>
      </c>
      <c r="Q9" s="1343" t="str">
        <f t="shared" ref="Q9:Q14" si="6">B9</f>
        <v>用途</v>
      </c>
      <c r="R9" s="701" t="s">
        <v>14</v>
      </c>
      <c r="S9" s="702">
        <f t="shared" si="0"/>
        <v>100</v>
      </c>
      <c r="T9" s="701" t="s">
        <v>14</v>
      </c>
      <c r="U9" s="702">
        <f t="shared" si="1"/>
        <v>100</v>
      </c>
      <c r="V9" s="701" t="s">
        <v>14</v>
      </c>
      <c r="W9" s="702">
        <f t="shared" si="2"/>
        <v>100</v>
      </c>
      <c r="X9" s="703"/>
      <c r="Y9" s="3719"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6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61"/>
      <c r="Q11" s="1343">
        <f t="shared" si="6"/>
        <v>111</v>
      </c>
      <c r="R11" s="701" t="s">
        <v>14</v>
      </c>
      <c r="S11" s="702">
        <f t="shared" si="0"/>
        <v>100</v>
      </c>
      <c r="T11" s="701" t="s">
        <v>14</v>
      </c>
      <c r="U11" s="702">
        <f t="shared" si="1"/>
        <v>100</v>
      </c>
      <c r="V11" s="701" t="s">
        <v>14</v>
      </c>
      <c r="W11" s="702">
        <f t="shared" si="2"/>
        <v>100</v>
      </c>
      <c r="X11" s="703"/>
      <c r="Y11" s="37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55"/>
      <c r="Q15" s="1352"/>
      <c r="R15" s="705"/>
      <c r="S15" s="706"/>
      <c r="T15" s="705"/>
      <c r="U15" s="706"/>
      <c r="V15" s="705"/>
      <c r="W15" s="706"/>
      <c r="X15" s="1355"/>
      <c r="Y15" s="385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55"/>
      <c r="Q17" s="1352"/>
      <c r="R17" s="705"/>
      <c r="S17" s="706"/>
      <c r="T17" s="705"/>
      <c r="U17" s="706"/>
      <c r="V17" s="705"/>
      <c r="W17" s="706"/>
      <c r="X17" s="1355"/>
      <c r="Y17" s="385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55"/>
      <c r="Q19" s="1352"/>
      <c r="R19" s="705"/>
      <c r="S19" s="706"/>
      <c r="T19" s="705"/>
      <c r="U19" s="706"/>
      <c r="V19" s="705"/>
      <c r="W19" s="706"/>
      <c r="X19" s="1355"/>
      <c r="Y19" s="385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55"/>
      <c r="Q21" s="1352"/>
      <c r="R21" s="705"/>
      <c r="S21" s="706"/>
      <c r="T21" s="705"/>
      <c r="U21" s="706"/>
      <c r="V21" s="705"/>
      <c r="W21" s="706"/>
      <c r="X21" s="1355"/>
      <c r="Y21" s="385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55"/>
      <c r="Q24" s="1352">
        <f t="shared" ref="Q24:Q36"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2"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9"/>
      <c r="Q27" s="707" t="str">
        <f t="shared" si="11"/>
        <v>项目停车位配比</v>
      </c>
      <c r="R27" s="708" t="s">
        <v>14</v>
      </c>
      <c r="S27" s="709">
        <f t="shared" si="12"/>
        <v>100</v>
      </c>
      <c r="T27" s="708" t="s">
        <v>14</v>
      </c>
      <c r="U27" s="709">
        <f t="shared" si="13"/>
        <v>100</v>
      </c>
      <c r="V27" s="708" t="s">
        <v>14</v>
      </c>
      <c r="W27" s="709">
        <f t="shared" si="14"/>
        <v>100</v>
      </c>
      <c r="X27" s="710"/>
      <c r="Y27" s="385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9"/>
      <c r="Q28" s="1352" t="str">
        <f t="shared" si="11"/>
        <v>公共部分装修</v>
      </c>
      <c r="R28" s="705" t="s">
        <v>14</v>
      </c>
      <c r="S28" s="706">
        <f t="shared" si="12"/>
        <v>100</v>
      </c>
      <c r="T28" s="705" t="s">
        <v>14</v>
      </c>
      <c r="U28" s="706">
        <f t="shared" si="13"/>
        <v>100</v>
      </c>
      <c r="V28" s="705" t="s">
        <v>14</v>
      </c>
      <c r="W28" s="706">
        <f t="shared" si="14"/>
        <v>100</v>
      </c>
      <c r="X28" s="1355"/>
      <c r="Y28" s="385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9"/>
      <c r="Q29" s="1352" t="str">
        <f t="shared" si="11"/>
        <v>成新率</v>
      </c>
      <c r="R29" s="705" t="s">
        <v>14</v>
      </c>
      <c r="S29" s="706" t="e">
        <f t="shared" si="12"/>
        <v>#N/A</v>
      </c>
      <c r="T29" s="705" t="s">
        <v>14</v>
      </c>
      <c r="U29" s="706" t="e">
        <f t="shared" si="13"/>
        <v>#N/A</v>
      </c>
      <c r="V29" s="705" t="s">
        <v>14</v>
      </c>
      <c r="W29" s="706" t="e">
        <f t="shared" si="14"/>
        <v>#N/A</v>
      </c>
      <c r="X29" s="1355"/>
      <c r="Y29" s="385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9"/>
      <c r="Q30" s="1352" t="str">
        <f t="shared" si="11"/>
        <v>物业等级</v>
      </c>
      <c r="R30" s="705" t="s">
        <v>14</v>
      </c>
      <c r="S30" s="706">
        <f t="shared" si="12"/>
        <v>100</v>
      </c>
      <c r="T30" s="705" t="s">
        <v>14</v>
      </c>
      <c r="U30" s="706">
        <f t="shared" si="13"/>
        <v>100</v>
      </c>
      <c r="V30" s="705" t="s">
        <v>14</v>
      </c>
      <c r="W30" s="706">
        <f t="shared" si="14"/>
        <v>100</v>
      </c>
      <c r="X30" s="1355"/>
      <c r="Y30" s="385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9"/>
      <c r="Q31" s="1343" t="str">
        <f t="shared" si="11"/>
        <v>停车位面积</v>
      </c>
      <c r="R31" s="701" t="s">
        <v>14</v>
      </c>
      <c r="S31" s="702" t="e">
        <f t="shared" si="12"/>
        <v>#N/A</v>
      </c>
      <c r="T31" s="701" t="s">
        <v>14</v>
      </c>
      <c r="U31" s="702" t="e">
        <f t="shared" si="13"/>
        <v>#N/A</v>
      </c>
      <c r="V31" s="701" t="s">
        <v>14</v>
      </c>
      <c r="W31" s="702" t="e">
        <f t="shared" si="14"/>
        <v>#N/A</v>
      </c>
      <c r="X31" s="703"/>
      <c r="Y31" s="385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9" t="s">
        <v>1691</v>
      </c>
      <c r="Q32" s="1352" t="str">
        <f t="shared" si="11"/>
        <v>车位类型</v>
      </c>
      <c r="R32" s="705" t="s">
        <v>14</v>
      </c>
      <c r="S32" s="706">
        <f t="shared" si="12"/>
        <v>100</v>
      </c>
      <c r="T32" s="705" t="s">
        <v>14</v>
      </c>
      <c r="U32" s="706">
        <f t="shared" si="13"/>
        <v>100</v>
      </c>
      <c r="V32" s="705" t="s">
        <v>14</v>
      </c>
      <c r="W32" s="706">
        <f t="shared" si="14"/>
        <v>100</v>
      </c>
      <c r="X32" s="1355"/>
      <c r="Y32" s="385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9"/>
      <c r="Q33" s="1352" t="str">
        <f t="shared" si="11"/>
        <v>是否直接入户</v>
      </c>
      <c r="R33" s="705" t="s">
        <v>14</v>
      </c>
      <c r="S33" s="706">
        <f t="shared" si="12"/>
        <v>100</v>
      </c>
      <c r="T33" s="705" t="s">
        <v>14</v>
      </c>
      <c r="U33" s="706">
        <f t="shared" si="13"/>
        <v>100</v>
      </c>
      <c r="V33" s="705" t="s">
        <v>14</v>
      </c>
      <c r="W33" s="706">
        <f t="shared" si="14"/>
        <v>100</v>
      </c>
      <c r="X33" s="1355"/>
      <c r="Y33" s="38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9"/>
      <c r="Q35" s="707">
        <f t="shared" si="11"/>
        <v>111</v>
      </c>
      <c r="R35" s="708" t="s">
        <v>14</v>
      </c>
      <c r="S35" s="709">
        <f t="shared" si="12"/>
        <v>100</v>
      </c>
      <c r="T35" s="708" t="s">
        <v>14</v>
      </c>
      <c r="U35" s="709">
        <f t="shared" si="13"/>
        <v>100</v>
      </c>
      <c r="V35" s="708" t="s">
        <v>14</v>
      </c>
      <c r="W35" s="709">
        <f t="shared" si="14"/>
        <v>100</v>
      </c>
      <c r="X35" s="710"/>
      <c r="Y35" s="38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9"/>
      <c r="Q36" s="1352">
        <f t="shared" si="11"/>
        <v>111</v>
      </c>
      <c r="R36" s="705" t="s">
        <v>14</v>
      </c>
      <c r="S36" s="706">
        <f t="shared" si="12"/>
        <v>100</v>
      </c>
      <c r="T36" s="705" t="s">
        <v>14</v>
      </c>
      <c r="U36" s="706">
        <f t="shared" si="13"/>
        <v>100</v>
      </c>
      <c r="V36" s="705" t="s">
        <v>14</v>
      </c>
      <c r="W36" s="706">
        <f t="shared" si="14"/>
        <v>100</v>
      </c>
      <c r="X36" s="1355"/>
      <c r="Y36" s="385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61" t="str">
        <f>A37</f>
        <v>成交单价</v>
      </c>
      <c r="Q37" s="3861"/>
      <c r="R37" s="3862">
        <f>E37</f>
        <v>0</v>
      </c>
      <c r="S37" s="3862"/>
      <c r="T37" s="3862">
        <f>G37</f>
        <v>0</v>
      </c>
      <c r="U37" s="3862"/>
      <c r="V37" s="3862">
        <f>I37</f>
        <v>0</v>
      </c>
      <c r="W37" s="3862"/>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61" t="str">
        <f>A38</f>
        <v>比较价值（元/平方米）</v>
      </c>
      <c r="Q38" s="3861"/>
      <c r="R38" s="3862" t="e">
        <f>IF(F1="售价",ROUND(PRODUCT(R37,AA7:AA36),0),ROUND(PRODUCT(R37,AA7:AA36),1))</f>
        <v>#DIV/0!</v>
      </c>
      <c r="S38" s="3862"/>
      <c r="T38" s="3862" t="e">
        <f>IF(F1="售价",ROUND(PRODUCT(T37,AB7:AB36),0),ROUND(PRODUCT(T37,AB7:AB36),1))</f>
        <v>#DIV/0!</v>
      </c>
      <c r="U38" s="3862"/>
      <c r="V38" s="3862" t="e">
        <f>IF(F1="售价",ROUND(PRODUCT(V37,AC7:AC36),0),ROUND(PRODUCT(V37,AC7:AC36),1))</f>
        <v>#DIV/0!</v>
      </c>
      <c r="W38" s="3862"/>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63" t="str">
        <f>A39</f>
        <v>估价对象XX用房的比较价值（楼面单价，元/平方米）</v>
      </c>
      <c r="Q39" s="3864"/>
      <c r="R39" s="3883" t="e">
        <f>IF(F1="售价",ROUND(IF(D38="简单平均",AVERAGE(R38:W38),R38*F38+T38*H38+V38*J38),0),ROUND(IF(D38="简单平均",AVERAGE(R38:V38),R38*F38+T38*H38+V38*J38),1))</f>
        <v>#DIV/0!</v>
      </c>
      <c r="S39" s="3883"/>
      <c r="T39" s="3883"/>
      <c r="U39" s="3883"/>
      <c r="V39" s="3883"/>
      <c r="W39" s="388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61" t="s">
        <v>1681</v>
      </c>
      <c r="Q9" s="1343" t="str">
        <f t="shared" ref="Q9:Q14" si="6">B9</f>
        <v>用途</v>
      </c>
      <c r="R9" s="701" t="s">
        <v>14</v>
      </c>
      <c r="S9" s="702">
        <f t="shared" si="0"/>
        <v>100</v>
      </c>
      <c r="T9" s="701" t="s">
        <v>14</v>
      </c>
      <c r="U9" s="702">
        <f t="shared" si="1"/>
        <v>100</v>
      </c>
      <c r="V9" s="701" t="s">
        <v>14</v>
      </c>
      <c r="W9" s="702">
        <f t="shared" si="2"/>
        <v>100</v>
      </c>
      <c r="X9" s="703"/>
      <c r="Y9" s="3719"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61"/>
      <c r="Q10" s="1343" t="str">
        <f t="shared" si="6"/>
        <v>土地使用年限（年）</v>
      </c>
      <c r="R10" s="701" t="s">
        <v>14</v>
      </c>
      <c r="S10" s="702">
        <f t="shared" si="0"/>
        <v>100</v>
      </c>
      <c r="T10" s="701" t="s">
        <v>14</v>
      </c>
      <c r="U10" s="702">
        <f t="shared" si="1"/>
        <v>100</v>
      </c>
      <c r="V10" s="701" t="s">
        <v>14</v>
      </c>
      <c r="W10" s="702">
        <f t="shared" si="2"/>
        <v>100</v>
      </c>
      <c r="X10" s="703"/>
      <c r="Y10" s="37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61"/>
      <c r="Q11" s="1343">
        <f t="shared" si="6"/>
        <v>111</v>
      </c>
      <c r="R11" s="701" t="s">
        <v>14</v>
      </c>
      <c r="S11" s="702">
        <f t="shared" si="0"/>
        <v>100</v>
      </c>
      <c r="T11" s="701" t="s">
        <v>14</v>
      </c>
      <c r="U11" s="702">
        <f t="shared" si="1"/>
        <v>100</v>
      </c>
      <c r="V11" s="701" t="s">
        <v>14</v>
      </c>
      <c r="W11" s="702">
        <f t="shared" si="2"/>
        <v>100</v>
      </c>
      <c r="X11" s="703"/>
      <c r="Y11" s="37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55"/>
      <c r="Q15" s="1352"/>
      <c r="R15" s="705"/>
      <c r="S15" s="706"/>
      <c r="T15" s="705"/>
      <c r="U15" s="706"/>
      <c r="V15" s="705"/>
      <c r="W15" s="706"/>
      <c r="X15" s="1355"/>
      <c r="Y15" s="385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55"/>
      <c r="Q17" s="1352"/>
      <c r="R17" s="705"/>
      <c r="S17" s="706"/>
      <c r="T17" s="705"/>
      <c r="U17" s="706"/>
      <c r="V17" s="705"/>
      <c r="W17" s="706"/>
      <c r="X17" s="1355"/>
      <c r="Y17" s="385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55"/>
      <c r="Q19" s="1352"/>
      <c r="R19" s="705"/>
      <c r="S19" s="706"/>
      <c r="T19" s="705"/>
      <c r="U19" s="706"/>
      <c r="V19" s="705"/>
      <c r="W19" s="706"/>
      <c r="X19" s="1355"/>
      <c r="Y19" s="385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55"/>
      <c r="Q21" s="1352"/>
      <c r="R21" s="705"/>
      <c r="S21" s="706"/>
      <c r="T21" s="705"/>
      <c r="U21" s="706"/>
      <c r="V21" s="705"/>
      <c r="W21" s="706"/>
      <c r="X21" s="1355"/>
      <c r="Y21" s="385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55"/>
      <c r="Q24" s="1352">
        <f t="shared" ref="Q24:Q34"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2"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9"/>
      <c r="Q27" s="707" t="str">
        <f t="shared" si="11"/>
        <v>成新率</v>
      </c>
      <c r="R27" s="708" t="s">
        <v>14</v>
      </c>
      <c r="S27" s="709" t="e">
        <f t="shared" si="12"/>
        <v>#N/A</v>
      </c>
      <c r="T27" s="708" t="s">
        <v>14</v>
      </c>
      <c r="U27" s="709" t="e">
        <f t="shared" si="13"/>
        <v>#N/A</v>
      </c>
      <c r="V27" s="708" t="s">
        <v>14</v>
      </c>
      <c r="W27" s="709" t="e">
        <f t="shared" si="14"/>
        <v>#N/A</v>
      </c>
      <c r="X27" s="710"/>
      <c r="Y27" s="385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9"/>
      <c r="Q28" s="1352" t="str">
        <f t="shared" si="11"/>
        <v>物业等级</v>
      </c>
      <c r="R28" s="705" t="s">
        <v>14</v>
      </c>
      <c r="S28" s="706">
        <f t="shared" si="12"/>
        <v>100</v>
      </c>
      <c r="T28" s="705" t="s">
        <v>14</v>
      </c>
      <c r="U28" s="706">
        <f t="shared" si="13"/>
        <v>100</v>
      </c>
      <c r="V28" s="705" t="s">
        <v>14</v>
      </c>
      <c r="W28" s="706">
        <f t="shared" si="14"/>
        <v>100</v>
      </c>
      <c r="X28" s="1355"/>
      <c r="Y28" s="385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9"/>
      <c r="Q29" s="1352" t="str">
        <f t="shared" si="11"/>
        <v>有无电梯</v>
      </c>
      <c r="R29" s="705" t="s">
        <v>14</v>
      </c>
      <c r="S29" s="706">
        <f t="shared" si="12"/>
        <v>100</v>
      </c>
      <c r="T29" s="705" t="s">
        <v>14</v>
      </c>
      <c r="U29" s="706">
        <f t="shared" si="13"/>
        <v>100</v>
      </c>
      <c r="V29" s="705" t="s">
        <v>14</v>
      </c>
      <c r="W29" s="706">
        <f t="shared" si="14"/>
        <v>100</v>
      </c>
      <c r="X29" s="1355"/>
      <c r="Y29" s="385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9"/>
      <c r="Q30" s="1352" t="str">
        <f t="shared" si="11"/>
        <v>建筑面积</v>
      </c>
      <c r="R30" s="705" t="s">
        <v>14</v>
      </c>
      <c r="S30" s="706" t="e">
        <f t="shared" si="12"/>
        <v>#N/A</v>
      </c>
      <c r="T30" s="705" t="s">
        <v>14</v>
      </c>
      <c r="U30" s="706" t="e">
        <f t="shared" si="13"/>
        <v>#N/A</v>
      </c>
      <c r="V30" s="705" t="s">
        <v>14</v>
      </c>
      <c r="W30" s="706" t="e">
        <f t="shared" si="14"/>
        <v>#N/A</v>
      </c>
      <c r="X30" s="1355"/>
      <c r="Y30" s="385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9"/>
      <c r="Q31" s="1343" t="str">
        <f t="shared" si="11"/>
        <v>是否封闭</v>
      </c>
      <c r="R31" s="701" t="s">
        <v>14</v>
      </c>
      <c r="S31" s="702">
        <f t="shared" si="12"/>
        <v>100</v>
      </c>
      <c r="T31" s="701" t="s">
        <v>14</v>
      </c>
      <c r="U31" s="702">
        <f t="shared" si="13"/>
        <v>100</v>
      </c>
      <c r="V31" s="701" t="s">
        <v>14</v>
      </c>
      <c r="W31" s="702">
        <f t="shared" si="14"/>
        <v>100</v>
      </c>
      <c r="X31" s="703"/>
      <c r="Y31" s="38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9" t="s">
        <v>1691</v>
      </c>
      <c r="Q32" s="1352">
        <f t="shared" si="11"/>
        <v>111</v>
      </c>
      <c r="R32" s="705" t="s">
        <v>14</v>
      </c>
      <c r="S32" s="706">
        <f t="shared" si="12"/>
        <v>100</v>
      </c>
      <c r="T32" s="705" t="s">
        <v>14</v>
      </c>
      <c r="U32" s="706">
        <f t="shared" si="13"/>
        <v>100</v>
      </c>
      <c r="V32" s="705" t="s">
        <v>14</v>
      </c>
      <c r="W32" s="706">
        <f t="shared" si="14"/>
        <v>100</v>
      </c>
      <c r="X32" s="1355"/>
      <c r="Y32" s="385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9"/>
      <c r="Q33" s="1352">
        <f t="shared" si="11"/>
        <v>111</v>
      </c>
      <c r="R33" s="705" t="s">
        <v>14</v>
      </c>
      <c r="S33" s="706">
        <f t="shared" si="12"/>
        <v>100</v>
      </c>
      <c r="T33" s="705" t="s">
        <v>14</v>
      </c>
      <c r="U33" s="706">
        <f t="shared" si="13"/>
        <v>100</v>
      </c>
      <c r="V33" s="705" t="s">
        <v>14</v>
      </c>
      <c r="W33" s="706">
        <f t="shared" si="14"/>
        <v>100</v>
      </c>
      <c r="X33" s="1355"/>
      <c r="Y33" s="385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61" t="str">
        <f>A35</f>
        <v>成交单价（元/平方米）</v>
      </c>
      <c r="Q35" s="3861"/>
      <c r="R35" s="3862">
        <f>E35</f>
        <v>0</v>
      </c>
      <c r="S35" s="3862"/>
      <c r="T35" s="3862">
        <f>G35</f>
        <v>0</v>
      </c>
      <c r="U35" s="3862"/>
      <c r="V35" s="3862">
        <f>I35</f>
        <v>0</v>
      </c>
      <c r="W35" s="3862"/>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61" t="str">
        <f>A36</f>
        <v>比较价值（元/平方米）</v>
      </c>
      <c r="Q36" s="3861"/>
      <c r="R36" s="3862" t="e">
        <f>IF(F1="售价",ROUND(PRODUCT(R35,AA7:AA34),0),ROUND(PRODUCT(R35,AA7:AA34),1))</f>
        <v>#DIV/0!</v>
      </c>
      <c r="S36" s="3862"/>
      <c r="T36" s="3862" t="e">
        <f>IF(F1="售价",ROUND(PRODUCT(T35,AB7:AB34),0),ROUND(PRODUCT(T35,AB7:AB34),1))</f>
        <v>#DIV/0!</v>
      </c>
      <c r="U36" s="3862"/>
      <c r="V36" s="3862" t="e">
        <f>IF(F1="售价",ROUND(PRODUCT(V35,AC7:AC34),0),ROUND(PRODUCT(V35,AC7:AC34),1))</f>
        <v>#DIV/0!</v>
      </c>
      <c r="W36" s="3862"/>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63" t="str">
        <f>A37</f>
        <v>估价对象XX用房的比较价值（楼面单价，元/平方米）</v>
      </c>
      <c r="Q37" s="3864"/>
      <c r="R37" s="3883" t="e">
        <f>IF(F1="售价",ROUND(IF(D36="简单平均",AVERAGE(R36:W36),R36*F36+T36*H36+V36*J36),0),ROUND(IF(D36="简单平均",AVERAGE(R36:V36),R36*F36+T36*H36+V36*J36),1))</f>
        <v>#DIV/0!</v>
      </c>
      <c r="S37" s="3883"/>
      <c r="T37" s="3883"/>
      <c r="U37" s="3883"/>
      <c r="V37" s="3883"/>
      <c r="W37" s="388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30"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30"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48" t="s">
        <v>1678</v>
      </c>
      <c r="Q8" s="3850"/>
      <c r="R8" s="701" t="s">
        <v>14</v>
      </c>
      <c r="S8" s="702">
        <f t="shared" si="0"/>
        <v>0</v>
      </c>
      <c r="T8" s="701" t="s">
        <v>14</v>
      </c>
      <c r="U8" s="702">
        <f t="shared" si="1"/>
        <v>0</v>
      </c>
      <c r="V8" s="701" t="s">
        <v>14</v>
      </c>
      <c r="W8" s="702">
        <f t="shared" si="2"/>
        <v>0</v>
      </c>
      <c r="X8" s="703"/>
      <c r="Y8" s="3848" t="s">
        <v>1678</v>
      </c>
      <c r="Z8" s="3850"/>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6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61"/>
      <c r="Q10" s="1343" t="str">
        <f t="shared" si="6"/>
        <v>土地使用年限（年）</v>
      </c>
      <c r="R10" s="701" t="s">
        <v>14</v>
      </c>
      <c r="S10" s="702" t="e">
        <f t="shared" si="0"/>
        <v>#DIV/0!</v>
      </c>
      <c r="T10" s="701" t="s">
        <v>14</v>
      </c>
      <c r="U10" s="702" t="e">
        <f t="shared" si="1"/>
        <v>#DIV/0!</v>
      </c>
      <c r="V10" s="701" t="s">
        <v>14</v>
      </c>
      <c r="W10" s="702" t="e">
        <f t="shared" si="2"/>
        <v>#DIV/0!</v>
      </c>
      <c r="X10" s="703"/>
      <c r="Y10" s="3719"/>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61"/>
      <c r="Q11" s="1343" t="str">
        <f t="shared" si="6"/>
        <v>容积率</v>
      </c>
      <c r="R11" s="701" t="s">
        <v>14</v>
      </c>
      <c r="S11" s="702" t="e">
        <f t="shared" si="0"/>
        <v>#N/A</v>
      </c>
      <c r="T11" s="701" t="s">
        <v>14</v>
      </c>
      <c r="U11" s="702" t="e">
        <f t="shared" si="1"/>
        <v>#N/A</v>
      </c>
      <c r="V11" s="701" t="s">
        <v>14</v>
      </c>
      <c r="W11" s="702" t="e">
        <f t="shared" si="2"/>
        <v>#N/A</v>
      </c>
      <c r="X11" s="703"/>
      <c r="Y11" s="3719"/>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61"/>
      <c r="Q12" s="1343" t="str">
        <f t="shared" si="6"/>
        <v>配建</v>
      </c>
      <c r="R12" s="701" t="s">
        <v>14</v>
      </c>
      <c r="S12" s="702">
        <f t="shared" si="0"/>
        <v>100</v>
      </c>
      <c r="T12" s="701" t="s">
        <v>14</v>
      </c>
      <c r="U12" s="702">
        <f t="shared" si="1"/>
        <v>100</v>
      </c>
      <c r="V12" s="701" t="s">
        <v>14</v>
      </c>
      <c r="W12" s="702">
        <f t="shared" si="2"/>
        <v>100</v>
      </c>
      <c r="X12" s="703"/>
      <c r="Y12" s="37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61"/>
      <c r="Q14" s="1343">
        <f t="shared" si="6"/>
        <v>111</v>
      </c>
      <c r="R14" s="701" t="s">
        <v>14</v>
      </c>
      <c r="S14" s="702">
        <f t="shared" si="0"/>
        <v>100</v>
      </c>
      <c r="T14" s="701" t="s">
        <v>14</v>
      </c>
      <c r="U14" s="702">
        <f t="shared" si="1"/>
        <v>100</v>
      </c>
      <c r="V14" s="701" t="s">
        <v>14</v>
      </c>
      <c r="W14" s="702">
        <f t="shared" si="2"/>
        <v>100</v>
      </c>
      <c r="X14" s="703"/>
      <c r="Y14" s="3719"/>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54" t="s">
        <v>1686</v>
      </c>
      <c r="Q15" s="1352" t="str">
        <f t="shared" si="6"/>
        <v>居住社区成熟度</v>
      </c>
      <c r="R15" s="705" t="s">
        <v>14</v>
      </c>
      <c r="S15" s="706">
        <f t="shared" si="0"/>
        <v>100</v>
      </c>
      <c r="T15" s="705" t="s">
        <v>14</v>
      </c>
      <c r="U15" s="706">
        <f t="shared" si="1"/>
        <v>100</v>
      </c>
      <c r="V15" s="705" t="s">
        <v>14</v>
      </c>
      <c r="W15" s="706">
        <f t="shared" si="2"/>
        <v>100</v>
      </c>
      <c r="X15" s="1355"/>
      <c r="Y15" s="3854"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55"/>
      <c r="Q16" s="1352"/>
      <c r="R16" s="705"/>
      <c r="S16" s="706"/>
      <c r="T16" s="705"/>
      <c r="U16" s="706"/>
      <c r="V16" s="705"/>
      <c r="W16" s="706"/>
      <c r="X16" s="1355"/>
      <c r="Y16" s="385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55"/>
      <c r="Q17" s="1352" t="str">
        <f>B17</f>
        <v>商业繁华度</v>
      </c>
      <c r="R17" s="705" t="s">
        <v>14</v>
      </c>
      <c r="S17" s="706">
        <f>F17</f>
        <v>100</v>
      </c>
      <c r="T17" s="705" t="s">
        <v>14</v>
      </c>
      <c r="U17" s="706">
        <f>H17</f>
        <v>100</v>
      </c>
      <c r="V17" s="705" t="s">
        <v>14</v>
      </c>
      <c r="W17" s="706">
        <f>J17</f>
        <v>100</v>
      </c>
      <c r="X17" s="1355"/>
      <c r="Y17" s="38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55"/>
      <c r="Q18" s="1352"/>
      <c r="R18" s="705"/>
      <c r="S18" s="706"/>
      <c r="T18" s="705"/>
      <c r="U18" s="706"/>
      <c r="V18" s="705"/>
      <c r="W18" s="706"/>
      <c r="X18" s="1355"/>
      <c r="Y18" s="385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55"/>
      <c r="Q19" s="1352" t="str">
        <f>B19</f>
        <v>办公集聚程度</v>
      </c>
      <c r="R19" s="705" t="s">
        <v>14</v>
      </c>
      <c r="S19" s="706">
        <f>F19</f>
        <v>100</v>
      </c>
      <c r="T19" s="705" t="s">
        <v>14</v>
      </c>
      <c r="U19" s="706">
        <f>H19</f>
        <v>100</v>
      </c>
      <c r="V19" s="705" t="s">
        <v>14</v>
      </c>
      <c r="W19" s="706">
        <f>J19</f>
        <v>100</v>
      </c>
      <c r="X19" s="1355"/>
      <c r="Y19" s="38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55"/>
      <c r="Q20" s="1352"/>
      <c r="R20" s="705"/>
      <c r="S20" s="706"/>
      <c r="T20" s="705"/>
      <c r="U20" s="706"/>
      <c r="V20" s="705"/>
      <c r="W20" s="706"/>
      <c r="X20" s="1355"/>
      <c r="Y20" s="385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55"/>
      <c r="Q21" s="1352" t="str">
        <f>B21</f>
        <v>交通便捷度</v>
      </c>
      <c r="R21" s="705" t="s">
        <v>14</v>
      </c>
      <c r="S21" s="706">
        <f>F21</f>
        <v>100</v>
      </c>
      <c r="T21" s="705" t="s">
        <v>14</v>
      </c>
      <c r="U21" s="706">
        <f>H21</f>
        <v>100</v>
      </c>
      <c r="V21" s="705" t="s">
        <v>14</v>
      </c>
      <c r="W21" s="706">
        <f>J21</f>
        <v>100</v>
      </c>
      <c r="X21" s="1355"/>
      <c r="Y21" s="38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55"/>
      <c r="Q22" s="1352"/>
      <c r="R22" s="705"/>
      <c r="S22" s="706"/>
      <c r="T22" s="705"/>
      <c r="U22" s="706"/>
      <c r="V22" s="705"/>
      <c r="W22" s="706"/>
      <c r="X22" s="1355"/>
      <c r="Y22" s="385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55"/>
      <c r="Q23" s="1352" t="str">
        <f t="shared" ref="Q23:Q37" si="8">B23</f>
        <v>区域土地利用方向</v>
      </c>
      <c r="R23" s="705" t="s">
        <v>14</v>
      </c>
      <c r="S23" s="706">
        <f>F23</f>
        <v>100</v>
      </c>
      <c r="T23" s="705" t="s">
        <v>14</v>
      </c>
      <c r="U23" s="706">
        <f>H23</f>
        <v>100</v>
      </c>
      <c r="V23" s="705" t="s">
        <v>14</v>
      </c>
      <c r="W23" s="706">
        <f>J23</f>
        <v>100</v>
      </c>
      <c r="X23" s="1355"/>
      <c r="Y23" s="38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55"/>
      <c r="Q24" s="1352"/>
      <c r="R24" s="705"/>
      <c r="S24" s="706"/>
      <c r="T24" s="705"/>
      <c r="U24" s="706"/>
      <c r="V24" s="705"/>
      <c r="W24" s="706"/>
      <c r="X24" s="1355"/>
      <c r="Y24" s="385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55"/>
      <c r="Q25" s="1352" t="str">
        <f t="shared" si="8"/>
        <v>自然及人文环境状况</v>
      </c>
      <c r="R25" s="705" t="s">
        <v>14</v>
      </c>
      <c r="S25" s="706">
        <f>F25</f>
        <v>100</v>
      </c>
      <c r="T25" s="705" t="s">
        <v>14</v>
      </c>
      <c r="U25" s="706">
        <f>H25</f>
        <v>100</v>
      </c>
      <c r="V25" s="705" t="s">
        <v>14</v>
      </c>
      <c r="W25" s="706">
        <f>J25</f>
        <v>100</v>
      </c>
      <c r="X25" s="1355"/>
      <c r="Y25" s="38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55"/>
      <c r="Q26" s="1352"/>
      <c r="R26" s="705"/>
      <c r="S26" s="706"/>
      <c r="T26" s="705"/>
      <c r="U26" s="706"/>
      <c r="V26" s="705"/>
      <c r="W26" s="706"/>
      <c r="X26" s="1355"/>
      <c r="Y26" s="385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55"/>
      <c r="Q27" s="1343" t="str">
        <f t="shared" si="8"/>
        <v>公共配套设施</v>
      </c>
      <c r="R27" s="701" t="s">
        <v>14</v>
      </c>
      <c r="S27" s="702">
        <f>F27</f>
        <v>100</v>
      </c>
      <c r="T27" s="701" t="s">
        <v>14</v>
      </c>
      <c r="U27" s="702">
        <f>H27</f>
        <v>100</v>
      </c>
      <c r="V27" s="701" t="s">
        <v>14</v>
      </c>
      <c r="W27" s="702">
        <f>J27</f>
        <v>100</v>
      </c>
      <c r="X27" s="703"/>
      <c r="Y27" s="385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55"/>
      <c r="Q28" s="1343"/>
      <c r="R28" s="701"/>
      <c r="S28" s="702"/>
      <c r="T28" s="701"/>
      <c r="U28" s="702"/>
      <c r="V28" s="701"/>
      <c r="W28" s="702"/>
      <c r="X28" s="703"/>
      <c r="Y28" s="385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55"/>
      <c r="Q29" s="1343" t="str">
        <f t="shared" ref="Q29" si="9">B29</f>
        <v>基础设施水平</v>
      </c>
      <c r="R29" s="701" t="s">
        <v>14</v>
      </c>
      <c r="S29" s="702">
        <f>F29</f>
        <v>100</v>
      </c>
      <c r="T29" s="701" t="s">
        <v>14</v>
      </c>
      <c r="U29" s="702">
        <f>H29</f>
        <v>100</v>
      </c>
      <c r="V29" s="701" t="s">
        <v>14</v>
      </c>
      <c r="W29" s="702">
        <f>J29</f>
        <v>100</v>
      </c>
      <c r="X29" s="703"/>
      <c r="Y29" s="385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55"/>
      <c r="Q30" s="1343"/>
      <c r="R30" s="701"/>
      <c r="S30" s="702"/>
      <c r="T30" s="701"/>
      <c r="U30" s="702"/>
      <c r="V30" s="701"/>
      <c r="W30" s="702"/>
      <c r="X30" s="703"/>
      <c r="Y30" s="3855"/>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5"/>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55"/>
      <c r="Q32" s="1352" t="str">
        <f t="shared" si="8"/>
        <v>毗邻道路的类型与等级</v>
      </c>
      <c r="R32" s="705" t="s">
        <v>14</v>
      </c>
      <c r="S32" s="706">
        <f t="shared" si="10"/>
        <v>100</v>
      </c>
      <c r="T32" s="705" t="s">
        <v>14</v>
      </c>
      <c r="U32" s="706">
        <f t="shared" si="11"/>
        <v>100</v>
      </c>
      <c r="V32" s="705" t="s">
        <v>14</v>
      </c>
      <c r="W32" s="706">
        <f t="shared" si="12"/>
        <v>100</v>
      </c>
      <c r="X32" s="1355"/>
      <c r="Y32" s="38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55"/>
      <c r="Q33" s="1352"/>
      <c r="R33" s="705"/>
      <c r="S33" s="706"/>
      <c r="T33" s="705"/>
      <c r="U33" s="706"/>
      <c r="V33" s="705"/>
      <c r="W33" s="706"/>
      <c r="X33" s="1355"/>
      <c r="Y33" s="3855"/>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55"/>
      <c r="Q34" s="1352" t="str">
        <f t="shared" si="8"/>
        <v>土地级别</v>
      </c>
      <c r="R34" s="705" t="s">
        <v>14</v>
      </c>
      <c r="S34" s="706">
        <f t="shared" si="10"/>
        <v>100</v>
      </c>
      <c r="T34" s="705" t="s">
        <v>14</v>
      </c>
      <c r="U34" s="706">
        <f t="shared" si="11"/>
        <v>100</v>
      </c>
      <c r="V34" s="705" t="s">
        <v>14</v>
      </c>
      <c r="W34" s="706">
        <f t="shared" si="12"/>
        <v>100</v>
      </c>
      <c r="X34" s="1355"/>
      <c r="Y34" s="38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55"/>
      <c r="Q35" s="1352">
        <f t="shared" si="8"/>
        <v>111</v>
      </c>
      <c r="R35" s="705" t="s">
        <v>14</v>
      </c>
      <c r="S35" s="706">
        <f t="shared" si="10"/>
        <v>100</v>
      </c>
      <c r="T35" s="705" t="s">
        <v>14</v>
      </c>
      <c r="U35" s="706">
        <f t="shared" si="11"/>
        <v>100</v>
      </c>
      <c r="V35" s="705" t="s">
        <v>14</v>
      </c>
      <c r="W35" s="706">
        <f t="shared" si="12"/>
        <v>100</v>
      </c>
      <c r="X35" s="1355"/>
      <c r="Y35" s="38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2" t="s">
        <v>1691</v>
      </c>
      <c r="Q36" s="1352">
        <f t="shared" si="8"/>
        <v>111</v>
      </c>
      <c r="R36" s="705" t="s">
        <v>14</v>
      </c>
      <c r="S36" s="706">
        <f t="shared" si="10"/>
        <v>100</v>
      </c>
      <c r="T36" s="705" t="s">
        <v>14</v>
      </c>
      <c r="U36" s="706">
        <f t="shared" si="11"/>
        <v>100</v>
      </c>
      <c r="V36" s="705" t="s">
        <v>14</v>
      </c>
      <c r="W36" s="706">
        <f t="shared" si="12"/>
        <v>100</v>
      </c>
      <c r="X36" s="1355"/>
      <c r="Y36" s="3859"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9"/>
      <c r="Q37" s="1352">
        <f t="shared" si="8"/>
        <v>111</v>
      </c>
      <c r="R37" s="708" t="s">
        <v>14</v>
      </c>
      <c r="S37" s="709">
        <f t="shared" si="10"/>
        <v>100</v>
      </c>
      <c r="T37" s="708" t="s">
        <v>14</v>
      </c>
      <c r="U37" s="709">
        <f t="shared" si="11"/>
        <v>100</v>
      </c>
      <c r="V37" s="708" t="s">
        <v>14</v>
      </c>
      <c r="W37" s="709">
        <f t="shared" si="12"/>
        <v>100</v>
      </c>
      <c r="X37" s="710"/>
      <c r="Y37" s="3859"/>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9"/>
      <c r="Q38" s="1352" t="str">
        <f>B38</f>
        <v>宗地面积</v>
      </c>
      <c r="R38" s="705" t="s">
        <v>14</v>
      </c>
      <c r="S38" s="706" t="e">
        <f t="shared" si="10"/>
        <v>#N/A</v>
      </c>
      <c r="T38" s="705" t="s">
        <v>14</v>
      </c>
      <c r="U38" s="706" t="e">
        <f t="shared" si="11"/>
        <v>#N/A</v>
      </c>
      <c r="V38" s="705" t="s">
        <v>14</v>
      </c>
      <c r="W38" s="706" t="e">
        <f t="shared" si="12"/>
        <v>#N/A</v>
      </c>
      <c r="X38" s="1355"/>
      <c r="Y38" s="3859"/>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9"/>
      <c r="Q39" s="1352" t="str">
        <f t="shared" ref="Q39:Q45" si="14">B39</f>
        <v>宗地形状</v>
      </c>
      <c r="R39" s="705" t="s">
        <v>14</v>
      </c>
      <c r="S39" s="706">
        <f t="shared" si="10"/>
        <v>100</v>
      </c>
      <c r="T39" s="705" t="s">
        <v>14</v>
      </c>
      <c r="U39" s="706">
        <f t="shared" si="11"/>
        <v>100</v>
      </c>
      <c r="V39" s="705" t="s">
        <v>14</v>
      </c>
      <c r="W39" s="706">
        <f t="shared" si="12"/>
        <v>100</v>
      </c>
      <c r="X39" s="1355"/>
      <c r="Y39" s="385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9"/>
      <c r="Q40" s="1352" t="str">
        <f t="shared" si="14"/>
        <v>临街宽度及深度</v>
      </c>
      <c r="R40" s="705" t="s">
        <v>14</v>
      </c>
      <c r="S40" s="706">
        <f t="shared" si="10"/>
        <v>100</v>
      </c>
      <c r="T40" s="705" t="s">
        <v>14</v>
      </c>
      <c r="U40" s="706">
        <f t="shared" si="11"/>
        <v>100</v>
      </c>
      <c r="V40" s="705" t="s">
        <v>14</v>
      </c>
      <c r="W40" s="706">
        <f t="shared" si="12"/>
        <v>100</v>
      </c>
      <c r="X40" s="1355"/>
      <c r="Y40" s="385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9"/>
      <c r="Q41" s="1352" t="str">
        <f t="shared" si="14"/>
        <v>宗地开发程度</v>
      </c>
      <c r="R41" s="701" t="s">
        <v>14</v>
      </c>
      <c r="S41" s="702">
        <f t="shared" si="10"/>
        <v>100</v>
      </c>
      <c r="T41" s="701" t="s">
        <v>14</v>
      </c>
      <c r="U41" s="702">
        <f t="shared" si="11"/>
        <v>100</v>
      </c>
      <c r="V41" s="701" t="s">
        <v>14</v>
      </c>
      <c r="W41" s="702">
        <f t="shared" si="12"/>
        <v>100</v>
      </c>
      <c r="X41" s="703"/>
      <c r="Y41" s="385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9" t="s">
        <v>1691</v>
      </c>
      <c r="Q42" s="1352" t="str">
        <f t="shared" si="14"/>
        <v>工程地质条件</v>
      </c>
      <c r="R42" s="705" t="s">
        <v>14</v>
      </c>
      <c r="S42" s="706">
        <f t="shared" si="10"/>
        <v>100</v>
      </c>
      <c r="T42" s="705" t="s">
        <v>14</v>
      </c>
      <c r="U42" s="706">
        <f t="shared" si="11"/>
        <v>100</v>
      </c>
      <c r="V42" s="705" t="s">
        <v>14</v>
      </c>
      <c r="W42" s="706">
        <f t="shared" si="12"/>
        <v>100</v>
      </c>
      <c r="X42" s="1355"/>
      <c r="Y42" s="385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9"/>
      <c r="Q43" s="1352">
        <f t="shared" si="14"/>
        <v>111</v>
      </c>
      <c r="R43" s="705" t="s">
        <v>14</v>
      </c>
      <c r="S43" s="706">
        <f t="shared" si="10"/>
        <v>100</v>
      </c>
      <c r="T43" s="705" t="s">
        <v>14</v>
      </c>
      <c r="U43" s="706">
        <f t="shared" si="11"/>
        <v>100</v>
      </c>
      <c r="V43" s="705" t="s">
        <v>14</v>
      </c>
      <c r="W43" s="706">
        <f t="shared" si="12"/>
        <v>100</v>
      </c>
      <c r="X43" s="1355"/>
      <c r="Y43" s="38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9"/>
      <c r="Q44" s="1352">
        <f t="shared" si="14"/>
        <v>111</v>
      </c>
      <c r="R44" s="705" t="s">
        <v>14</v>
      </c>
      <c r="S44" s="706">
        <f t="shared" si="10"/>
        <v>100</v>
      </c>
      <c r="T44" s="705" t="s">
        <v>14</v>
      </c>
      <c r="U44" s="706">
        <f t="shared" si="11"/>
        <v>100</v>
      </c>
      <c r="V44" s="705" t="s">
        <v>14</v>
      </c>
      <c r="W44" s="706">
        <f t="shared" si="12"/>
        <v>100</v>
      </c>
      <c r="X44" s="1355"/>
      <c r="Y44" s="385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9"/>
      <c r="Q45" s="1352">
        <f t="shared" si="14"/>
        <v>111</v>
      </c>
      <c r="R45" s="708" t="s">
        <v>14</v>
      </c>
      <c r="S45" s="709">
        <f t="shared" si="10"/>
        <v>100</v>
      </c>
      <c r="T45" s="708" t="s">
        <v>14</v>
      </c>
      <c r="U45" s="709">
        <f t="shared" si="11"/>
        <v>100</v>
      </c>
      <c r="V45" s="708" t="s">
        <v>14</v>
      </c>
      <c r="W45" s="709">
        <f t="shared" si="12"/>
        <v>100</v>
      </c>
      <c r="X45" s="710"/>
      <c r="Y45" s="3859"/>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61" t="str">
        <f>A46</f>
        <v>成交单价</v>
      </c>
      <c r="Q46" s="3861"/>
      <c r="R46" s="3847">
        <f>E46</f>
        <v>0</v>
      </c>
      <c r="S46" s="3847"/>
      <c r="T46" s="3847">
        <f>G46</f>
        <v>0</v>
      </c>
      <c r="U46" s="3847"/>
      <c r="V46" s="3847">
        <f>I46</f>
        <v>0</v>
      </c>
      <c r="W46" s="3847"/>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61" t="str">
        <f>A47</f>
        <v>比较价值（元/平方米）</v>
      </c>
      <c r="Q47" s="3861"/>
      <c r="R47" s="3884" t="e">
        <f>ROUND(PRODUCT(R46,AA7:AA45),0)</f>
        <v>#DIV/0!</v>
      </c>
      <c r="S47" s="3884"/>
      <c r="T47" s="3884" t="e">
        <f>ROUND(PRODUCT(T46,AB7:AB45),0)</f>
        <v>#DIV/0!</v>
      </c>
      <c r="U47" s="3884"/>
      <c r="V47" s="3884" t="e">
        <f>ROUND(PRODUCT(V46,AC7:AC45),0)</f>
        <v>#DIV/0!</v>
      </c>
      <c r="W47" s="3884"/>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63" t="str">
        <f>A48</f>
        <v>估价对象XX用房的比较价值（楼面单价，元/平方米）</v>
      </c>
      <c r="Q48" s="3864"/>
      <c r="R48" s="3885" t="e">
        <f>ROUND(IF(D47="简单平均",AVERAGE(R47:W47),R47*F47+T47*H47+V47*J47),0)</f>
        <v>#DIV/0!</v>
      </c>
      <c r="S48" s="3885"/>
      <c r="T48" s="3885"/>
      <c r="U48" s="3885"/>
      <c r="V48" s="3885"/>
      <c r="W48" s="388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2" t="s">
        <v>1879</v>
      </c>
      <c r="H55" s="3886"/>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59.2</v>
      </c>
      <c r="F56" s="886" t="e">
        <f t="shared" ref="F56:F64" si="15">ROUND(B56*E56/10000,0)</f>
        <v>#DIV/0!</v>
      </c>
      <c r="G56" s="3851"/>
      <c r="H56" s="386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59.2</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87" t="s">
        <v>1911</v>
      </c>
      <c r="D6" s="3888"/>
      <c r="E6" s="3889" t="s">
        <v>1911</v>
      </c>
      <c r="F6" s="3890"/>
      <c r="G6" s="3887" t="s">
        <v>1911</v>
      </c>
      <c r="H6" s="3888"/>
      <c r="I6" s="3887" t="s">
        <v>1911</v>
      </c>
      <c r="J6" s="3888"/>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8" t="s">
        <v>1678</v>
      </c>
      <c r="Q8" s="3850"/>
      <c r="R8" s="701" t="s">
        <v>14</v>
      </c>
      <c r="S8" s="702">
        <f t="shared" si="0"/>
        <v>0</v>
      </c>
      <c r="T8" s="701" t="s">
        <v>14</v>
      </c>
      <c r="U8" s="702">
        <f t="shared" si="1"/>
        <v>0</v>
      </c>
      <c r="V8" s="701" t="s">
        <v>14</v>
      </c>
      <c r="W8" s="702">
        <f t="shared" si="2"/>
        <v>0</v>
      </c>
      <c r="X8" s="703"/>
      <c r="Y8" s="3848" t="s">
        <v>1678</v>
      </c>
      <c r="Z8" s="3850"/>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61" t="s">
        <v>1681</v>
      </c>
      <c r="Q9" s="1343" t="str">
        <f t="shared" ref="Q9:Q15" si="6">B9</f>
        <v>用途</v>
      </c>
      <c r="R9" s="701" t="s">
        <v>14</v>
      </c>
      <c r="S9" s="702">
        <f t="shared" si="0"/>
        <v>100</v>
      </c>
      <c r="T9" s="701" t="s">
        <v>14</v>
      </c>
      <c r="U9" s="702">
        <f t="shared" si="1"/>
        <v>100</v>
      </c>
      <c r="V9" s="701" t="s">
        <v>14</v>
      </c>
      <c r="W9" s="702">
        <f t="shared" si="2"/>
        <v>100</v>
      </c>
      <c r="X9" s="703"/>
      <c r="Y9" s="3719"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61"/>
      <c r="Q10" s="1343" t="str">
        <f t="shared" si="6"/>
        <v>土地使用年限（年）</v>
      </c>
      <c r="R10" s="701" t="s">
        <v>14</v>
      </c>
      <c r="S10" s="702" t="e">
        <f t="shared" si="0"/>
        <v>#DIV/0!</v>
      </c>
      <c r="T10" s="701" t="s">
        <v>14</v>
      </c>
      <c r="U10" s="702" t="e">
        <f t="shared" si="1"/>
        <v>#DIV/0!</v>
      </c>
      <c r="V10" s="701" t="s">
        <v>14</v>
      </c>
      <c r="W10" s="702" t="e">
        <f t="shared" si="2"/>
        <v>#DIV/0!</v>
      </c>
      <c r="X10" s="703"/>
      <c r="Y10" s="3719"/>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61"/>
      <c r="Q11" s="1343" t="str">
        <f t="shared" si="6"/>
        <v>容积率</v>
      </c>
      <c r="R11" s="701" t="s">
        <v>14</v>
      </c>
      <c r="S11" s="702" t="e">
        <f t="shared" si="0"/>
        <v>#N/A</v>
      </c>
      <c r="T11" s="701" t="s">
        <v>14</v>
      </c>
      <c r="U11" s="702" t="e">
        <f t="shared" si="1"/>
        <v>#N/A</v>
      </c>
      <c r="V11" s="701" t="s">
        <v>14</v>
      </c>
      <c r="W11" s="702" t="e">
        <f t="shared" si="2"/>
        <v>#N/A</v>
      </c>
      <c r="X11" s="703"/>
      <c r="Y11" s="37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61"/>
      <c r="Q12" s="1343">
        <f t="shared" si="6"/>
        <v>111</v>
      </c>
      <c r="R12" s="701" t="s">
        <v>14</v>
      </c>
      <c r="S12" s="702">
        <f t="shared" si="0"/>
        <v>100</v>
      </c>
      <c r="T12" s="701" t="s">
        <v>14</v>
      </c>
      <c r="U12" s="702">
        <f t="shared" si="1"/>
        <v>100</v>
      </c>
      <c r="V12" s="701" t="s">
        <v>14</v>
      </c>
      <c r="W12" s="702">
        <f t="shared" si="2"/>
        <v>100</v>
      </c>
      <c r="X12" s="703"/>
      <c r="Y12" s="37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61"/>
      <c r="Q14" s="1343">
        <f t="shared" si="6"/>
        <v>111</v>
      </c>
      <c r="R14" s="701" t="s">
        <v>14</v>
      </c>
      <c r="S14" s="702">
        <f t="shared" si="0"/>
        <v>100</v>
      </c>
      <c r="T14" s="701" t="s">
        <v>14</v>
      </c>
      <c r="U14" s="702">
        <f t="shared" si="1"/>
        <v>100</v>
      </c>
      <c r="V14" s="701" t="s">
        <v>14</v>
      </c>
      <c r="W14" s="702">
        <f t="shared" si="2"/>
        <v>100</v>
      </c>
      <c r="X14" s="703"/>
      <c r="Y14" s="3719"/>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55"/>
      <c r="Q16" s="1352"/>
      <c r="R16" s="705"/>
      <c r="S16" s="706"/>
      <c r="T16" s="705"/>
      <c r="U16" s="706"/>
      <c r="V16" s="705"/>
      <c r="W16" s="706"/>
      <c r="X16" s="1355"/>
      <c r="Y16" s="385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55"/>
      <c r="Q18" s="1352"/>
      <c r="R18" s="705"/>
      <c r="S18" s="706"/>
      <c r="T18" s="705"/>
      <c r="U18" s="706"/>
      <c r="V18" s="705"/>
      <c r="W18" s="706"/>
      <c r="X18" s="1355"/>
      <c r="Y18" s="385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55"/>
      <c r="Q19" s="1352" t="str">
        <f t="shared" ref="Q19:Q33" si="8">B19</f>
        <v>区域土地利用方向</v>
      </c>
      <c r="R19" s="705" t="s">
        <v>14</v>
      </c>
      <c r="S19" s="706">
        <f>F19</f>
        <v>100</v>
      </c>
      <c r="T19" s="705" t="s">
        <v>14</v>
      </c>
      <c r="U19" s="706">
        <f>H19</f>
        <v>100</v>
      </c>
      <c r="V19" s="705" t="s">
        <v>14</v>
      </c>
      <c r="W19" s="706">
        <f>J19</f>
        <v>100</v>
      </c>
      <c r="X19" s="1355"/>
      <c r="Y19" s="38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55"/>
      <c r="Q20" s="1352"/>
      <c r="R20" s="705"/>
      <c r="S20" s="706"/>
      <c r="T20" s="705"/>
      <c r="U20" s="706"/>
      <c r="V20" s="705"/>
      <c r="W20" s="706"/>
      <c r="X20" s="1355"/>
      <c r="Y20" s="385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55"/>
      <c r="Q21" s="1352" t="str">
        <f t="shared" si="8"/>
        <v>环境状况</v>
      </c>
      <c r="R21" s="705" t="s">
        <v>14</v>
      </c>
      <c r="S21" s="706">
        <f>F21</f>
        <v>100</v>
      </c>
      <c r="T21" s="705" t="s">
        <v>14</v>
      </c>
      <c r="U21" s="706">
        <f>H21</f>
        <v>100</v>
      </c>
      <c r="V21" s="705" t="s">
        <v>14</v>
      </c>
      <c r="W21" s="706">
        <f>J21</f>
        <v>100</v>
      </c>
      <c r="X21" s="1355"/>
      <c r="Y21" s="38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55"/>
      <c r="Q22" s="1352"/>
      <c r="R22" s="705"/>
      <c r="S22" s="706"/>
      <c r="T22" s="705"/>
      <c r="U22" s="706"/>
      <c r="V22" s="705"/>
      <c r="W22" s="706"/>
      <c r="X22" s="1355"/>
      <c r="Y22" s="385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55"/>
      <c r="Q23" s="1343" t="str">
        <f t="shared" si="8"/>
        <v>公共配套设施</v>
      </c>
      <c r="R23" s="701" t="s">
        <v>14</v>
      </c>
      <c r="S23" s="702">
        <f>F23</f>
        <v>100</v>
      </c>
      <c r="T23" s="701" t="s">
        <v>14</v>
      </c>
      <c r="U23" s="702">
        <f>H23</f>
        <v>100</v>
      </c>
      <c r="V23" s="701" t="s">
        <v>14</v>
      </c>
      <c r="W23" s="702">
        <f>J23</f>
        <v>100</v>
      </c>
      <c r="X23" s="703"/>
      <c r="Y23" s="385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55"/>
      <c r="Q24" s="1343"/>
      <c r="R24" s="701"/>
      <c r="S24" s="702"/>
      <c r="T24" s="701"/>
      <c r="U24" s="702"/>
      <c r="V24" s="701"/>
      <c r="W24" s="702"/>
      <c r="X24" s="703"/>
      <c r="Y24" s="385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55"/>
      <c r="Q25" s="1343" t="str">
        <f t="shared" ref="Q25" si="9">B25</f>
        <v>基础设施水平</v>
      </c>
      <c r="R25" s="701" t="s">
        <v>14</v>
      </c>
      <c r="S25" s="702">
        <f>F25</f>
        <v>100</v>
      </c>
      <c r="T25" s="701" t="s">
        <v>14</v>
      </c>
      <c r="U25" s="702">
        <f>H25</f>
        <v>100</v>
      </c>
      <c r="V25" s="701" t="s">
        <v>14</v>
      </c>
      <c r="W25" s="702">
        <f>J25</f>
        <v>100</v>
      </c>
      <c r="X25" s="703"/>
      <c r="Y25" s="385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55"/>
      <c r="Q26" s="1343"/>
      <c r="R26" s="701"/>
      <c r="S26" s="702"/>
      <c r="T26" s="701"/>
      <c r="U26" s="702"/>
      <c r="V26" s="701"/>
      <c r="W26" s="702"/>
      <c r="X26" s="703"/>
      <c r="Y26" s="385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55"/>
      <c r="Q28" s="1352" t="str">
        <f t="shared" si="8"/>
        <v>毗邻道路的类型与等级</v>
      </c>
      <c r="R28" s="705" t="s">
        <v>14</v>
      </c>
      <c r="S28" s="706">
        <f t="shared" si="10"/>
        <v>100</v>
      </c>
      <c r="T28" s="705" t="s">
        <v>14</v>
      </c>
      <c r="U28" s="706">
        <f t="shared" si="11"/>
        <v>100</v>
      </c>
      <c r="V28" s="705" t="s">
        <v>14</v>
      </c>
      <c r="W28" s="706">
        <f t="shared" si="12"/>
        <v>100</v>
      </c>
      <c r="X28" s="1355"/>
      <c r="Y28" s="38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55"/>
      <c r="Q29" s="1352"/>
      <c r="R29" s="705"/>
      <c r="S29" s="706"/>
      <c r="T29" s="705"/>
      <c r="U29" s="706"/>
      <c r="V29" s="705"/>
      <c r="W29" s="706"/>
      <c r="X29" s="1355"/>
      <c r="Y29" s="385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55"/>
      <c r="Q30" s="1352" t="str">
        <f t="shared" si="8"/>
        <v>土地级别</v>
      </c>
      <c r="R30" s="705" t="s">
        <v>14</v>
      </c>
      <c r="S30" s="706">
        <f t="shared" si="10"/>
        <v>100</v>
      </c>
      <c r="T30" s="705" t="s">
        <v>14</v>
      </c>
      <c r="U30" s="706">
        <f t="shared" si="11"/>
        <v>100</v>
      </c>
      <c r="V30" s="705" t="s">
        <v>14</v>
      </c>
      <c r="W30" s="706">
        <f t="shared" si="12"/>
        <v>100</v>
      </c>
      <c r="X30" s="1355"/>
      <c r="Y30" s="385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55"/>
      <c r="Q31" s="1352">
        <f t="shared" si="8"/>
        <v>111</v>
      </c>
      <c r="R31" s="705" t="s">
        <v>14</v>
      </c>
      <c r="S31" s="706">
        <f t="shared" si="10"/>
        <v>100</v>
      </c>
      <c r="T31" s="705" t="s">
        <v>14</v>
      </c>
      <c r="U31" s="706">
        <f t="shared" si="11"/>
        <v>100</v>
      </c>
      <c r="V31" s="705" t="s">
        <v>14</v>
      </c>
      <c r="W31" s="706">
        <f t="shared" si="12"/>
        <v>100</v>
      </c>
      <c r="X31" s="1355"/>
      <c r="Y31" s="385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2" t="s">
        <v>1691</v>
      </c>
      <c r="Q32" s="1352">
        <f t="shared" si="8"/>
        <v>111</v>
      </c>
      <c r="R32" s="705" t="s">
        <v>14</v>
      </c>
      <c r="S32" s="706">
        <f t="shared" si="10"/>
        <v>100</v>
      </c>
      <c r="T32" s="705" t="s">
        <v>14</v>
      </c>
      <c r="U32" s="706">
        <f t="shared" si="11"/>
        <v>100</v>
      </c>
      <c r="V32" s="705" t="s">
        <v>14</v>
      </c>
      <c r="W32" s="706">
        <f t="shared" si="12"/>
        <v>100</v>
      </c>
      <c r="X32" s="1355"/>
      <c r="Y32" s="385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9"/>
      <c r="Q33" s="1352">
        <f t="shared" si="8"/>
        <v>111</v>
      </c>
      <c r="R33" s="708" t="s">
        <v>14</v>
      </c>
      <c r="S33" s="709">
        <f t="shared" si="10"/>
        <v>100</v>
      </c>
      <c r="T33" s="708" t="s">
        <v>14</v>
      </c>
      <c r="U33" s="709">
        <f t="shared" si="11"/>
        <v>100</v>
      </c>
      <c r="V33" s="708" t="s">
        <v>14</v>
      </c>
      <c r="W33" s="709">
        <f t="shared" si="12"/>
        <v>100</v>
      </c>
      <c r="X33" s="710"/>
      <c r="Y33" s="385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9"/>
      <c r="Q34" s="1352" t="str">
        <f>B34</f>
        <v>宗地面积</v>
      </c>
      <c r="R34" s="705" t="s">
        <v>14</v>
      </c>
      <c r="S34" s="706" t="e">
        <f t="shared" si="10"/>
        <v>#N/A</v>
      </c>
      <c r="T34" s="705" t="s">
        <v>14</v>
      </c>
      <c r="U34" s="706" t="e">
        <f t="shared" si="11"/>
        <v>#N/A</v>
      </c>
      <c r="V34" s="705" t="s">
        <v>14</v>
      </c>
      <c r="W34" s="706" t="e">
        <f t="shared" si="12"/>
        <v>#N/A</v>
      </c>
      <c r="X34" s="1355"/>
      <c r="Y34" s="385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9"/>
      <c r="Q35" s="1352" t="str">
        <f t="shared" ref="Q35:Q40" si="14">B35</f>
        <v>宗地形状</v>
      </c>
      <c r="R35" s="705" t="s">
        <v>14</v>
      </c>
      <c r="S35" s="706">
        <f t="shared" si="10"/>
        <v>100</v>
      </c>
      <c r="T35" s="705" t="s">
        <v>14</v>
      </c>
      <c r="U35" s="706">
        <f t="shared" si="11"/>
        <v>100</v>
      </c>
      <c r="V35" s="705" t="s">
        <v>14</v>
      </c>
      <c r="W35" s="706">
        <f t="shared" si="12"/>
        <v>100</v>
      </c>
      <c r="X35" s="1355"/>
      <c r="Y35" s="385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9"/>
      <c r="Q36" s="1352" t="str">
        <f t="shared" si="14"/>
        <v>宗地开发程度</v>
      </c>
      <c r="R36" s="701" t="s">
        <v>14</v>
      </c>
      <c r="S36" s="702">
        <f t="shared" si="10"/>
        <v>100</v>
      </c>
      <c r="T36" s="701" t="s">
        <v>14</v>
      </c>
      <c r="U36" s="702">
        <f t="shared" si="11"/>
        <v>100</v>
      </c>
      <c r="V36" s="701" t="s">
        <v>14</v>
      </c>
      <c r="W36" s="702">
        <f t="shared" si="12"/>
        <v>100</v>
      </c>
      <c r="X36" s="703"/>
      <c r="Y36" s="385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9" t="s">
        <v>1691</v>
      </c>
      <c r="Q37" s="1352" t="str">
        <f t="shared" si="14"/>
        <v>工程地质条件</v>
      </c>
      <c r="R37" s="705" t="s">
        <v>14</v>
      </c>
      <c r="S37" s="706">
        <f t="shared" si="10"/>
        <v>100</v>
      </c>
      <c r="T37" s="705" t="s">
        <v>14</v>
      </c>
      <c r="U37" s="706">
        <f t="shared" si="11"/>
        <v>100</v>
      </c>
      <c r="V37" s="705" t="s">
        <v>14</v>
      </c>
      <c r="W37" s="706">
        <f t="shared" si="12"/>
        <v>100</v>
      </c>
      <c r="X37" s="1355"/>
      <c r="Y37" s="385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9"/>
      <c r="Q38" s="1352">
        <f t="shared" si="14"/>
        <v>111</v>
      </c>
      <c r="R38" s="705" t="s">
        <v>14</v>
      </c>
      <c r="S38" s="706">
        <f t="shared" si="10"/>
        <v>100</v>
      </c>
      <c r="T38" s="705" t="s">
        <v>14</v>
      </c>
      <c r="U38" s="706">
        <f t="shared" si="11"/>
        <v>100</v>
      </c>
      <c r="V38" s="705" t="s">
        <v>14</v>
      </c>
      <c r="W38" s="706">
        <f t="shared" si="12"/>
        <v>100</v>
      </c>
      <c r="X38" s="1355"/>
      <c r="Y38" s="38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9"/>
      <c r="Q39" s="1352">
        <f t="shared" si="14"/>
        <v>111</v>
      </c>
      <c r="R39" s="705" t="s">
        <v>14</v>
      </c>
      <c r="S39" s="706">
        <f t="shared" si="10"/>
        <v>100</v>
      </c>
      <c r="T39" s="705" t="s">
        <v>14</v>
      </c>
      <c r="U39" s="706">
        <f t="shared" si="11"/>
        <v>100</v>
      </c>
      <c r="V39" s="705" t="s">
        <v>14</v>
      </c>
      <c r="W39" s="706">
        <f t="shared" si="12"/>
        <v>100</v>
      </c>
      <c r="X39" s="1355"/>
      <c r="Y39" s="385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9"/>
      <c r="Q40" s="1352">
        <f t="shared" si="14"/>
        <v>111</v>
      </c>
      <c r="R40" s="708" t="s">
        <v>14</v>
      </c>
      <c r="S40" s="709">
        <f t="shared" si="10"/>
        <v>100</v>
      </c>
      <c r="T40" s="708" t="s">
        <v>14</v>
      </c>
      <c r="U40" s="709">
        <f t="shared" si="11"/>
        <v>100</v>
      </c>
      <c r="V40" s="708" t="s">
        <v>14</v>
      </c>
      <c r="W40" s="709">
        <f t="shared" si="12"/>
        <v>100</v>
      </c>
      <c r="X40" s="710"/>
      <c r="Y40" s="385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61" t="str">
        <f>A41</f>
        <v>成交单价</v>
      </c>
      <c r="Q41" s="3861"/>
      <c r="R41" s="3847">
        <f>E41</f>
        <v>0</v>
      </c>
      <c r="S41" s="3847"/>
      <c r="T41" s="3847">
        <f>G41</f>
        <v>0</v>
      </c>
      <c r="U41" s="3847"/>
      <c r="V41" s="3847">
        <f>I41</f>
        <v>0</v>
      </c>
      <c r="W41" s="3847"/>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61" t="str">
        <f>A42</f>
        <v>比较价值（元/平方米）</v>
      </c>
      <c r="Q42" s="3861"/>
      <c r="R42" s="3884" t="e">
        <f>ROUND(PRODUCT(R41,AA7:AA40),0)</f>
        <v>#DIV/0!</v>
      </c>
      <c r="S42" s="3884"/>
      <c r="T42" s="3884" t="e">
        <f>ROUND(PRODUCT(T41,AB7:AB40),0)</f>
        <v>#DIV/0!</v>
      </c>
      <c r="U42" s="3884"/>
      <c r="V42" s="3884" t="e">
        <f>ROUND(PRODUCT(V41,AC7:AC40),0)</f>
        <v>#DIV/0!</v>
      </c>
      <c r="W42" s="3884"/>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63" t="str">
        <f>A43</f>
        <v>估价对象XX用房的比较价值（楼面单价，元/平方米）</v>
      </c>
      <c r="Q43" s="3864"/>
      <c r="R43" s="3885" t="e">
        <f>ROUND(IF(D42="简单平均",AVERAGE(R42:W42),R42*F42+T42*H42+V42*J42),0)</f>
        <v>#DIV/0!</v>
      </c>
      <c r="S43" s="3885"/>
      <c r="T43" s="3885"/>
      <c r="U43" s="3885"/>
      <c r="V43" s="3885"/>
      <c r="W43" s="388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2" t="s">
        <v>1879</v>
      </c>
      <c r="H50" s="3886"/>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59.2</v>
      </c>
      <c r="F51" s="639" t="e">
        <f t="shared" ref="F51:F60" si="15">ROUND(B51*E51/10000,0)</f>
        <v>#DIV/0!</v>
      </c>
      <c r="G51" s="3851"/>
      <c r="H51" s="386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4" t="s">
        <v>2076</v>
      </c>
      <c r="D1" s="3895"/>
      <c r="E1" s="3895"/>
      <c r="F1" s="3895"/>
      <c r="G1" s="3895"/>
      <c r="H1" s="3895"/>
      <c r="I1" s="3895"/>
      <c r="J1" s="3895"/>
      <c r="K1" s="3895"/>
      <c r="L1" s="3895"/>
      <c r="M1" s="3895"/>
      <c r="N1" s="3895"/>
      <c r="O1" s="3895"/>
      <c r="P1" s="3895"/>
      <c r="Q1" s="3895"/>
      <c r="R1" s="3895"/>
      <c r="S1" s="3896"/>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91" t="s">
        <v>23</v>
      </c>
      <c r="D22" s="3892"/>
      <c r="E22" s="3892"/>
      <c r="F22" s="3892"/>
      <c r="G22" s="3892"/>
      <c r="H22" s="3892"/>
      <c r="I22" s="3892"/>
      <c r="J22" s="3892"/>
      <c r="K22" s="3892"/>
      <c r="L22" s="3892"/>
      <c r="M22" s="3892"/>
      <c r="N22" s="3892"/>
      <c r="O22" s="3892"/>
      <c r="P22" s="3892"/>
      <c r="Q22" s="3893"/>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5"/>
      <c r="C2" s="3565"/>
      <c r="D2" s="3565"/>
      <c r="E2" s="3565"/>
    </row>
    <row r="3" spans="1:5" ht="18">
      <c r="A3" s="3566" t="str">
        <f>IF(项目基本情况!B9="房地产市场价值","估价结果一览表（市场价值不需“结果表-1”）","估价结果一览表")</f>
        <v>估价结果一览表（市场价值不需“结果表-1”）</v>
      </c>
      <c r="B3" s="3566"/>
      <c r="C3" s="3566"/>
      <c r="D3" s="3566"/>
      <c r="E3" s="3566"/>
    </row>
    <row r="4" spans="1:5" ht="19.5" thickBot="1">
      <c r="A4" s="1493"/>
      <c r="B4" s="3564" t="s">
        <v>913</v>
      </c>
      <c r="C4" s="3564"/>
      <c r="D4" s="3564"/>
      <c r="E4" s="1493"/>
    </row>
    <row r="5" spans="1:5" ht="16.5" thickTop="1">
      <c r="A5" s="1491"/>
      <c r="B5" s="3562" t="s">
        <v>905</v>
      </c>
      <c r="C5" s="1494" t="s">
        <v>906</v>
      </c>
      <c r="D5" s="850" t="e">
        <f ca="1">结果表!H101</f>
        <v>#REF!</v>
      </c>
      <c r="E5" s="1491"/>
    </row>
    <row r="6" spans="1:5" ht="15.75">
      <c r="A6" s="1491"/>
      <c r="B6" s="3562"/>
      <c r="C6" s="1494" t="s">
        <v>907</v>
      </c>
      <c r="D6" s="850" t="e">
        <f ca="1">NUMBERSTRING(INT(D5*10000),2)&amp;"元整"</f>
        <v>#REF!</v>
      </c>
      <c r="E6" s="1491"/>
    </row>
    <row r="7" spans="1:5" ht="15.75">
      <c r="A7" s="1491"/>
      <c r="B7" s="3567"/>
      <c r="C7" s="1495" t="s">
        <v>908</v>
      </c>
      <c r="D7" s="851" t="e">
        <f ca="1">结果表!H102</f>
        <v>#REF!</v>
      </c>
      <c r="E7" s="1491"/>
    </row>
    <row r="8" spans="1:5" ht="15.75">
      <c r="A8" s="1491"/>
      <c r="B8" s="3568" t="str">
        <f>结果表!E103</f>
        <v>2.估价师知悉的法定优先受偿款</v>
      </c>
      <c r="C8" s="1496" t="s">
        <v>909</v>
      </c>
      <c r="D8" s="851">
        <f>结果表!H103</f>
        <v>0</v>
      </c>
      <c r="E8" s="1491"/>
    </row>
    <row r="9" spans="1:5" ht="15.75">
      <c r="A9" s="1491"/>
      <c r="B9" s="3570"/>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61" t="str">
        <f>结果表!E107</f>
        <v>3.房地产抵押价值</v>
      </c>
      <c r="C13" s="1499" t="s">
        <v>906</v>
      </c>
      <c r="D13" s="853" t="e">
        <f ca="1">结果表!H107</f>
        <v>#REF!</v>
      </c>
      <c r="E13" s="1491"/>
    </row>
    <row r="14" spans="1:5" ht="15.75">
      <c r="A14" s="1491"/>
      <c r="B14" s="3562"/>
      <c r="C14" s="1494" t="s">
        <v>907</v>
      </c>
      <c r="D14" s="850" t="e">
        <f ca="1">NUMBERSTRING(INT(D13*10000),2)&amp;"元整"</f>
        <v>#REF!</v>
      </c>
      <c r="E14" s="1491"/>
    </row>
    <row r="15" spans="1:5" ht="15">
      <c r="A15" s="1491"/>
      <c r="B15" s="3567"/>
      <c r="C15" s="1495" t="s">
        <v>917</v>
      </c>
      <c r="D15" s="859" t="e">
        <f ca="1">结果表!H108</f>
        <v>#REF!</v>
      </c>
      <c r="E15" s="1491"/>
    </row>
    <row r="16" spans="1:5" ht="15">
      <c r="A16" s="1491"/>
      <c r="B16" s="3568" t="str">
        <f>结果表!E109</f>
        <v>——</v>
      </c>
      <c r="C16" s="1499" t="s">
        <v>918</v>
      </c>
      <c r="D16" s="1500" t="str">
        <f>结果表!H109</f>
        <v>——</v>
      </c>
      <c r="E16" s="1491"/>
    </row>
    <row r="17" spans="1:5" ht="15.75">
      <c r="A17" s="1491"/>
      <c r="B17" s="3569"/>
      <c r="C17" s="1494" t="s">
        <v>919</v>
      </c>
      <c r="D17" s="850" t="e">
        <f>NUMBERSTRING(INT(D16*10000),2)&amp;"元整"</f>
        <v>#VALUE!</v>
      </c>
      <c r="E17" s="1491"/>
    </row>
    <row r="18" spans="1:5" ht="15">
      <c r="A18" s="1491"/>
      <c r="B18" s="3570"/>
      <c r="C18" s="1495" t="s">
        <v>908</v>
      </c>
      <c r="D18" s="859" t="str">
        <f>结果表!H110</f>
        <v>——</v>
      </c>
      <c r="E18" s="1491"/>
    </row>
    <row r="19" spans="1:5" ht="15.75">
      <c r="A19" s="1491"/>
      <c r="B19" s="3561" t="str">
        <f>结果表!E111</f>
        <v>——</v>
      </c>
      <c r="C19" s="1499" t="s">
        <v>906</v>
      </c>
      <c r="D19" s="851" t="str">
        <f>结果表!H111</f>
        <v>——</v>
      </c>
      <c r="E19" s="1491"/>
    </row>
    <row r="20" spans="1:5" ht="15.75">
      <c r="A20" s="1491"/>
      <c r="B20" s="3562"/>
      <c r="C20" s="1494" t="s">
        <v>919</v>
      </c>
      <c r="D20" s="850" t="e">
        <f>NUMBERSTRING(INT(D19*10000),2)&amp;"元整"</f>
        <v>#VALUE!</v>
      </c>
      <c r="E20" s="1491"/>
    </row>
    <row r="21" spans="1:5" ht="15.75" thickBot="1">
      <c r="A21" s="1491"/>
      <c r="B21" s="3563"/>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904"/>
      <c r="B4" s="3905"/>
      <c r="C4" s="3905"/>
      <c r="D4" s="3906"/>
      <c r="E4" s="3906"/>
      <c r="F4" s="3906"/>
      <c r="G4" s="3906"/>
      <c r="H4" s="3906"/>
      <c r="I4" s="3906"/>
      <c r="J4" s="3907"/>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901" t="s">
        <v>1952</v>
      </c>
      <c r="X8" s="3902"/>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903"/>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90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8" t="s">
        <v>3254</v>
      </c>
      <c r="B20" s="167" t="s">
        <v>1986</v>
      </c>
      <c r="C20" s="3322" t="e">
        <f>ROUND(IF(F21="与级别开发程度一致",0,(G21-E21)/C21),0)</f>
        <v>#DIV/0!</v>
      </c>
      <c r="D20" s="3338" t="s">
        <v>1990</v>
      </c>
      <c r="E20" s="3339"/>
      <c r="F20" s="3914" t="s">
        <v>1987</v>
      </c>
      <c r="G20" s="3915"/>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9"/>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2"/>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3"/>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13"/>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10" t="s">
        <v>3294</v>
      </c>
      <c r="B103" s="3910"/>
      <c r="C103" s="3910"/>
      <c r="D103" s="3910"/>
      <c r="E103" s="3910"/>
      <c r="F103" s="3910"/>
      <c r="G103" s="3910"/>
      <c r="H103" s="3910"/>
      <c r="I103" s="3910"/>
      <c r="J103" s="3910"/>
      <c r="K103" s="3387"/>
      <c r="L103" s="3387"/>
      <c r="M103" s="3387"/>
      <c r="N103" s="3387"/>
    </row>
    <row r="104" spans="1:14">
      <c r="A104" s="3911" t="s">
        <v>3295</v>
      </c>
      <c r="B104" s="3911" t="s">
        <v>3296</v>
      </c>
      <c r="C104" s="3388" t="s">
        <v>3297</v>
      </c>
      <c r="D104" s="3389"/>
      <c r="E104" s="3389"/>
      <c r="F104" s="3389"/>
      <c r="G104" s="3389"/>
      <c r="H104" s="3389"/>
      <c r="I104" s="3389"/>
      <c r="J104" s="3390"/>
      <c r="K104" s="3391"/>
      <c r="L104" s="3391"/>
      <c r="M104" s="3391"/>
      <c r="N104" s="3391"/>
    </row>
    <row r="105" spans="1:14">
      <c r="A105" s="3911"/>
      <c r="B105" s="3911"/>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97"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8"/>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900" t="s">
        <v>3311</v>
      </c>
      <c r="B113" s="3900"/>
      <c r="C113" s="3900"/>
      <c r="D113" s="3900"/>
      <c r="E113" s="3900"/>
      <c r="F113" s="3900"/>
      <c r="G113" s="3900"/>
      <c r="H113" s="3900"/>
      <c r="I113" s="3900"/>
      <c r="J113" s="390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23" t="s">
        <v>2603</v>
      </c>
      <c r="B20" s="3916" t="s">
        <v>2624</v>
      </c>
      <c r="C20" s="3100" t="s">
        <v>2435</v>
      </c>
      <c r="D20" s="3101"/>
      <c r="E20" s="3102">
        <v>1</v>
      </c>
      <c r="F20" s="3103" t="s">
        <v>2436</v>
      </c>
      <c r="G20" s="3103"/>
    </row>
    <row r="21" spans="1:13" ht="19.5" customHeight="1">
      <c r="A21" s="3924"/>
      <c r="B21" s="3917"/>
      <c r="C21" s="3104" t="s">
        <v>2437</v>
      </c>
      <c r="D21" s="3105"/>
      <c r="E21" s="3106">
        <v>1</v>
      </c>
      <c r="F21" s="3103" t="s">
        <v>2438</v>
      </c>
      <c r="G21" s="3103"/>
    </row>
    <row r="22" spans="1:13" ht="19.5" customHeight="1">
      <c r="A22" s="3924"/>
      <c r="B22" s="3917"/>
      <c r="C22" s="3104" t="s">
        <v>2439</v>
      </c>
      <c r="D22" s="3105"/>
      <c r="E22" s="3106">
        <v>0.9</v>
      </c>
      <c r="F22" s="3103" t="s">
        <v>2440</v>
      </c>
      <c r="G22" s="3103"/>
    </row>
    <row r="23" spans="1:13" ht="19.5" customHeight="1">
      <c r="A23" s="3924"/>
      <c r="B23" s="3917"/>
      <c r="C23" s="3104" t="s">
        <v>2441</v>
      </c>
      <c r="D23" s="3105"/>
      <c r="E23" s="3106">
        <v>0.9</v>
      </c>
      <c r="F23" s="3103" t="s">
        <v>2442</v>
      </c>
      <c r="G23" s="3103"/>
    </row>
    <row r="24" spans="1:13" ht="19.5" customHeight="1">
      <c r="A24" s="3924"/>
      <c r="B24" s="3917"/>
      <c r="C24" s="3104" t="s">
        <v>2443</v>
      </c>
      <c r="D24" s="3105"/>
      <c r="E24" s="3106">
        <v>0.8</v>
      </c>
      <c r="F24" s="3103" t="s">
        <v>2444</v>
      </c>
      <c r="G24" s="3103"/>
    </row>
    <row r="25" spans="1:13" ht="19.5" customHeight="1" thickBot="1">
      <c r="A25" s="3925"/>
      <c r="B25" s="3918"/>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19" t="s">
        <v>2627</v>
      </c>
      <c r="B27" s="3916" t="s">
        <v>2608</v>
      </c>
      <c r="C27" s="3100" t="s">
        <v>2448</v>
      </c>
      <c r="D27" s="3101"/>
      <c r="E27" s="3102">
        <v>1</v>
      </c>
      <c r="F27" s="3103" t="s">
        <v>2449</v>
      </c>
      <c r="G27" s="3103"/>
    </row>
    <row r="28" spans="1:13" ht="19.5" customHeight="1">
      <c r="A28" s="3920"/>
      <c r="B28" s="3917"/>
      <c r="C28" s="3104" t="s">
        <v>2450</v>
      </c>
      <c r="D28" s="3105"/>
      <c r="E28" s="3106">
        <v>1</v>
      </c>
      <c r="F28" s="3103" t="s">
        <v>2451</v>
      </c>
      <c r="G28" s="3103"/>
    </row>
    <row r="29" spans="1:13" ht="19.5" customHeight="1">
      <c r="A29" s="3920"/>
      <c r="B29" s="3917"/>
      <c r="C29" s="3104" t="s">
        <v>2452</v>
      </c>
      <c r="D29" s="3105"/>
      <c r="E29" s="3106">
        <v>0.8</v>
      </c>
      <c r="F29" s="3103" t="s">
        <v>2453</v>
      </c>
      <c r="G29" s="3103"/>
    </row>
    <row r="30" spans="1:13" ht="19.5" customHeight="1">
      <c r="A30" s="3920"/>
      <c r="B30" s="3917"/>
      <c r="C30" s="3104" t="s">
        <v>2454</v>
      </c>
      <c r="D30" s="3105"/>
      <c r="E30" s="3106">
        <v>0.8</v>
      </c>
      <c r="F30" s="3103" t="s">
        <v>2455</v>
      </c>
      <c r="G30" s="3103"/>
    </row>
    <row r="31" spans="1:13" ht="19.5" customHeight="1">
      <c r="A31" s="3920"/>
      <c r="B31" s="3917"/>
      <c r="C31" s="3104" t="s">
        <v>2456</v>
      </c>
      <c r="D31" s="3105"/>
      <c r="E31" s="3106">
        <v>0.8</v>
      </c>
      <c r="F31" s="3103" t="s">
        <v>2457</v>
      </c>
      <c r="G31" s="3103"/>
    </row>
    <row r="32" spans="1:13" ht="19.5" customHeight="1">
      <c r="A32" s="3920"/>
      <c r="B32" s="3917"/>
      <c r="C32" s="3104" t="s">
        <v>2458</v>
      </c>
      <c r="D32" s="3105"/>
      <c r="E32" s="3106">
        <v>0.7</v>
      </c>
      <c r="F32" s="3103" t="s">
        <v>2459</v>
      </c>
      <c r="G32" s="3103"/>
    </row>
    <row r="33" spans="1:7" ht="19.5" customHeight="1">
      <c r="A33" s="3920"/>
      <c r="B33" s="3917"/>
      <c r="C33" s="3104" t="s">
        <v>2460</v>
      </c>
      <c r="D33" s="3105"/>
      <c r="E33" s="3106">
        <v>0.8</v>
      </c>
      <c r="F33" s="3103" t="s">
        <v>2461</v>
      </c>
      <c r="G33" s="3103"/>
    </row>
    <row r="34" spans="1:7" ht="19.5" customHeight="1">
      <c r="A34" s="3920"/>
      <c r="B34" s="3917"/>
      <c r="C34" s="3104" t="s">
        <v>2462</v>
      </c>
      <c r="D34" s="3105"/>
      <c r="E34" s="3106">
        <v>0.6</v>
      </c>
      <c r="F34" s="3103" t="s">
        <v>2463</v>
      </c>
      <c r="G34" s="3103"/>
    </row>
    <row r="35" spans="1:7" ht="19.5" customHeight="1">
      <c r="A35" s="3920"/>
      <c r="B35" s="3917"/>
      <c r="C35" s="3104" t="s">
        <v>2464</v>
      </c>
      <c r="D35" s="3105"/>
      <c r="E35" s="3106">
        <v>0.2</v>
      </c>
      <c r="F35" s="3103" t="s">
        <v>2465</v>
      </c>
      <c r="G35" s="3103"/>
    </row>
    <row r="36" spans="1:7" ht="19.5" customHeight="1">
      <c r="A36" s="3920"/>
      <c r="B36" s="3917"/>
      <c r="C36" s="3104" t="s">
        <v>2466</v>
      </c>
      <c r="D36" s="3105"/>
      <c r="E36" s="3106">
        <v>0.2</v>
      </c>
      <c r="F36" s="3103" t="s">
        <v>2467</v>
      </c>
      <c r="G36" s="3103"/>
    </row>
    <row r="37" spans="1:7" ht="19.5" customHeight="1">
      <c r="A37" s="3920"/>
      <c r="B37" s="3922" t="s">
        <v>2628</v>
      </c>
      <c r="C37" s="3104" t="s">
        <v>2468</v>
      </c>
      <c r="D37" s="3105"/>
      <c r="E37" s="3106">
        <v>0.6</v>
      </c>
      <c r="F37" s="3103" t="s">
        <v>2469</v>
      </c>
      <c r="G37" s="3103"/>
    </row>
    <row r="38" spans="1:7" ht="19.5" customHeight="1">
      <c r="A38" s="3920"/>
      <c r="B38" s="3917"/>
      <c r="C38" s="3104" t="s">
        <v>2470</v>
      </c>
      <c r="D38" s="3105"/>
      <c r="E38" s="3106">
        <v>0.6</v>
      </c>
      <c r="F38" s="3103" t="s">
        <v>2471</v>
      </c>
      <c r="G38" s="3103"/>
    </row>
    <row r="39" spans="1:7" ht="19.5" customHeight="1" thickBot="1">
      <c r="A39" s="3921"/>
      <c r="B39" s="3918"/>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23" t="s">
        <v>2606</v>
      </c>
      <c r="B41" s="3916" t="s">
        <v>2630</v>
      </c>
      <c r="C41" s="3100" t="s">
        <v>2475</v>
      </c>
      <c r="D41" s="3101"/>
      <c r="E41" s="3102">
        <v>1</v>
      </c>
      <c r="F41" s="3103" t="s">
        <v>2476</v>
      </c>
      <c r="G41" s="3103"/>
    </row>
    <row r="42" spans="1:7" ht="19.5" customHeight="1">
      <c r="A42" s="3924"/>
      <c r="B42" s="3917"/>
      <c r="C42" s="3104" t="s">
        <v>2477</v>
      </c>
      <c r="D42" s="3105"/>
      <c r="E42" s="3106">
        <v>1</v>
      </c>
      <c r="F42" s="3103" t="s">
        <v>2478</v>
      </c>
      <c r="G42" s="3103"/>
    </row>
    <row r="43" spans="1:7" ht="19.5" customHeight="1">
      <c r="A43" s="3924"/>
      <c r="B43" s="3926"/>
      <c r="C43" s="3104" t="s">
        <v>2479</v>
      </c>
      <c r="D43" s="3105"/>
      <c r="E43" s="3106">
        <v>1.5</v>
      </c>
      <c r="F43" s="3103" t="s">
        <v>2480</v>
      </c>
      <c r="G43" s="3103"/>
    </row>
    <row r="44" spans="1:7" ht="19.5" customHeight="1">
      <c r="A44" s="3924"/>
      <c r="B44" s="3115" t="s">
        <v>2631</v>
      </c>
      <c r="C44" s="3104" t="s">
        <v>2632</v>
      </c>
      <c r="D44" s="3105"/>
      <c r="E44" s="3106">
        <v>2</v>
      </c>
      <c r="F44" s="3103" t="s">
        <v>2481</v>
      </c>
      <c r="G44" s="3103"/>
    </row>
    <row r="45" spans="1:7" ht="19.5" customHeight="1">
      <c r="A45" s="3924"/>
      <c r="B45" s="3922" t="s">
        <v>2633</v>
      </c>
      <c r="C45" s="3104" t="s">
        <v>2482</v>
      </c>
      <c r="D45" s="3105"/>
      <c r="E45" s="3106">
        <v>1</v>
      </c>
      <c r="F45" s="3103" t="s">
        <v>2483</v>
      </c>
      <c r="G45" s="3103"/>
    </row>
    <row r="46" spans="1:7" ht="19.5" customHeight="1">
      <c r="A46" s="3924"/>
      <c r="B46" s="3917"/>
      <c r="C46" s="3104" t="s">
        <v>2484</v>
      </c>
      <c r="D46" s="3105"/>
      <c r="E46" s="3106">
        <v>1</v>
      </c>
      <c r="F46" s="3103" t="s">
        <v>2485</v>
      </c>
      <c r="G46" s="3103"/>
    </row>
    <row r="47" spans="1:7" ht="19.5" customHeight="1">
      <c r="A47" s="3924"/>
      <c r="B47" s="3917"/>
      <c r="C47" s="3104" t="s">
        <v>2486</v>
      </c>
      <c r="D47" s="3105"/>
      <c r="E47" s="3106">
        <v>1</v>
      </c>
      <c r="F47" s="3103" t="s">
        <v>2487</v>
      </c>
      <c r="G47" s="3103"/>
    </row>
    <row r="48" spans="1:7" ht="19.5" customHeight="1">
      <c r="A48" s="3924"/>
      <c r="B48" s="3917"/>
      <c r="C48" s="3104" t="s">
        <v>2488</v>
      </c>
      <c r="D48" s="3105"/>
      <c r="E48" s="3106">
        <v>1</v>
      </c>
      <c r="F48" s="3103" t="s">
        <v>2489</v>
      </c>
      <c r="G48" s="3103"/>
    </row>
    <row r="49" spans="1:7" ht="19.5" customHeight="1">
      <c r="A49" s="3924"/>
      <c r="B49" s="3917"/>
      <c r="C49" s="3104" t="s">
        <v>2490</v>
      </c>
      <c r="D49" s="3105"/>
      <c r="E49" s="3106">
        <v>1</v>
      </c>
      <c r="F49" s="3103" t="s">
        <v>2491</v>
      </c>
      <c r="G49" s="3103"/>
    </row>
    <row r="50" spans="1:7" ht="19.5" customHeight="1">
      <c r="A50" s="3924"/>
      <c r="B50" s="3917"/>
      <c r="C50" s="3104" t="s">
        <v>2492</v>
      </c>
      <c r="D50" s="3105"/>
      <c r="E50" s="3106">
        <v>1</v>
      </c>
      <c r="F50" s="3103" t="s">
        <v>2493</v>
      </c>
      <c r="G50" s="3103"/>
    </row>
    <row r="51" spans="1:7" ht="19.5" customHeight="1" thickBot="1">
      <c r="A51" s="3925"/>
      <c r="B51" s="3918"/>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22" t="s">
        <v>2647</v>
      </c>
      <c r="C73" s="3089" t="s">
        <v>2648</v>
      </c>
      <c r="D73" s="3089" t="s">
        <v>2649</v>
      </c>
      <c r="E73" s="3115">
        <v>0.2</v>
      </c>
      <c r="F73" s="3115">
        <v>25</v>
      </c>
    </row>
    <row r="74" spans="1:7" ht="24">
      <c r="A74" s="3115">
        <v>2</v>
      </c>
      <c r="B74" s="3917"/>
      <c r="C74" s="3089" t="s">
        <v>2650</v>
      </c>
      <c r="D74" s="3089" t="s">
        <v>2651</v>
      </c>
      <c r="E74" s="3115">
        <v>0.2</v>
      </c>
      <c r="F74" s="3115">
        <v>25</v>
      </c>
    </row>
    <row r="75" spans="1:7" ht="24">
      <c r="A75" s="3115">
        <v>3</v>
      </c>
      <c r="B75" s="3917"/>
      <c r="C75" s="3089" t="s">
        <v>2652</v>
      </c>
      <c r="D75" s="3089" t="s">
        <v>2653</v>
      </c>
      <c r="E75" s="3115">
        <v>0.2</v>
      </c>
      <c r="F75" s="3115">
        <v>25</v>
      </c>
    </row>
    <row r="76" spans="1:7" ht="13.5">
      <c r="A76" s="3115">
        <v>4</v>
      </c>
      <c r="B76" s="3917"/>
      <c r="C76" s="3089" t="s">
        <v>2654</v>
      </c>
      <c r="D76" s="3089" t="s">
        <v>2655</v>
      </c>
      <c r="E76" s="3115">
        <v>0.15</v>
      </c>
      <c r="F76" s="3115">
        <v>20</v>
      </c>
    </row>
    <row r="77" spans="1:7" ht="24">
      <c r="A77" s="3115">
        <v>5</v>
      </c>
      <c r="B77" s="3917"/>
      <c r="C77" s="3089" t="s">
        <v>2656</v>
      </c>
      <c r="D77" s="3089" t="s">
        <v>2657</v>
      </c>
      <c r="E77" s="3115">
        <v>0.15</v>
      </c>
      <c r="F77" s="3115">
        <v>20</v>
      </c>
    </row>
    <row r="78" spans="1:7" ht="24">
      <c r="A78" s="3115">
        <v>6</v>
      </c>
      <c r="B78" s="3917"/>
      <c r="C78" s="3089" t="s">
        <v>2658</v>
      </c>
      <c r="D78" s="3089" t="s">
        <v>2659</v>
      </c>
      <c r="E78" s="3115">
        <v>0.15</v>
      </c>
      <c r="F78" s="3115">
        <v>20</v>
      </c>
    </row>
    <row r="79" spans="1:7" ht="24">
      <c r="A79" s="3115">
        <v>7</v>
      </c>
      <c r="B79" s="3917"/>
      <c r="C79" s="3089" t="s">
        <v>2660</v>
      </c>
      <c r="D79" s="3089" t="s">
        <v>2661</v>
      </c>
      <c r="E79" s="3115">
        <v>0.15</v>
      </c>
      <c r="F79" s="3115">
        <v>20</v>
      </c>
    </row>
    <row r="80" spans="1:7" ht="24">
      <c r="A80" s="3115">
        <v>8</v>
      </c>
      <c r="B80" s="3917"/>
      <c r="C80" s="3089" t="s">
        <v>2662</v>
      </c>
      <c r="D80" s="3089" t="s">
        <v>2663</v>
      </c>
      <c r="E80" s="3115">
        <v>0.1</v>
      </c>
      <c r="F80" s="3115">
        <v>15</v>
      </c>
    </row>
    <row r="81" spans="1:6" ht="24">
      <c r="A81" s="3115">
        <v>9</v>
      </c>
      <c r="B81" s="3917"/>
      <c r="C81" s="3089" t="s">
        <v>2664</v>
      </c>
      <c r="D81" s="3089" t="s">
        <v>2665</v>
      </c>
      <c r="E81" s="3115">
        <v>0.1</v>
      </c>
      <c r="F81" s="3115">
        <v>15</v>
      </c>
    </row>
    <row r="82" spans="1:6" ht="24">
      <c r="A82" s="3115">
        <v>10</v>
      </c>
      <c r="B82" s="3917"/>
      <c r="C82" s="3089" t="s">
        <v>2666</v>
      </c>
      <c r="D82" s="3089" t="s">
        <v>2667</v>
      </c>
      <c r="E82" s="3115">
        <v>0.1</v>
      </c>
      <c r="F82" s="3115">
        <v>15</v>
      </c>
    </row>
    <row r="83" spans="1:6" ht="24">
      <c r="A83" s="3115">
        <v>11</v>
      </c>
      <c r="B83" s="3917"/>
      <c r="C83" s="3089" t="s">
        <v>2668</v>
      </c>
      <c r="D83" s="3089" t="s">
        <v>2669</v>
      </c>
      <c r="E83" s="3115">
        <v>0.1</v>
      </c>
      <c r="F83" s="3115">
        <v>15</v>
      </c>
    </row>
    <row r="84" spans="1:6" ht="24">
      <c r="A84" s="3115">
        <v>12</v>
      </c>
      <c r="B84" s="3917"/>
      <c r="C84" s="3089" t="s">
        <v>2670</v>
      </c>
      <c r="D84" s="3089" t="s">
        <v>2671</v>
      </c>
      <c r="E84" s="3115">
        <v>0.1</v>
      </c>
      <c r="F84" s="3115">
        <v>15</v>
      </c>
    </row>
    <row r="85" spans="1:6" ht="13.5">
      <c r="A85" s="3115">
        <v>13</v>
      </c>
      <c r="B85" s="3917"/>
      <c r="C85" s="3089" t="s">
        <v>2672</v>
      </c>
      <c r="D85" s="3089" t="s">
        <v>2673</v>
      </c>
      <c r="E85" s="3115">
        <v>0.1</v>
      </c>
      <c r="F85" s="3115">
        <v>15</v>
      </c>
    </row>
    <row r="86" spans="1:6" ht="13.5">
      <c r="A86" s="3115">
        <v>14</v>
      </c>
      <c r="B86" s="3917"/>
      <c r="C86" s="3089" t="s">
        <v>2674</v>
      </c>
      <c r="D86" s="3089" t="s">
        <v>2675</v>
      </c>
      <c r="E86" s="3115">
        <v>0.1</v>
      </c>
      <c r="F86" s="3115">
        <v>15</v>
      </c>
    </row>
    <row r="87" spans="1:6" ht="13.5">
      <c r="A87" s="3115">
        <v>15</v>
      </c>
      <c r="B87" s="3917"/>
      <c r="C87" s="3089" t="s">
        <v>2676</v>
      </c>
      <c r="D87" s="3089" t="s">
        <v>2677</v>
      </c>
      <c r="E87" s="3115">
        <v>0.1</v>
      </c>
      <c r="F87" s="3115">
        <v>15</v>
      </c>
    </row>
    <row r="88" spans="1:6" ht="24">
      <c r="A88" s="3115">
        <v>16</v>
      </c>
      <c r="B88" s="3917"/>
      <c r="C88" s="3089" t="s">
        <v>2678</v>
      </c>
      <c r="D88" s="3089" t="s">
        <v>2679</v>
      </c>
      <c r="E88" s="3115">
        <v>0.1</v>
      </c>
      <c r="F88" s="3115">
        <v>15</v>
      </c>
    </row>
    <row r="89" spans="1:6" ht="24">
      <c r="A89" s="3115">
        <v>17</v>
      </c>
      <c r="B89" s="3926"/>
      <c r="C89" s="3089" t="s">
        <v>2680</v>
      </c>
      <c r="D89" s="3089" t="s">
        <v>2681</v>
      </c>
      <c r="E89" s="3115">
        <v>0.1</v>
      </c>
      <c r="F89" s="3115">
        <v>15</v>
      </c>
    </row>
    <row r="90" spans="1:6" ht="13.5">
      <c r="A90" s="3115">
        <v>18</v>
      </c>
      <c r="B90" s="3922" t="s">
        <v>2682</v>
      </c>
      <c r="C90" s="3089" t="s">
        <v>2683</v>
      </c>
      <c r="D90" s="3089" t="s">
        <v>2684</v>
      </c>
      <c r="E90" s="3115">
        <v>0.2</v>
      </c>
      <c r="F90" s="3115">
        <v>25</v>
      </c>
    </row>
    <row r="91" spans="1:6" ht="24">
      <c r="A91" s="3115">
        <v>19</v>
      </c>
      <c r="B91" s="3917"/>
      <c r="C91" s="3089" t="s">
        <v>2685</v>
      </c>
      <c r="D91" s="3089" t="s">
        <v>2686</v>
      </c>
      <c r="E91" s="3115">
        <v>0.2</v>
      </c>
      <c r="F91" s="3115">
        <v>25</v>
      </c>
    </row>
    <row r="92" spans="1:6" ht="13.5">
      <c r="A92" s="3115">
        <v>20</v>
      </c>
      <c r="B92" s="3917"/>
      <c r="C92" s="3089" t="s">
        <v>2687</v>
      </c>
      <c r="D92" s="3089" t="s">
        <v>2688</v>
      </c>
      <c r="E92" s="3115">
        <v>0.15</v>
      </c>
      <c r="F92" s="3115">
        <v>20</v>
      </c>
    </row>
    <row r="93" spans="1:6" ht="13.5">
      <c r="A93" s="3115">
        <v>21</v>
      </c>
      <c r="B93" s="3917"/>
      <c r="C93" s="3089" t="s">
        <v>2689</v>
      </c>
      <c r="D93" s="3089" t="s">
        <v>2690</v>
      </c>
      <c r="E93" s="3115">
        <v>0.15</v>
      </c>
      <c r="F93" s="3115">
        <v>20</v>
      </c>
    </row>
    <row r="94" spans="1:6" ht="13.5">
      <c r="A94" s="3115">
        <v>22</v>
      </c>
      <c r="B94" s="3917"/>
      <c r="C94" s="3089" t="s">
        <v>2691</v>
      </c>
      <c r="D94" s="3089" t="s">
        <v>2692</v>
      </c>
      <c r="E94" s="3115">
        <v>0.15</v>
      </c>
      <c r="F94" s="3115">
        <v>20</v>
      </c>
    </row>
    <row r="95" spans="1:6" ht="36">
      <c r="A95" s="3115">
        <v>23</v>
      </c>
      <c r="B95" s="3917"/>
      <c r="C95" s="3089" t="s">
        <v>2693</v>
      </c>
      <c r="D95" s="3089" t="s">
        <v>2694</v>
      </c>
      <c r="E95" s="3115">
        <v>0.15</v>
      </c>
      <c r="F95" s="3115">
        <v>20</v>
      </c>
    </row>
    <row r="96" spans="1:6" ht="13.5">
      <c r="A96" s="3115">
        <v>24</v>
      </c>
      <c r="B96" s="3917"/>
      <c r="C96" s="3089" t="s">
        <v>2695</v>
      </c>
      <c r="D96" s="3089" t="s">
        <v>2696</v>
      </c>
      <c r="E96" s="3115">
        <v>0.1</v>
      </c>
      <c r="F96" s="3115">
        <v>15</v>
      </c>
    </row>
    <row r="97" spans="1:6" ht="13.5">
      <c r="A97" s="3115">
        <v>25</v>
      </c>
      <c r="B97" s="3917"/>
      <c r="C97" s="3089" t="s">
        <v>2697</v>
      </c>
      <c r="D97" s="3089" t="s">
        <v>2698</v>
      </c>
      <c r="E97" s="3115">
        <v>0.1</v>
      </c>
      <c r="F97" s="3115">
        <v>15</v>
      </c>
    </row>
    <row r="98" spans="1:6" ht="24">
      <c r="A98" s="3115">
        <v>26</v>
      </c>
      <c r="B98" s="3917"/>
      <c r="C98" s="3089" t="s">
        <v>2699</v>
      </c>
      <c r="D98" s="3089" t="s">
        <v>2700</v>
      </c>
      <c r="E98" s="3115">
        <v>0.1</v>
      </c>
      <c r="F98" s="3115">
        <v>15</v>
      </c>
    </row>
    <row r="99" spans="1:6" ht="24">
      <c r="A99" s="3115">
        <v>27</v>
      </c>
      <c r="B99" s="3917"/>
      <c r="C99" s="3089" t="s">
        <v>2701</v>
      </c>
      <c r="D99" s="3089" t="s">
        <v>2702</v>
      </c>
      <c r="E99" s="3115">
        <v>0.1</v>
      </c>
      <c r="F99" s="3115">
        <v>15</v>
      </c>
    </row>
    <row r="100" spans="1:6" ht="13.5">
      <c r="A100" s="3115">
        <v>28</v>
      </c>
      <c r="B100" s="3917"/>
      <c r="C100" s="3089" t="s">
        <v>2703</v>
      </c>
      <c r="D100" s="3089" t="s">
        <v>2704</v>
      </c>
      <c r="E100" s="3115">
        <v>0.1</v>
      </c>
      <c r="F100" s="3115">
        <v>15</v>
      </c>
    </row>
    <row r="101" spans="1:6" ht="13.5">
      <c r="A101" s="3115">
        <v>29</v>
      </c>
      <c r="B101" s="3917"/>
      <c r="C101" s="3089" t="s">
        <v>2705</v>
      </c>
      <c r="D101" s="3089" t="s">
        <v>2706</v>
      </c>
      <c r="E101" s="3115">
        <v>0.1</v>
      </c>
      <c r="F101" s="3115">
        <v>15</v>
      </c>
    </row>
    <row r="102" spans="1:6" ht="13.5">
      <c r="A102" s="3115">
        <v>30</v>
      </c>
      <c r="B102" s="3917"/>
      <c r="C102" s="3089" t="s">
        <v>2707</v>
      </c>
      <c r="D102" s="3089" t="s">
        <v>2708</v>
      </c>
      <c r="E102" s="3115">
        <v>0.1</v>
      </c>
      <c r="F102" s="3115">
        <v>15</v>
      </c>
    </row>
    <row r="103" spans="1:6" ht="24">
      <c r="A103" s="3115">
        <v>31</v>
      </c>
      <c r="B103" s="3917"/>
      <c r="C103" s="3089" t="s">
        <v>2709</v>
      </c>
      <c r="D103" s="3089" t="s">
        <v>2710</v>
      </c>
      <c r="E103" s="3115">
        <v>0.1</v>
      </c>
      <c r="F103" s="3115">
        <v>15</v>
      </c>
    </row>
    <row r="104" spans="1:6" ht="24">
      <c r="A104" s="3115">
        <v>32</v>
      </c>
      <c r="B104" s="3917"/>
      <c r="C104" s="3089" t="s">
        <v>2711</v>
      </c>
      <c r="D104" s="3089" t="s">
        <v>2712</v>
      </c>
      <c r="E104" s="3115">
        <v>0.1</v>
      </c>
      <c r="F104" s="3115">
        <v>15</v>
      </c>
    </row>
    <row r="105" spans="1:6" ht="24">
      <c r="A105" s="3115">
        <v>33</v>
      </c>
      <c r="B105" s="3917"/>
      <c r="C105" s="3089" t="s">
        <v>2713</v>
      </c>
      <c r="D105" s="3089" t="s">
        <v>2714</v>
      </c>
      <c r="E105" s="3115">
        <v>0.1</v>
      </c>
      <c r="F105" s="3115">
        <v>15</v>
      </c>
    </row>
    <row r="106" spans="1:6" ht="24">
      <c r="A106" s="3115">
        <v>34</v>
      </c>
      <c r="B106" s="3926"/>
      <c r="C106" s="3089" t="s">
        <v>2715</v>
      </c>
      <c r="D106" s="3089" t="s">
        <v>2716</v>
      </c>
      <c r="E106" s="3115">
        <v>0.1</v>
      </c>
      <c r="F106" s="3115">
        <v>15</v>
      </c>
    </row>
    <row r="107" spans="1:6" ht="24">
      <c r="A107" s="3115">
        <v>35</v>
      </c>
      <c r="B107" s="3922" t="s">
        <v>2717</v>
      </c>
      <c r="C107" s="3115" t="s">
        <v>2718</v>
      </c>
      <c r="D107" s="3089" t="s">
        <v>2719</v>
      </c>
      <c r="E107" s="3115">
        <v>0.15</v>
      </c>
      <c r="F107" s="3115">
        <v>20</v>
      </c>
    </row>
    <row r="108" spans="1:6" ht="13.5">
      <c r="A108" s="3115">
        <v>36</v>
      </c>
      <c r="B108" s="3917"/>
      <c r="C108" s="3115" t="s">
        <v>2720</v>
      </c>
      <c r="D108" s="3089" t="s">
        <v>2721</v>
      </c>
      <c r="E108" s="3115">
        <v>0.15</v>
      </c>
      <c r="F108" s="3115">
        <v>20</v>
      </c>
    </row>
    <row r="109" spans="1:6" ht="13.5">
      <c r="A109" s="3115">
        <v>37</v>
      </c>
      <c r="B109" s="3917"/>
      <c r="C109" s="3115" t="s">
        <v>2722</v>
      </c>
      <c r="D109" s="3089" t="s">
        <v>2723</v>
      </c>
      <c r="E109" s="3115">
        <v>0.15</v>
      </c>
      <c r="F109" s="3115">
        <v>20</v>
      </c>
    </row>
    <row r="110" spans="1:6" ht="13.5">
      <c r="A110" s="3115">
        <v>38</v>
      </c>
      <c r="B110" s="3917"/>
      <c r="C110" s="3115" t="s">
        <v>2724</v>
      </c>
      <c r="D110" s="3089" t="s">
        <v>2725</v>
      </c>
      <c r="E110" s="3115">
        <v>0.1</v>
      </c>
      <c r="F110" s="3115">
        <v>15</v>
      </c>
    </row>
    <row r="111" spans="1:6" ht="24">
      <c r="A111" s="3115">
        <v>39</v>
      </c>
      <c r="B111" s="3917"/>
      <c r="C111" s="3115" t="s">
        <v>2726</v>
      </c>
      <c r="D111" s="3089" t="s">
        <v>2727</v>
      </c>
      <c r="E111" s="3115">
        <v>0.1</v>
      </c>
      <c r="F111" s="3115">
        <v>15</v>
      </c>
    </row>
    <row r="112" spans="1:6" ht="24">
      <c r="A112" s="3115">
        <v>40</v>
      </c>
      <c r="B112" s="3926"/>
      <c r="C112" s="3115" t="s">
        <v>2728</v>
      </c>
      <c r="D112" s="3089" t="s">
        <v>2729</v>
      </c>
      <c r="E112" s="3115">
        <v>0.1</v>
      </c>
      <c r="F112" s="3115">
        <v>15</v>
      </c>
    </row>
    <row r="113" spans="1:6" ht="13.5">
      <c r="A113" s="3115">
        <v>41</v>
      </c>
      <c r="B113" s="3927" t="s">
        <v>2730</v>
      </c>
      <c r="C113" s="3115" t="s">
        <v>2731</v>
      </c>
      <c r="D113" s="3089" t="s">
        <v>2732</v>
      </c>
      <c r="E113" s="3115">
        <v>0.1</v>
      </c>
      <c r="F113" s="3115">
        <v>15</v>
      </c>
    </row>
    <row r="114" spans="1:6" ht="13.5">
      <c r="A114" s="3115">
        <v>42</v>
      </c>
      <c r="B114" s="3927"/>
      <c r="C114" s="3115" t="s">
        <v>2733</v>
      </c>
      <c r="D114" s="3089" t="s">
        <v>2734</v>
      </c>
      <c r="E114" s="3115">
        <v>0.1</v>
      </c>
      <c r="F114" s="3115">
        <v>15</v>
      </c>
    </row>
    <row r="115" spans="1:6" ht="24">
      <c r="A115" s="3115">
        <v>43</v>
      </c>
      <c r="B115" s="3927"/>
      <c r="C115" s="3115" t="s">
        <v>2735</v>
      </c>
      <c r="D115" s="3089" t="s">
        <v>2736</v>
      </c>
      <c r="E115" s="3115">
        <v>0.1</v>
      </c>
      <c r="F115" s="3115">
        <v>15</v>
      </c>
    </row>
    <row r="116" spans="1:6" ht="13.5">
      <c r="A116" s="3115">
        <v>44</v>
      </c>
      <c r="B116" s="3922" t="s">
        <v>2737</v>
      </c>
      <c r="C116" s="3115" t="s">
        <v>2738</v>
      </c>
      <c r="D116" s="3089" t="s">
        <v>2739</v>
      </c>
      <c r="E116" s="3115">
        <v>0.1</v>
      </c>
      <c r="F116" s="3115">
        <v>15</v>
      </c>
    </row>
    <row r="117" spans="1:6" ht="24">
      <c r="A117" s="3115">
        <v>45</v>
      </c>
      <c r="B117" s="3926"/>
      <c r="C117" s="3089" t="s">
        <v>2740</v>
      </c>
      <c r="D117" s="3089" t="s">
        <v>2741</v>
      </c>
      <c r="E117" s="3115">
        <v>0.1</v>
      </c>
      <c r="F117" s="3115">
        <v>15</v>
      </c>
    </row>
    <row r="118" spans="1:6" ht="24">
      <c r="A118" s="3115">
        <v>46</v>
      </c>
      <c r="B118" s="3922" t="s">
        <v>2742</v>
      </c>
      <c r="C118" s="3115" t="s">
        <v>2743</v>
      </c>
      <c r="D118" s="3089" t="s">
        <v>2744</v>
      </c>
      <c r="E118" s="3115">
        <v>0.1</v>
      </c>
      <c r="F118" s="3115">
        <v>15</v>
      </c>
    </row>
    <row r="119" spans="1:6" ht="24">
      <c r="A119" s="3115">
        <v>47</v>
      </c>
      <c r="B119" s="3926"/>
      <c r="C119" s="3115" t="s">
        <v>2745</v>
      </c>
      <c r="D119" s="3089" t="s">
        <v>2746</v>
      </c>
      <c r="E119" s="3115">
        <v>0.1</v>
      </c>
      <c r="F119" s="3115">
        <v>15</v>
      </c>
    </row>
    <row r="120" spans="1:6" ht="13.5">
      <c r="A120" s="3115">
        <v>48</v>
      </c>
      <c r="B120" s="3922" t="s">
        <v>2747</v>
      </c>
      <c r="C120" s="3115" t="s">
        <v>2748</v>
      </c>
      <c r="D120" s="3089" t="s">
        <v>2749</v>
      </c>
      <c r="E120" s="3115">
        <v>0.1</v>
      </c>
      <c r="F120" s="3115">
        <v>15</v>
      </c>
    </row>
    <row r="121" spans="1:6" ht="13.5">
      <c r="A121" s="3115">
        <v>49</v>
      </c>
      <c r="B121" s="3926"/>
      <c r="C121" s="3115" t="s">
        <v>2750</v>
      </c>
      <c r="D121" s="3089" t="s">
        <v>2751</v>
      </c>
      <c r="E121" s="3115">
        <v>0.1</v>
      </c>
      <c r="F121" s="3115">
        <v>15</v>
      </c>
    </row>
    <row r="122" spans="1:6" ht="24">
      <c r="A122" s="3115">
        <v>50</v>
      </c>
      <c r="B122" s="3927" t="s">
        <v>2752</v>
      </c>
      <c r="C122" s="3115" t="s">
        <v>2753</v>
      </c>
      <c r="D122" s="3089" t="s">
        <v>2754</v>
      </c>
      <c r="E122" s="3115">
        <v>0.1</v>
      </c>
      <c r="F122" s="3115">
        <v>15</v>
      </c>
    </row>
    <row r="123" spans="1:6" ht="24">
      <c r="A123" s="3115">
        <v>51</v>
      </c>
      <c r="B123" s="3927"/>
      <c r="C123" s="3115" t="s">
        <v>2755</v>
      </c>
      <c r="D123" s="3089" t="s">
        <v>2756</v>
      </c>
      <c r="E123" s="3115">
        <v>0.1</v>
      </c>
      <c r="F123" s="3115">
        <v>15</v>
      </c>
    </row>
    <row r="124" spans="1:6" ht="24">
      <c r="A124" s="3115">
        <v>52</v>
      </c>
      <c r="B124" s="3927" t="s">
        <v>2757</v>
      </c>
      <c r="C124" s="3115" t="s">
        <v>2758</v>
      </c>
      <c r="D124" s="3089" t="s">
        <v>2759</v>
      </c>
      <c r="E124" s="3115">
        <v>0.1</v>
      </c>
      <c r="F124" s="3115">
        <v>15</v>
      </c>
    </row>
    <row r="125" spans="1:6" ht="24">
      <c r="A125" s="3115">
        <v>53</v>
      </c>
      <c r="B125" s="3927"/>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27" t="s">
        <v>2765</v>
      </c>
      <c r="C127" s="3115" t="s">
        <v>2766</v>
      </c>
      <c r="D127" s="3089" t="s">
        <v>2767</v>
      </c>
      <c r="E127" s="3115">
        <v>0.1</v>
      </c>
      <c r="F127" s="3115">
        <v>15</v>
      </c>
    </row>
    <row r="128" spans="1:6" ht="13.5">
      <c r="A128" s="3115">
        <v>56</v>
      </c>
      <c r="B128" s="3927"/>
      <c r="C128" s="3115" t="s">
        <v>2768</v>
      </c>
      <c r="D128" s="3089" t="s">
        <v>2769</v>
      </c>
      <c r="E128" s="3115">
        <v>0.1</v>
      </c>
      <c r="F128" s="3115">
        <v>15</v>
      </c>
    </row>
    <row r="129" spans="1:6" ht="24">
      <c r="A129" s="3115">
        <v>57</v>
      </c>
      <c r="B129" s="3927"/>
      <c r="C129" s="3115" t="s">
        <v>2770</v>
      </c>
      <c r="D129" s="3089" t="s">
        <v>2771</v>
      </c>
      <c r="E129" s="3115">
        <v>0.1</v>
      </c>
      <c r="F129" s="3115">
        <v>15</v>
      </c>
    </row>
    <row r="130" spans="1:6" ht="24">
      <c r="A130" s="3115">
        <v>58</v>
      </c>
      <c r="B130" s="3927" t="s">
        <v>2772</v>
      </c>
      <c r="C130" s="3115" t="s">
        <v>2773</v>
      </c>
      <c r="D130" s="3089" t="s">
        <v>2774</v>
      </c>
      <c r="E130" s="3115">
        <v>0.1</v>
      </c>
      <c r="F130" s="3115">
        <v>15</v>
      </c>
    </row>
    <row r="131" spans="1:6" ht="13.5">
      <c r="A131" s="3115">
        <v>59</v>
      </c>
      <c r="B131" s="3927"/>
      <c r="C131" s="3115" t="s">
        <v>2775</v>
      </c>
      <c r="D131" s="3089" t="s">
        <v>2776</v>
      </c>
      <c r="E131" s="3115">
        <v>0.1</v>
      </c>
      <c r="F131" s="3115">
        <v>15</v>
      </c>
    </row>
    <row r="132" spans="1:6" ht="13.5">
      <c r="A132" s="3115">
        <v>60</v>
      </c>
      <c r="B132" s="3922" t="s">
        <v>2777</v>
      </c>
      <c r="C132" s="3115" t="s">
        <v>2778</v>
      </c>
      <c r="D132" s="3089" t="s">
        <v>2779</v>
      </c>
      <c r="E132" s="3115">
        <v>0.1</v>
      </c>
      <c r="F132" s="3115">
        <v>15</v>
      </c>
    </row>
    <row r="133" spans="1:6" ht="13.5">
      <c r="A133" s="3115">
        <v>61</v>
      </c>
      <c r="B133" s="3926"/>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27" t="s">
        <v>2785</v>
      </c>
      <c r="C135" s="3115" t="s">
        <v>2786</v>
      </c>
      <c r="D135" s="3089" t="s">
        <v>2787</v>
      </c>
      <c r="E135" s="3115">
        <v>0.1</v>
      </c>
      <c r="F135" s="3115">
        <v>15</v>
      </c>
    </row>
    <row r="136" spans="1:6" ht="13.5">
      <c r="A136" s="3115">
        <v>64</v>
      </c>
      <c r="B136" s="3927"/>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59.2</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59.2</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1</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1</v>
      </c>
      <c r="D37" s="217">
        <f>'数据-汇总表'!E3</f>
        <v>59.2</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43" t="s">
        <v>90</v>
      </c>
    </row>
    <row r="43" spans="1:7" ht="13.5" customHeight="1">
      <c r="A43" s="780" t="s">
        <v>343</v>
      </c>
      <c r="B43" s="215" t="s">
        <v>422</v>
      </c>
      <c r="C43" s="238">
        <f ca="1">ROUND(IF('数据-取费表'!B22&lt;=1,C39*F22*'数据-取费表'!B21/2,C39*(POWER((1+F22),'数据-取费表'!B21/2)-1)),0)</f>
        <v>0</v>
      </c>
      <c r="D43" s="238"/>
      <c r="E43" s="238"/>
      <c r="F43" s="239"/>
      <c r="G43" s="3744"/>
    </row>
    <row r="44" spans="1:7" ht="13.5" customHeight="1">
      <c r="A44" s="780" t="s">
        <v>344</v>
      </c>
      <c r="B44" s="215" t="s">
        <v>424</v>
      </c>
      <c r="C44" s="238">
        <f ca="1">ROUND(IF('数据-取费表'!B22&lt;=1,C40*F22*'数据-取费表'!B21/2,C40*(POWER((1+F22),'数据-取费表'!B21/2)-1)),4)</f>
        <v>6.9999999999999999E-4</v>
      </c>
      <c r="D44" s="238"/>
      <c r="E44" s="238"/>
      <c r="F44" s="239"/>
      <c r="G44" s="3745"/>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30" t="s">
        <v>2839</v>
      </c>
      <c r="B1" s="3930"/>
      <c r="C1" s="3930"/>
      <c r="D1" s="3930"/>
      <c r="E1" s="3930"/>
      <c r="F1" s="3930"/>
      <c r="G1" s="3931"/>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8"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9"/>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32" t="s">
        <v>3181</v>
      </c>
      <c r="B1" s="3932"/>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933" t="s">
        <v>3232</v>
      </c>
      <c r="B1" s="3933"/>
      <c r="C1" s="3933"/>
      <c r="D1" s="3933"/>
      <c r="E1" s="3933"/>
      <c r="F1" s="3934"/>
    </row>
    <row r="2" spans="1:6">
      <c r="A2" s="3288" t="s">
        <v>3233</v>
      </c>
      <c r="B2" s="3289"/>
      <c r="C2" s="3289"/>
      <c r="D2" s="3289"/>
      <c r="E2" s="3289"/>
      <c r="F2" s="3289"/>
    </row>
    <row r="3" spans="1:6">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44977</v>
      </c>
      <c r="B1" s="3207" t="s">
        <v>2838</v>
      </c>
      <c r="C1" s="3208"/>
      <c r="D1" s="3208"/>
      <c r="E1" s="3208"/>
      <c r="F1" s="3208"/>
      <c r="G1" s="3208"/>
      <c r="H1" s="3208"/>
      <c r="I1" s="3208"/>
      <c r="J1" s="3162"/>
      <c r="K1" s="3208" t="s">
        <v>450</v>
      </c>
      <c r="L1" s="3208"/>
      <c r="M1" s="3208"/>
      <c r="N1" s="3208"/>
      <c r="O1" s="3208"/>
      <c r="P1" s="3208"/>
      <c r="Q1" s="3162"/>
      <c r="R1" s="3935" t="s">
        <v>452</v>
      </c>
      <c r="S1" s="3936"/>
      <c r="T1" s="3936"/>
      <c r="U1" s="3936"/>
      <c r="V1" s="3936"/>
      <c r="W1" s="3936"/>
      <c r="X1" s="3162"/>
      <c r="Y1" s="3935" t="s">
        <v>453</v>
      </c>
      <c r="Z1" s="3936"/>
      <c r="AA1" s="3936"/>
      <c r="AB1" s="3936"/>
      <c r="AC1" s="3936"/>
      <c r="AD1" s="3936"/>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35" t="s">
        <v>2826</v>
      </c>
      <c r="S21" s="3936"/>
      <c r="T21" s="3936"/>
      <c r="U21" s="3936"/>
      <c r="V21" s="3936"/>
      <c r="W21" s="3936"/>
      <c r="X21" s="3162"/>
      <c r="Y21" s="3935" t="s">
        <v>2827</v>
      </c>
      <c r="Z21" s="3936"/>
      <c r="AA21" s="3936"/>
      <c r="AB21" s="3936"/>
      <c r="AC21" s="3936"/>
      <c r="AD21" s="3936"/>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2" t="s">
        <v>448</v>
      </c>
      <c r="C1" s="3942"/>
      <c r="D1" s="3942"/>
      <c r="E1" s="3942"/>
      <c r="F1" s="3942"/>
      <c r="G1" s="3938" t="s">
        <v>449</v>
      </c>
      <c r="H1" s="3938"/>
      <c r="I1" s="3938"/>
      <c r="J1" s="3938"/>
      <c r="K1" s="3938"/>
      <c r="L1" s="3938"/>
      <c r="N1" s="3938" t="s">
        <v>450</v>
      </c>
      <c r="O1" s="3938"/>
      <c r="P1" s="3938"/>
      <c r="Q1" s="3938"/>
      <c r="S1" s="3938" t="s">
        <v>451</v>
      </c>
      <c r="T1" s="3938"/>
      <c r="U1" s="3938"/>
      <c r="V1" s="3938"/>
      <c r="X1" s="3937" t="s">
        <v>452</v>
      </c>
      <c r="Y1" s="3938"/>
      <c r="Z1" s="3938"/>
      <c r="AA1" s="3938"/>
      <c r="AB1" s="3938"/>
      <c r="AD1" s="3937" t="s">
        <v>453</v>
      </c>
      <c r="AE1" s="3938"/>
      <c r="AF1" s="3938"/>
      <c r="AG1" s="3938"/>
      <c r="AH1" s="3938"/>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4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4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4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4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4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4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4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4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4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4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4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4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4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4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4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4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4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4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4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4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4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4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4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4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4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4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4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4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4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4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4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4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4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4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4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4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4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4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4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4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4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9">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40">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40">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41">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9">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40">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40">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4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1" t="str">
        <f>IF(项目基本情况!B9="房地产市场价值","估价结果一览表","结果表-2")</f>
        <v>估价结果一览表</v>
      </c>
      <c r="B1" s="3571"/>
      <c r="C1" s="3571"/>
      <c r="D1" s="3571"/>
      <c r="E1" s="3571"/>
      <c r="F1" s="3571"/>
      <c r="G1" s="3571"/>
      <c r="H1" s="3571"/>
      <c r="I1" s="3571"/>
    </row>
    <row r="2" spans="1:9" ht="30" customHeight="1" thickTop="1">
      <c r="A2" s="3572" t="s">
        <v>924</v>
      </c>
      <c r="B2" s="3572" t="s">
        <v>925</v>
      </c>
      <c r="C2" s="3572" t="s">
        <v>926</v>
      </c>
      <c r="D2" s="3572" t="str">
        <f>结果表!D116</f>
        <v>出让国有建设用地使用权价值</v>
      </c>
      <c r="E2" s="3572"/>
      <c r="F2" s="3572" t="str">
        <f>结果表!F116</f>
        <v>在建建筑物价值</v>
      </c>
      <c r="G2" s="3572"/>
      <c r="H2" s="3572" t="str">
        <f>IF(项目基本情况!B9="房地产市场价值","房地产市场价值","房地产价值")</f>
        <v>房地产市场价值</v>
      </c>
      <c r="I2" s="3572"/>
    </row>
    <row r="3" spans="1:9" ht="15">
      <c r="A3" s="3573"/>
      <c r="B3" s="3573"/>
      <c r="C3" s="3573"/>
      <c r="D3" s="854" t="s">
        <v>921</v>
      </c>
      <c r="E3" s="854" t="s">
        <v>927</v>
      </c>
      <c r="F3" s="854" t="s">
        <v>921</v>
      </c>
      <c r="G3" s="854" t="s">
        <v>922</v>
      </c>
      <c r="H3" s="854" t="s">
        <v>921</v>
      </c>
      <c r="I3" s="854" t="s">
        <v>922</v>
      </c>
    </row>
    <row r="4" spans="1:9" ht="15">
      <c r="A4" s="1505" t="str">
        <f>项目基本情况!S2</f>
        <v>北京市房地产</v>
      </c>
      <c r="B4" s="854">
        <f>项目基本情况!C17</f>
        <v>59.2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3" t="s">
        <v>923</v>
      </c>
      <c r="B5" s="3573"/>
      <c r="C5" s="3573"/>
      <c r="D5" s="3573" t="e">
        <f ca="1">结果表!D119</f>
        <v>#REF!</v>
      </c>
      <c r="E5" s="3573"/>
      <c r="F5" s="3573" t="e">
        <f ca="1">结果表!F119</f>
        <v>#REF!</v>
      </c>
      <c r="G5" s="3573"/>
      <c r="H5" s="3573" t="e">
        <f ca="1">结果表!H119</f>
        <v>#REF!</v>
      </c>
      <c r="I5" s="3573"/>
    </row>
    <row r="6" spans="1:9" ht="15.75">
      <c r="A6" s="3574" t="str">
        <f>结果表!A120</f>
        <v/>
      </c>
      <c r="B6" s="3574"/>
      <c r="C6" s="3574"/>
      <c r="D6" s="3574">
        <f>结果表!D120</f>
        <v>0</v>
      </c>
      <c r="E6" s="3574"/>
      <c r="F6" s="3574"/>
      <c r="G6" s="3574"/>
      <c r="H6" s="3574"/>
      <c r="I6" s="3574"/>
    </row>
    <row r="7" spans="1:9" ht="15">
      <c r="A7" s="3573" t="s">
        <v>923</v>
      </c>
      <c r="B7" s="3573"/>
      <c r="C7" s="3573"/>
      <c r="D7" s="3575" t="str">
        <f>结果表!D121</f>
        <v>零元整</v>
      </c>
      <c r="E7" s="3576"/>
      <c r="F7" s="3576"/>
      <c r="G7" s="3576"/>
      <c r="H7" s="3576"/>
      <c r="I7" s="3577"/>
    </row>
    <row r="8" spans="1:9" ht="15.75">
      <c r="A8" s="3574" t="str">
        <f>结果表!A122</f>
        <v/>
      </c>
      <c r="B8" s="3574"/>
      <c r="C8" s="3574"/>
      <c r="D8" s="3574" t="e">
        <f ca="1">结果表!D122</f>
        <v>#REF!</v>
      </c>
      <c r="E8" s="3574"/>
      <c r="F8" s="3574"/>
      <c r="G8" s="3574"/>
      <c r="H8" s="3574"/>
      <c r="I8" s="3574"/>
    </row>
    <row r="9" spans="1:9" ht="15">
      <c r="A9" s="3573" t="s">
        <v>923</v>
      </c>
      <c r="B9" s="3573"/>
      <c r="C9" s="3573"/>
      <c r="D9" s="3573" t="e">
        <f ca="1">结果表!D123</f>
        <v>#REF!</v>
      </c>
      <c r="E9" s="3573"/>
      <c r="F9" s="3573"/>
      <c r="G9" s="3573"/>
      <c r="H9" s="3573"/>
      <c r="I9" s="3573"/>
    </row>
    <row r="10" spans="1:9" ht="15.75">
      <c r="A10" s="3574" t="str">
        <f>结果表!A124</f>
        <v/>
      </c>
      <c r="B10" s="3574"/>
      <c r="C10" s="3574"/>
      <c r="D10" s="3574" t="str">
        <f>结果表!D124</f>
        <v>——</v>
      </c>
      <c r="E10" s="3574"/>
      <c r="F10" s="3574"/>
      <c r="G10" s="3574"/>
      <c r="H10" s="3574"/>
      <c r="I10" s="3574"/>
    </row>
    <row r="11" spans="1:9" ht="15">
      <c r="A11" s="3573" t="s">
        <v>923</v>
      </c>
      <c r="B11" s="3573"/>
      <c r="C11" s="3573"/>
      <c r="D11" s="3573" t="e">
        <f>结果表!D125</f>
        <v>#VALUE!</v>
      </c>
      <c r="E11" s="3573"/>
      <c r="F11" s="3573"/>
      <c r="G11" s="3573"/>
      <c r="H11" s="3573"/>
      <c r="I11" s="3573"/>
    </row>
    <row r="12" spans="1:9" ht="15.75">
      <c r="A12" s="3574" t="str">
        <f>结果表!A126</f>
        <v/>
      </c>
      <c r="B12" s="3574"/>
      <c r="C12" s="3574"/>
      <c r="D12" s="3574" t="str">
        <f>结果表!D126</f>
        <v>——</v>
      </c>
      <c r="E12" s="3574"/>
      <c r="F12" s="3574"/>
      <c r="G12" s="3574"/>
      <c r="H12" s="3574"/>
      <c r="I12" s="3574"/>
    </row>
    <row r="13" spans="1:9" ht="15.75" thickBot="1">
      <c r="A13" s="3578" t="s">
        <v>923</v>
      </c>
      <c r="B13" s="3578"/>
      <c r="C13" s="3578"/>
      <c r="D13" s="3578" t="e">
        <f>结果表!D127</f>
        <v>#VALUE!</v>
      </c>
      <c r="E13" s="3578"/>
      <c r="F13" s="3578"/>
      <c r="G13" s="3578"/>
      <c r="H13" s="3578"/>
      <c r="I13" s="3578"/>
    </row>
    <row r="14" spans="1:9" ht="15" thickTop="1">
      <c r="A14" s="3579" t="s">
        <v>928</v>
      </c>
      <c r="B14" s="3579"/>
      <c r="C14" s="3579"/>
      <c r="D14" s="3579"/>
      <c r="E14" s="3579"/>
      <c r="F14" s="3579"/>
      <c r="G14" s="3579"/>
      <c r="H14" s="3579"/>
      <c r="I14" s="3579"/>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0" t="s">
        <v>945</v>
      </c>
      <c r="B1" s="3580"/>
      <c r="C1" s="3580"/>
      <c r="D1" s="3580"/>
    </row>
    <row r="2" spans="1:4" ht="18">
      <c r="A2" s="3581" t="s">
        <v>929</v>
      </c>
      <c r="B2" s="3581"/>
      <c r="C2" s="3581"/>
      <c r="D2" s="3581"/>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81" t="s">
        <v>935</v>
      </c>
      <c r="B6" s="3581"/>
      <c r="C6" s="3581"/>
      <c r="D6" s="3581"/>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2" t="s">
        <v>938</v>
      </c>
      <c r="B11" s="3583"/>
      <c r="C11" s="3583"/>
      <c r="D11" s="3583"/>
    </row>
    <row r="12" spans="1:4" ht="15.75">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4"/>
      <c r="C12" s="3584"/>
      <c r="D12" s="3584"/>
    </row>
    <row r="13" spans="1:4" ht="30" customHeight="1">
      <c r="A13" s="3583" t="str">
        <f>IF(项目基本情况!B8="抵押","3.抵押双方在办理抵押登记手续时，应使用本公司出具的正式《房地产评估报告》，特提醒报告使用者注意。","——")</f>
        <v>——</v>
      </c>
      <c r="B13" s="3584"/>
      <c r="C13" s="3584"/>
      <c r="D13" s="3584"/>
    </row>
    <row r="14" spans="1:4" ht="15.75" customHeight="1">
      <c r="A14" s="3583" t="str">
        <f>IF(项目基本情况!B8="抵押","4.本次评估估价师所知悉的法定优先受偿款情况说明如下：","——")</f>
        <v>——</v>
      </c>
      <c r="B14" s="3584"/>
      <c r="C14" s="3584"/>
      <c r="D14" s="3584"/>
    </row>
    <row r="15" spans="1:4" ht="42" customHeight="1">
      <c r="A15" s="3583" t="str">
        <f>IF(项目基本情况!B8="抵押","（1）"&amp;CONCATENATE(项目基本情况!L20,项目基本情况!L21,项目基本情况!L22),"——")</f>
        <v>——</v>
      </c>
      <c r="B15" s="3583"/>
      <c r="C15" s="3583"/>
      <c r="D15" s="3583"/>
    </row>
    <row r="16" spans="1:4" ht="30" customHeight="1">
      <c r="A16" s="3586" t="s">
        <v>939</v>
      </c>
      <c r="B16" s="3586"/>
      <c r="C16" s="3586"/>
      <c r="D16" s="3586"/>
    </row>
    <row r="17" spans="1:4" ht="144" customHeight="1">
      <c r="A17" s="3586" t="s">
        <v>940</v>
      </c>
      <c r="B17" s="3586"/>
      <c r="C17" s="3586"/>
      <c r="D17" s="3586"/>
    </row>
    <row r="18" spans="1:4" ht="15.75" customHeight="1">
      <c r="A18" s="3583" t="str">
        <f>IF(项目基本情况!B8="抵押",结果表!K120,"——")</f>
        <v>——</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3"/>
      <c r="C20" s="3583"/>
      <c r="D20" s="3583"/>
    </row>
    <row r="21" spans="1:4" ht="57.75" customHeight="1">
      <c r="A21" s="35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7"/>
      <c r="C21" s="3587"/>
      <c r="D21" s="3587"/>
    </row>
    <row r="22" spans="1:4" ht="18.75" customHeight="1">
      <c r="A22" s="3588" t="s">
        <v>941</v>
      </c>
      <c r="B22" s="3588"/>
      <c r="C22" s="3588"/>
      <c r="D22" s="3588"/>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5">
        <v>42551</v>
      </c>
      <c r="D31" s="35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4" t="s">
        <v>952</v>
      </c>
      <c r="B15" s="3589" t="s">
        <v>105</v>
      </c>
      <c r="C15" s="3590"/>
    </row>
    <row r="16" spans="1:7" ht="13.5">
      <c r="A16" s="3595"/>
      <c r="B16" s="3589" t="s">
        <v>38</v>
      </c>
      <c r="C16" s="3590"/>
    </row>
    <row r="17" spans="1:3" ht="13.5">
      <c r="A17" s="3595"/>
      <c r="B17" s="3592" t="s">
        <v>953</v>
      </c>
      <c r="C17" s="1532" t="s">
        <v>952</v>
      </c>
    </row>
    <row r="18" spans="1:3" ht="13.5">
      <c r="A18" s="3595"/>
      <c r="B18" s="3592"/>
      <c r="C18" s="1532" t="s">
        <v>954</v>
      </c>
    </row>
    <row r="19" spans="1:3" ht="13.5">
      <c r="A19" s="3595"/>
      <c r="B19" s="3592"/>
      <c r="C19" s="1532" t="s">
        <v>955</v>
      </c>
    </row>
    <row r="20" spans="1:3" ht="13.5">
      <c r="A20" s="3596"/>
      <c r="B20" s="3591" t="s">
        <v>956</v>
      </c>
      <c r="C20" s="3590"/>
    </row>
    <row r="21" spans="1:3" ht="13.5">
      <c r="A21" s="1533" t="s">
        <v>957</v>
      </c>
      <c r="B21" s="1534"/>
      <c r="C21" s="1535"/>
    </row>
    <row r="22" spans="1:3" ht="13.5">
      <c r="A22" s="3593" t="s">
        <v>958</v>
      </c>
      <c r="B22" s="3591" t="s">
        <v>959</v>
      </c>
      <c r="C22" s="3590"/>
    </row>
    <row r="23" spans="1:3" ht="13.5">
      <c r="A23" s="3593"/>
      <c r="B23" s="3591" t="s">
        <v>960</v>
      </c>
      <c r="C23" s="3590"/>
    </row>
    <row r="24" spans="1:3" ht="13.5">
      <c r="A24" s="3593"/>
      <c r="B24" s="3591" t="s">
        <v>961</v>
      </c>
      <c r="C24" s="3590"/>
    </row>
    <row r="25" spans="1:3" ht="13.5">
      <c r="A25" s="3593"/>
      <c r="B25" s="3592" t="s">
        <v>962</v>
      </c>
      <c r="C25" s="1532" t="s">
        <v>963</v>
      </c>
    </row>
    <row r="26" spans="1:3" ht="13.5">
      <c r="A26" s="3593"/>
      <c r="B26" s="3592"/>
      <c r="C26" s="1532" t="s">
        <v>964</v>
      </c>
    </row>
    <row r="27" spans="1:3" ht="13.5">
      <c r="A27" s="3593"/>
      <c r="B27" s="3592"/>
      <c r="C27" s="1532" t="s">
        <v>965</v>
      </c>
    </row>
    <row r="28" spans="1:3" ht="13.5">
      <c r="A28" s="3593"/>
      <c r="B28" s="3592"/>
      <c r="C28" s="1532" t="s">
        <v>966</v>
      </c>
    </row>
    <row r="29" spans="1:3" ht="13.5">
      <c r="A29" s="3593"/>
      <c r="B29" s="3592"/>
      <c r="C29" s="1532" t="s">
        <v>967</v>
      </c>
    </row>
    <row r="30" spans="1:3" ht="13.5">
      <c r="A30" s="3593"/>
      <c r="B30" s="3592"/>
      <c r="C30" s="1532" t="s">
        <v>968</v>
      </c>
    </row>
    <row r="31" spans="1:3" ht="13.5">
      <c r="A31" s="3593"/>
      <c r="B31" s="3592"/>
      <c r="C31" s="1532" t="s">
        <v>969</v>
      </c>
    </row>
    <row r="32" spans="1:3" ht="13.5">
      <c r="A32" s="3593"/>
      <c r="B32" s="3592"/>
      <c r="C32" s="1532" t="s">
        <v>970</v>
      </c>
    </row>
    <row r="33" spans="1:3" ht="13.5">
      <c r="A33" s="3593"/>
      <c r="B33" s="3592"/>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45020</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7" t="s">
        <v>2152</v>
      </c>
      <c r="B17" s="3597"/>
      <c r="C17" s="3597"/>
      <c r="D17" s="3597"/>
      <c r="E17" s="3597"/>
      <c r="F17" s="3597"/>
      <c r="G17" s="3597"/>
      <c r="H17" s="3597"/>
    </row>
    <row r="18" spans="1:8" ht="24" customHeight="1">
      <c r="A18" s="3598" t="s">
        <v>2153</v>
      </c>
      <c r="B18" s="3598"/>
      <c r="C18" s="3598"/>
      <c r="D18" s="2341"/>
      <c r="E18" s="3599" t="s">
        <v>2154</v>
      </c>
      <c r="F18" s="3598"/>
      <c r="G18" s="3598"/>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2023-04-04T09:12:30Z</dcterms:modified>
</cp:coreProperties>
</file>